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P:\D03\Farm Management\Production Economics\Ready to post to website\"/>
    </mc:Choice>
  </mc:AlternateContent>
  <xr:revisionPtr revIDLastSave="0" documentId="13_ncr:1_{C6B54B76-D320-4C00-A6D1-5DBEBBDA3B58}" xr6:coauthVersionLast="47" xr6:coauthVersionMax="47" xr10:uidLastSave="{00000000-0000-0000-0000-000000000000}"/>
  <workbookProtection workbookPassword="C6A6" lockStructure="1"/>
  <bookViews>
    <workbookView xWindow="-108" yWindow="-108" windowWidth="23256" windowHeight="12576" tabRatio="892" xr2:uid="{00000000-000D-0000-FFFF-FFFF00000000}"/>
  </bookViews>
  <sheets>
    <sheet name="Pasture Insurance" sheetId="17" r:id="rId1"/>
    <sheet name="Chart DATA (hide)" sheetId="18" state="hidden" r:id="rId2"/>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I" localSheetId="0">#REF!</definedName>
    <definedName name="\I">#REF!</definedName>
    <definedName name="\K">#N/A</definedName>
    <definedName name="\L" localSheetId="0">#REF!</definedName>
    <definedName name="\L">#REF!</definedName>
    <definedName name="\N" localSheetId="0">#REF!</definedName>
    <definedName name="\N">#REF!</definedName>
    <definedName name="\O" localSheetId="0">#REF!</definedName>
    <definedName name="\O">#REF!</definedName>
    <definedName name="\P">#N/A</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W" localSheetId="0">#REF!</definedName>
    <definedName name="\W">#REF!</definedName>
    <definedName name="\X">#N/A</definedName>
    <definedName name="\Y" localSheetId="0">#REF!</definedName>
    <definedName name="\Y">#REF!</definedName>
    <definedName name="ALL">#N/A</definedName>
    <definedName name="Animal">'Pasture Insurance'!$C$91:$C$100</definedName>
    <definedName name="Bison">'Pasture Insurance'!$C$130:$C$132</definedName>
    <definedName name="Cows">'Pasture Insurance'!$C$106:$C$108</definedName>
    <definedName name="Deer">'Pasture Insurance'!$C$127:$C$129</definedName>
    <definedName name="Donkeys_and_Ponies">'Pasture Insurance'!$C$118:$C$120</definedName>
    <definedName name="Elk">'Pasture Insurance'!$C$124:$C$126</definedName>
    <definedName name="Goats">'Pasture Insurance'!$C$112:$C$114</definedName>
    <definedName name="Horses">'Pasture Insurance'!$C$115:$C$117</definedName>
    <definedName name="Llamas_and_Alpacas">'Pasture Insurance'!$C$121:$C$123</definedName>
    <definedName name="_xlnm.Print_Area" localSheetId="0">'Pasture Insurance'!$A$1:$J$86</definedName>
    <definedName name="Sheep">'Pasture Insurance'!$C$109:$C$111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0" i="18" l="1"/>
  <c r="F130" i="18"/>
  <c r="G126" i="18"/>
  <c r="G123" i="18" s="1"/>
  <c r="F126" i="18"/>
  <c r="F123" i="18" s="1"/>
  <c r="G118" i="18"/>
  <c r="F118" i="18"/>
  <c r="G25" i="17" l="1"/>
  <c r="G24" i="17"/>
  <c r="G23" i="17"/>
  <c r="G22" i="17"/>
  <c r="G21" i="17"/>
  <c r="G20" i="17"/>
  <c r="E45" i="17" l="1"/>
  <c r="B11" i="17"/>
  <c r="E11" i="17"/>
  <c r="I10" i="17"/>
  <c r="J3" i="17"/>
  <c r="H8" i="17"/>
  <c r="E26" i="17"/>
  <c r="A53" i="17" l="1"/>
  <c r="D29" i="18"/>
  <c r="D121" i="18"/>
  <c r="H131" i="18"/>
  <c r="H130" i="18"/>
  <c r="H125" i="18"/>
  <c r="H117" i="18"/>
  <c r="H116" i="18"/>
  <c r="H129" i="18"/>
  <c r="H127" i="18"/>
  <c r="H119" i="18"/>
  <c r="H126" i="18"/>
  <c r="H118" i="18"/>
  <c r="G26" i="17"/>
  <c r="E46" i="17" s="1"/>
  <c r="G45" i="17"/>
  <c r="B37" i="17" l="1"/>
  <c r="B29" i="17"/>
  <c r="E75" i="17"/>
  <c r="E76" i="17" s="1"/>
  <c r="E37" i="17"/>
  <c r="E38" i="17" s="1"/>
  <c r="B46" i="17"/>
  <c r="E29" i="17"/>
  <c r="E30" i="17" s="1"/>
  <c r="E47" i="17" l="1"/>
  <c r="E48" i="17" s="1"/>
  <c r="G32" i="18"/>
  <c r="G33" i="18" s="1"/>
  <c r="G34" i="18" s="1"/>
  <c r="G35" i="18" s="1"/>
  <c r="G36" i="18" s="1"/>
  <c r="G37" i="18" s="1"/>
  <c r="G38" i="18" s="1"/>
  <c r="G39" i="18" s="1"/>
  <c r="G40" i="18" s="1"/>
  <c r="G41" i="18" s="1"/>
  <c r="G42" i="18" s="1"/>
  <c r="G43" i="18" s="1"/>
  <c r="G44" i="18" s="1"/>
  <c r="G45" i="18" s="1"/>
  <c r="G46" i="18" s="1"/>
  <c r="G47" i="18" s="1"/>
  <c r="G48" i="18" s="1"/>
  <c r="G49" i="18" s="1"/>
  <c r="G50" i="18" s="1"/>
  <c r="G51" i="18" s="1"/>
  <c r="G52" i="18" s="1"/>
  <c r="G53" i="18" s="1"/>
  <c r="G54" i="18" s="1"/>
  <c r="G55" i="18" s="1"/>
  <c r="G56" i="18" s="1"/>
  <c r="G57" i="18" s="1"/>
  <c r="G58" i="18" s="1"/>
  <c r="G59" i="18" s="1"/>
  <c r="G60" i="18" s="1"/>
  <c r="G61" i="18" s="1"/>
  <c r="G62" i="18" s="1"/>
  <c r="G63" i="18" s="1"/>
  <c r="G64" i="18" s="1"/>
  <c r="G65" i="18" s="1"/>
  <c r="G66" i="18" s="1"/>
  <c r="G67" i="18" s="1"/>
  <c r="G68" i="18" s="1"/>
  <c r="G69" i="18" s="1"/>
  <c r="G70" i="18" s="1"/>
  <c r="G71" i="18" s="1"/>
  <c r="G72" i="18" s="1"/>
  <c r="G73" i="18" s="1"/>
  <c r="G74" i="18" s="1"/>
  <c r="G75" i="18" s="1"/>
  <c r="G76" i="18" s="1"/>
  <c r="G77" i="18" s="1"/>
  <c r="G78" i="18" s="1"/>
  <c r="G79" i="18" s="1"/>
  <c r="G80" i="18" s="1"/>
  <c r="G81" i="18" s="1"/>
  <c r="G82" i="18" s="1"/>
  <c r="G83" i="18" s="1"/>
  <c r="G84" i="18" s="1"/>
  <c r="G85" i="18" s="1"/>
  <c r="G86" i="18" s="1"/>
  <c r="G87" i="18" s="1"/>
  <c r="G88" i="18" s="1"/>
  <c r="G89" i="18" s="1"/>
  <c r="G90" i="18" s="1"/>
  <c r="G91" i="18" s="1"/>
  <c r="G92" i="18" s="1"/>
  <c r="G93" i="18" s="1"/>
  <c r="G94" i="18" s="1"/>
  <c r="G95" i="18" s="1"/>
  <c r="G96" i="18" s="1"/>
  <c r="G97" i="18" s="1"/>
  <c r="G98" i="18" s="1"/>
  <c r="G99" i="18" s="1"/>
  <c r="G100" i="18" s="1"/>
  <c r="G101" i="18" s="1"/>
  <c r="G102" i="18" s="1"/>
  <c r="G103" i="18" s="1"/>
  <c r="G104" i="18" s="1"/>
  <c r="G105" i="18" s="1"/>
  <c r="G106" i="18" s="1"/>
  <c r="G107" i="18" s="1"/>
  <c r="G108" i="18" s="1"/>
  <c r="G109" i="18" s="1"/>
  <c r="G110" i="18" s="1"/>
  <c r="G111" i="18" s="1"/>
  <c r="G112" i="18" s="1"/>
  <c r="G113" i="18" s="1"/>
  <c r="H113" i="18" s="1"/>
  <c r="B113" i="18"/>
  <c r="F64" i="18"/>
  <c r="F58" i="18"/>
  <c r="F54" i="18"/>
  <c r="F50" i="18"/>
  <c r="F48" i="18"/>
  <c r="F44" i="18"/>
  <c r="F40" i="18"/>
  <c r="F38" i="18"/>
  <c r="F34" i="18"/>
  <c r="F112" i="18"/>
  <c r="F110" i="18"/>
  <c r="F108" i="18"/>
  <c r="F106" i="18"/>
  <c r="F104" i="18"/>
  <c r="F102" i="18"/>
  <c r="F100" i="18"/>
  <c r="F98" i="18"/>
  <c r="F96" i="18"/>
  <c r="F94" i="18"/>
  <c r="F92" i="18"/>
  <c r="F90" i="18"/>
  <c r="F88" i="18"/>
  <c r="F86" i="18"/>
  <c r="F84" i="18"/>
  <c r="F82" i="18"/>
  <c r="F80" i="18"/>
  <c r="F78" i="18"/>
  <c r="F76" i="18"/>
  <c r="F74" i="18"/>
  <c r="F72" i="18"/>
  <c r="F70" i="18"/>
  <c r="F68" i="18"/>
  <c r="F66" i="18"/>
  <c r="F62" i="18"/>
  <c r="F60" i="18"/>
  <c r="F56" i="18"/>
  <c r="F52" i="18"/>
  <c r="F46" i="18"/>
  <c r="F42" i="18"/>
  <c r="F36" i="18"/>
  <c r="F32" i="18"/>
  <c r="B115" i="18"/>
  <c r="F113" i="18"/>
  <c r="F111" i="18"/>
  <c r="F109" i="18"/>
  <c r="F107" i="18"/>
  <c r="F105" i="18"/>
  <c r="F103" i="18"/>
  <c r="F101" i="18"/>
  <c r="F99" i="18"/>
  <c r="F97" i="18"/>
  <c r="F95" i="18"/>
  <c r="F93" i="18"/>
  <c r="F91" i="18"/>
  <c r="F89" i="18"/>
  <c r="F87" i="18"/>
  <c r="F85" i="18"/>
  <c r="F83" i="18"/>
  <c r="F81" i="18"/>
  <c r="F79" i="18"/>
  <c r="F77" i="18"/>
  <c r="F75" i="18"/>
  <c r="F73" i="18"/>
  <c r="F71" i="18"/>
  <c r="F69" i="18"/>
  <c r="F67" i="18"/>
  <c r="F65" i="18"/>
  <c r="F63" i="18"/>
  <c r="F61" i="18"/>
  <c r="F59" i="18"/>
  <c r="F57" i="18"/>
  <c r="F55" i="18"/>
  <c r="F53" i="18"/>
  <c r="F51" i="18"/>
  <c r="F49" i="18"/>
  <c r="F47" i="18"/>
  <c r="F45" i="18"/>
  <c r="F43" i="18"/>
  <c r="F41" i="18"/>
  <c r="F39" i="18"/>
  <c r="F37" i="18"/>
  <c r="F35" i="18"/>
  <c r="F33" i="18"/>
  <c r="B38" i="17"/>
  <c r="B30" i="17"/>
  <c r="J10" i="17"/>
  <c r="E31" i="17"/>
  <c r="B47" i="17"/>
  <c r="B31" i="17"/>
  <c r="E39" i="17"/>
  <c r="B40" i="17"/>
  <c r="B72" i="17"/>
  <c r="E40" i="17"/>
  <c r="B39" i="17"/>
  <c r="E71" i="17"/>
  <c r="B71" i="17" s="1"/>
  <c r="B48" i="17" l="1"/>
  <c r="H39" i="18"/>
  <c r="H53" i="18"/>
  <c r="H55" i="18"/>
  <c r="H77" i="18"/>
  <c r="H101" i="18"/>
  <c r="H44" i="18"/>
  <c r="H46" i="18"/>
  <c r="H68" i="18"/>
  <c r="B112" i="18"/>
  <c r="E113" i="18"/>
  <c r="H79" i="18"/>
  <c r="H57" i="18"/>
  <c r="H81" i="18"/>
  <c r="H105" i="18"/>
  <c r="H48" i="18"/>
  <c r="H72" i="18"/>
  <c r="H96" i="18"/>
  <c r="H70" i="18"/>
  <c r="H94" i="18"/>
  <c r="H35" i="18"/>
  <c r="H59" i="18"/>
  <c r="H83" i="18"/>
  <c r="H107" i="18"/>
  <c r="H50" i="18"/>
  <c r="H74" i="18"/>
  <c r="H98" i="18"/>
  <c r="H37" i="18"/>
  <c r="H61" i="18"/>
  <c r="H85" i="18"/>
  <c r="H109" i="18"/>
  <c r="H52" i="18"/>
  <c r="H76" i="18"/>
  <c r="H100" i="18"/>
  <c r="H54" i="18"/>
  <c r="H78" i="18"/>
  <c r="H102" i="18"/>
  <c r="H92" i="18"/>
  <c r="H103" i="18"/>
  <c r="H63" i="18"/>
  <c r="H87" i="18"/>
  <c r="H111" i="18"/>
  <c r="H41" i="18"/>
  <c r="H65" i="18"/>
  <c r="H89" i="18"/>
  <c r="H32" i="18"/>
  <c r="H56" i="18"/>
  <c r="H80" i="18"/>
  <c r="H104" i="18"/>
  <c r="H43" i="18"/>
  <c r="H67" i="18"/>
  <c r="H91" i="18"/>
  <c r="H34" i="18"/>
  <c r="H58" i="18"/>
  <c r="H82" i="18"/>
  <c r="H106" i="18"/>
  <c r="D113" i="18"/>
  <c r="H45" i="18"/>
  <c r="H69" i="18"/>
  <c r="H93" i="18"/>
  <c r="H36" i="18"/>
  <c r="H60" i="18"/>
  <c r="H84" i="18"/>
  <c r="H108" i="18"/>
  <c r="H47" i="18"/>
  <c r="H71" i="18"/>
  <c r="H95" i="18"/>
  <c r="H33" i="18"/>
  <c r="H38" i="18"/>
  <c r="H62" i="18"/>
  <c r="H86" i="18"/>
  <c r="H110" i="18"/>
  <c r="E126" i="18"/>
  <c r="E118" i="18"/>
  <c r="E125" i="18"/>
  <c r="E117" i="18"/>
  <c r="E130" i="18"/>
  <c r="E129" i="18"/>
  <c r="D122" i="18"/>
  <c r="H49" i="18"/>
  <c r="H73" i="18"/>
  <c r="H97" i="18"/>
  <c r="H40" i="18"/>
  <c r="H64" i="18"/>
  <c r="H88" i="18"/>
  <c r="H112" i="18"/>
  <c r="H51" i="18"/>
  <c r="H75" i="18"/>
  <c r="H99" i="18"/>
  <c r="H42" i="18"/>
  <c r="H66" i="18"/>
  <c r="H90" i="18"/>
  <c r="B41" i="17"/>
  <c r="E41" i="17"/>
  <c r="B32" i="17"/>
  <c r="E32" i="17"/>
  <c r="F38" i="17"/>
  <c r="E49" i="17"/>
  <c r="E50" i="17"/>
  <c r="H128" i="18" s="1"/>
  <c r="B49" i="17"/>
  <c r="B50" i="17"/>
  <c r="H124" i="18" l="1"/>
  <c r="H115" i="18"/>
  <c r="E112" i="18"/>
  <c r="B111" i="18"/>
  <c r="D112" i="18"/>
  <c r="E51" i="17"/>
  <c r="B51" i="17"/>
  <c r="E33" i="17"/>
  <c r="B33" i="17"/>
  <c r="B110" i="18" l="1"/>
  <c r="E111" i="18"/>
  <c r="D111" i="18"/>
  <c r="E110" i="18" l="1"/>
  <c r="B109" i="18"/>
  <c r="D110" i="18"/>
  <c r="B108" i="18" l="1"/>
  <c r="E109" i="18"/>
  <c r="D109" i="18"/>
  <c r="E108" i="18" l="1"/>
  <c r="B107" i="18"/>
  <c r="D108" i="18"/>
  <c r="B106" i="18" l="1"/>
  <c r="E107" i="18"/>
  <c r="D107" i="18"/>
  <c r="E106" i="18" l="1"/>
  <c r="B105" i="18"/>
  <c r="D106" i="18"/>
  <c r="B104" i="18" l="1"/>
  <c r="E105" i="18"/>
  <c r="D105" i="18"/>
  <c r="E104" i="18" l="1"/>
  <c r="B103" i="18"/>
  <c r="D104" i="18"/>
  <c r="B102" i="18" l="1"/>
  <c r="E103" i="18"/>
  <c r="D103" i="18"/>
  <c r="E102" i="18" l="1"/>
  <c r="B101" i="18"/>
  <c r="D102" i="18"/>
  <c r="B100" i="18" l="1"/>
  <c r="E101" i="18"/>
  <c r="D101" i="18"/>
  <c r="E100" i="18" l="1"/>
  <c r="B99" i="18"/>
  <c r="D100" i="18"/>
  <c r="B98" i="18" l="1"/>
  <c r="E99" i="18"/>
  <c r="D99" i="18"/>
  <c r="E98" i="18" l="1"/>
  <c r="B97" i="18"/>
  <c r="D98" i="18"/>
  <c r="B96" i="18" l="1"/>
  <c r="E97" i="18"/>
  <c r="D97" i="18"/>
  <c r="E96" i="18" l="1"/>
  <c r="B95" i="18"/>
  <c r="D96" i="18"/>
  <c r="B94" i="18" l="1"/>
  <c r="E95" i="18"/>
  <c r="D95" i="18"/>
  <c r="E94" i="18" l="1"/>
  <c r="B93" i="18"/>
  <c r="D94" i="18"/>
  <c r="B92" i="18" l="1"/>
  <c r="E93" i="18"/>
  <c r="D93" i="18"/>
  <c r="E92" i="18" l="1"/>
  <c r="B91" i="18"/>
  <c r="D92" i="18"/>
  <c r="B90" i="18" l="1"/>
  <c r="E91" i="18"/>
  <c r="D91" i="18"/>
  <c r="E90" i="18" l="1"/>
  <c r="B89" i="18"/>
  <c r="D90" i="18"/>
  <c r="B88" i="18" l="1"/>
  <c r="E89" i="18"/>
  <c r="D89" i="18"/>
  <c r="E88" i="18" l="1"/>
  <c r="B87" i="18"/>
  <c r="D88" i="18"/>
  <c r="B86" i="18" l="1"/>
  <c r="E87" i="18"/>
  <c r="D87" i="18"/>
  <c r="E86" i="18" l="1"/>
  <c r="B85" i="18"/>
  <c r="D86" i="18"/>
  <c r="B84" i="18" l="1"/>
  <c r="E85" i="18"/>
  <c r="D85" i="18"/>
  <c r="E84" i="18" l="1"/>
  <c r="B83" i="18"/>
  <c r="D84" i="18"/>
  <c r="B82" i="18" l="1"/>
  <c r="E83" i="18"/>
  <c r="D83" i="18"/>
  <c r="E82" i="18" l="1"/>
  <c r="B81" i="18"/>
  <c r="D82" i="18"/>
  <c r="B80" i="18" l="1"/>
  <c r="E81" i="18"/>
  <c r="D81" i="18"/>
  <c r="E80" i="18" l="1"/>
  <c r="B79" i="18"/>
  <c r="D80" i="18"/>
  <c r="B78" i="18" l="1"/>
  <c r="E79" i="18"/>
  <c r="D79" i="18"/>
  <c r="E78" i="18" l="1"/>
  <c r="B77" i="18"/>
  <c r="D78" i="18"/>
  <c r="B76" i="18" l="1"/>
  <c r="E77" i="18"/>
  <c r="D77" i="18"/>
  <c r="E76" i="18" l="1"/>
  <c r="B75" i="18"/>
  <c r="D76" i="18"/>
  <c r="B74" i="18" l="1"/>
  <c r="E75" i="18"/>
  <c r="D75" i="18"/>
  <c r="E74" i="18" l="1"/>
  <c r="B73" i="18"/>
  <c r="D74" i="18"/>
  <c r="B72" i="18" l="1"/>
  <c r="E73" i="18"/>
  <c r="D73" i="18"/>
  <c r="E72" i="18" l="1"/>
  <c r="B71" i="18"/>
  <c r="D72" i="18"/>
  <c r="B70" i="18" l="1"/>
  <c r="E71" i="18"/>
  <c r="D71" i="18"/>
  <c r="E70" i="18" l="1"/>
  <c r="B69" i="18"/>
  <c r="D70" i="18"/>
  <c r="B68" i="18" l="1"/>
  <c r="E69" i="18"/>
  <c r="D69" i="18"/>
  <c r="E68" i="18" l="1"/>
  <c r="B67" i="18"/>
  <c r="D68" i="18"/>
  <c r="B66" i="18" l="1"/>
  <c r="E67" i="18"/>
  <c r="D67" i="18"/>
  <c r="E66" i="18" l="1"/>
  <c r="B65" i="18"/>
  <c r="D66" i="18"/>
  <c r="B64" i="18" l="1"/>
  <c r="E65" i="18"/>
  <c r="D65" i="18"/>
  <c r="E64" i="18" l="1"/>
  <c r="B63" i="18"/>
  <c r="D64" i="18"/>
  <c r="B62" i="18" l="1"/>
  <c r="E63" i="18"/>
  <c r="D63" i="18"/>
  <c r="E62" i="18" l="1"/>
  <c r="B61" i="18"/>
  <c r="D62" i="18"/>
  <c r="B60" i="18" l="1"/>
  <c r="E61" i="18"/>
  <c r="D61" i="18"/>
  <c r="E60" i="18" l="1"/>
  <c r="B59" i="18"/>
  <c r="D60" i="18"/>
  <c r="B58" i="18" l="1"/>
  <c r="E59" i="18"/>
  <c r="D59" i="18"/>
  <c r="E58" i="18" l="1"/>
  <c r="B57" i="18"/>
  <c r="D58" i="18"/>
  <c r="B56" i="18" l="1"/>
  <c r="E57" i="18"/>
  <c r="D57" i="18"/>
  <c r="E56" i="18" l="1"/>
  <c r="B55" i="18"/>
  <c r="D56" i="18"/>
  <c r="B54" i="18" l="1"/>
  <c r="E55" i="18"/>
  <c r="D55" i="18"/>
  <c r="E54" i="18" l="1"/>
  <c r="B53" i="18"/>
  <c r="D54" i="18"/>
  <c r="B52" i="18" l="1"/>
  <c r="E53" i="18"/>
  <c r="D53" i="18"/>
  <c r="E52" i="18" l="1"/>
  <c r="B51" i="18"/>
  <c r="D52" i="18"/>
  <c r="B50" i="18" l="1"/>
  <c r="E51" i="18"/>
  <c r="D51" i="18"/>
  <c r="E50" i="18" l="1"/>
  <c r="B49" i="18"/>
  <c r="D50" i="18"/>
  <c r="B48" i="18" l="1"/>
  <c r="E49" i="18"/>
  <c r="D49" i="18"/>
  <c r="B47" i="18" l="1"/>
  <c r="E48" i="18"/>
  <c r="D48" i="18"/>
  <c r="B46" i="18" l="1"/>
  <c r="E47" i="18"/>
  <c r="D47" i="18"/>
  <c r="E46" i="18" l="1"/>
  <c r="B45" i="18"/>
  <c r="D46" i="18"/>
  <c r="B44" i="18" l="1"/>
  <c r="E45" i="18"/>
  <c r="D45" i="18"/>
  <c r="E44" i="18" l="1"/>
  <c r="B43" i="18"/>
  <c r="D44" i="18"/>
  <c r="B42" i="18" l="1"/>
  <c r="E43" i="18"/>
  <c r="D43" i="18"/>
  <c r="B41" i="18" l="1"/>
  <c r="E42" i="18"/>
  <c r="D42" i="18"/>
  <c r="B40" i="18" l="1"/>
  <c r="E41" i="18"/>
  <c r="D41" i="18"/>
  <c r="E40" i="18" l="1"/>
  <c r="B39" i="18"/>
  <c r="D40" i="18"/>
  <c r="B38" i="18" l="1"/>
  <c r="E39" i="18"/>
  <c r="D39" i="18"/>
  <c r="E38" i="18" l="1"/>
  <c r="B37" i="18"/>
  <c r="D38" i="18"/>
  <c r="B36" i="18" l="1"/>
  <c r="E37" i="18"/>
  <c r="D37" i="18"/>
  <c r="E36" i="18" l="1"/>
  <c r="B35" i="18"/>
  <c r="D36" i="18"/>
  <c r="B34" i="18" l="1"/>
  <c r="E35" i="18"/>
  <c r="D35" i="18"/>
  <c r="B33" i="18" l="1"/>
  <c r="E34" i="18"/>
  <c r="D34" i="18"/>
  <c r="B32" i="18" l="1"/>
  <c r="E33" i="18"/>
  <c r="D33" i="18"/>
  <c r="E32" i="18" l="1"/>
  <c r="D3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D8" authorId="0" shapeId="0" xr:uid="{00000000-0006-0000-00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D9" authorId="0" shapeId="0" xr:uid="{00000000-0006-0000-00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D14" authorId="0" shapeId="0" xr:uid="{00000000-0006-0000-0000-000003000000}">
      <text>
        <r>
          <rPr>
            <sz val="9"/>
            <color indexed="81"/>
            <rFont val="Tahoma"/>
            <family val="2"/>
          </rPr>
          <t>Premium costs are shared 40 per cent by the producer, 36 per cent by the Government of Canada, and 24 per cent by the Province of Manitoba.</t>
        </r>
      </text>
    </comment>
    <comment ref="E26" authorId="0" shapeId="0" xr:uid="{00000000-0006-0000-0000-000004000000}">
      <text>
        <r>
          <rPr>
            <sz val="9"/>
            <color indexed="81"/>
            <rFont val="Tahoma"/>
            <family val="2"/>
          </rPr>
          <t>The livestock numbers, pasture acres, and the date livestock were placed on pasture must be reported on a Pasture Days Spring Declaration by June 30.</t>
        </r>
      </text>
    </comment>
    <comment ref="G26" authorId="0" shapeId="0" xr:uid="{00000000-0006-0000-0000-000005000000}">
      <text>
        <r>
          <rPr>
            <sz val="9"/>
            <color indexed="81"/>
            <rFont val="Tahoma"/>
            <family val="2"/>
          </rPr>
          <t xml:space="preserve"> MASC requires a minimum total of 30 'Animal Units' (AU) of eligible livestock types on pasture.</t>
        </r>
      </text>
    </comment>
    <comment ref="D44" authorId="0" shapeId="0" xr:uid="{00000000-0006-0000-00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D48" authorId="0" shapeId="0" xr:uid="{00000000-0006-0000-00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sharedStrings.xml><?xml version="1.0" encoding="utf-8"?>
<sst xmlns="http://schemas.openxmlformats.org/spreadsheetml/2006/main" count="109" uniqueCount="87">
  <si>
    <t>Total</t>
  </si>
  <si>
    <t xml:space="preserve"> acres</t>
  </si>
  <si>
    <t xml:space="preserve">Total Animal Unit Months (AUM's) </t>
  </si>
  <si>
    <t xml:space="preserve">Total AUM's - Available Per Acre </t>
  </si>
  <si>
    <t>AUM Analysis</t>
  </si>
  <si>
    <t>***HIDE***</t>
  </si>
  <si>
    <t>Pasture Land</t>
  </si>
  <si>
    <t>(Select Animal Type)</t>
  </si>
  <si>
    <t>Number of Head</t>
  </si>
  <si>
    <t>Animal Unit (AU)</t>
  </si>
  <si>
    <t>Coverage</t>
  </si>
  <si>
    <t>days</t>
  </si>
  <si>
    <t>Historic grazing period or Individual 10-year average</t>
  </si>
  <si>
    <t>Coverage Level of of Normal AU days</t>
  </si>
  <si>
    <t>Dollar Coverage per Animal Unit for each AU day</t>
  </si>
  <si>
    <t>Animal Inventory</t>
  </si>
  <si>
    <t>Coverage Calculation</t>
  </si>
  <si>
    <t>AU Days</t>
  </si>
  <si>
    <t>Premium Calculation</t>
  </si>
  <si>
    <t>Data List</t>
  </si>
  <si>
    <t>Premium Rate</t>
  </si>
  <si>
    <t>Premium share (producer)</t>
  </si>
  <si>
    <t>Premium = Expected number of Grazing Days x Animal Units x coverage Level x Insurable Value x Premium Rate %</t>
  </si>
  <si>
    <t>months</t>
  </si>
  <si>
    <t xml:space="preserve">or </t>
  </si>
  <si>
    <t>Indemnity Calculation</t>
  </si>
  <si>
    <t xml:space="preserve">(coverage would last until </t>
  </si>
  <si>
    <t>Printed:</t>
  </si>
  <si>
    <r>
      <t xml:space="preserve">*** Enter/select changes to items in </t>
    </r>
    <r>
      <rPr>
        <b/>
        <sz val="10"/>
        <color indexed="12"/>
        <rFont val="Arial"/>
        <family val="2"/>
      </rPr>
      <t xml:space="preserve">BLUE </t>
    </r>
    <r>
      <rPr>
        <b/>
        <sz val="10"/>
        <rFont val="Arial"/>
        <family val="2"/>
      </rPr>
      <t>only ***</t>
    </r>
  </si>
  <si>
    <t xml:space="preserve">. . . . . . . . . . . . . . . . . . . . . . . . . . . . . . . . . . . . . . . . . . . . . . . . . . . . . . . . . . . . . . . . </t>
  </si>
  <si>
    <t>Pasture Days Insurance Calculator</t>
  </si>
  <si>
    <r>
      <t>Note:</t>
    </r>
    <r>
      <rPr>
        <sz val="10"/>
        <rFont val="Arial"/>
        <family val="2"/>
      </rPr>
      <t xml:space="preserve"> This budget is only a guide and is not intended to be an in-depth study of the pasture costs.  Interpretation and utilization of this information is the responsibility of the user. </t>
    </r>
  </si>
  <si>
    <t>Date livestock placed on pasture (enter M/DD)</t>
  </si>
  <si>
    <t>Date livestock removed from pasture (enter M/DD)</t>
  </si>
  <si>
    <t>Calculated actual days on pasture before removal</t>
  </si>
  <si>
    <t>Breakeven Analysis</t>
  </si>
  <si>
    <t>Pasture Insurance Indemnity</t>
  </si>
  <si>
    <t>Breakeven</t>
  </si>
  <si>
    <t>Indemnity</t>
  </si>
  <si>
    <t>Number of Pasture Days Covered by AgriInsurance</t>
  </si>
  <si>
    <t>Number of Pasture Days Uncovered by AgriInsurance</t>
  </si>
  <si>
    <t>Historic Grazing Days</t>
  </si>
  <si>
    <t>Pasture Days Covered by AgriInsurance</t>
  </si>
  <si>
    <t>or</t>
  </si>
  <si>
    <t>MASC Pasture Days Insurance Factsheet</t>
  </si>
  <si>
    <t>Rams, Bred Ewes, Ewe/Lamb pairs = 0.25 A.U.</t>
  </si>
  <si>
    <t>Open Ewes = 0.20 A.U.</t>
  </si>
  <si>
    <t>Weaned Lambs, Yearlings, Wethers = 0.15 A.U.</t>
  </si>
  <si>
    <t>Sheep</t>
  </si>
  <si>
    <t>Goats</t>
  </si>
  <si>
    <t>Bucks, Bred Does, Does with Kids = 0.20 A.U.</t>
  </si>
  <si>
    <t>Open Does = 0.10 A.U.</t>
  </si>
  <si>
    <t>Weaned Lambs, Yearlings, Wethers = 0.05 A.U.</t>
  </si>
  <si>
    <t>Horses</t>
  </si>
  <si>
    <t>Mature Stallions, Male Mules, Bred Mares, Mare/Foal Pairs = 1.5 A.U.</t>
  </si>
  <si>
    <t>Open Mares, Female Mules = 1.30 A.U.</t>
  </si>
  <si>
    <t>Weanling Colts or Fillies or Mules = 0.75 A.U.</t>
  </si>
  <si>
    <t>Cows</t>
  </si>
  <si>
    <t>Donkeys and Ponies</t>
  </si>
  <si>
    <t>Open Mares, Open Jennies = 0.50 A.U.</t>
  </si>
  <si>
    <t>Weanling Colts/Fillies, Geldings = 0.40 A.U.</t>
  </si>
  <si>
    <t>Mature Stallions, Jacks, Bred Mares, Bred Jennies, Mare/Foal Pairs, Jenny/Colt Pairs = 0.65 A.U.</t>
  </si>
  <si>
    <t>Llamas and Alpacas</t>
  </si>
  <si>
    <t>Studs, Bred Dams, Dam/Cria Pairs = 0.30 A.U.</t>
  </si>
  <si>
    <t>Open Girls = 0.25 A.U.</t>
  </si>
  <si>
    <t>Maiden Girls, Immature Stud, Geldings = 0.20 A.U.</t>
  </si>
  <si>
    <t>Elk</t>
  </si>
  <si>
    <t>Weaners, Yearling Calves, Steers or Heifers = 0.4 A.U.</t>
  </si>
  <si>
    <t>Deer</t>
  </si>
  <si>
    <t>Bucks, Bred Does, Doe/Fawn pairs = 0.25 A.U.</t>
  </si>
  <si>
    <t>Open Dowes = 0.20 A.U.</t>
  </si>
  <si>
    <t>Weaned Fawns, Yearlings, Havier = 0.15 A.U.</t>
  </si>
  <si>
    <t>Bison</t>
  </si>
  <si>
    <t>Bulls, Bred Cow or Cow/Calf pair = 1.30 A.U.</t>
  </si>
  <si>
    <t>Open Cows = 1.0 A.U.</t>
  </si>
  <si>
    <t>Yearling Calves, Steers or Heifers = 0.6 A.U.</t>
  </si>
  <si>
    <t>Yearling Calves, Steers and Heifers = 0.6 A.U.</t>
  </si>
  <si>
    <t>Open Cows = 0.6 A.U.</t>
  </si>
  <si>
    <t>Bulls, Bred Cows, Cow/Calf pairs = 1.3 A.U.</t>
  </si>
  <si>
    <t>Bulls, Bred Cows, Cow/Calf pairs = 0.75 A.U.</t>
  </si>
  <si>
    <t>Animal'</t>
  </si>
  <si>
    <t>Donkeys_and_ Ponies</t>
  </si>
  <si>
    <t>Llamas_and_Alpacas</t>
  </si>
  <si>
    <t>Step #1</t>
  </si>
  <si>
    <t>Step #2 -  Select Category</t>
  </si>
  <si>
    <t>MASC Pasture Days Insurance Calculator</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</si>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</sst>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quot;$&quot;#,##0"/>
    <numFmt numFmtId="167" formatCode="&quot;$&quot;#,##0.0000"/>
    <numFmt numFmtId="168" formatCode="[$-1009]mmmm\ d;@"/>
  </numFmts>
  <fonts count="31" x14ac:knownFonts="1">
    <font>
      <sz val="10"/>
      <name val="Arial"/>
    </font>
    <font>
      <sz val="10"/>
      <name val="Arial"/>
      <family val="2"/>
    </font>
    <font>
      <sz val="12"/>
      <name val="Arial"/>
      <family val="2"/>
    </font>
    <font>
      <sz val="12"/>
      <name val="Arial"/>
      <family val="2"/>
    </font>
    <font>
      <b/>
      <sz val="12"/>
      <name val="Arial"/>
      <family val="2"/>
    </font>
    <font>
      <b/>
      <u/>
      <sz val="12"/>
      <name val="Arial"/>
      <family val="2"/>
    </font>
    <font>
      <sz val="14"/>
      <name val="Arial"/>
      <family val="2"/>
    </font>
    <font>
      <sz val="8"/>
      <name val="Arial"/>
      <family val="2"/>
    </font>
    <font>
      <b/>
      <sz val="14"/>
      <name val="Arial"/>
      <family val="2"/>
    </font>
    <font>
      <sz val="22"/>
      <name val="Arial"/>
      <family val="2"/>
    </font>
    <font>
      <b/>
      <sz val="10"/>
      <color indexed="12"/>
      <name val="Arial"/>
      <family val="2"/>
    </font>
    <font>
      <sz val="10"/>
      <name val="Arial"/>
      <family val="2"/>
    </font>
    <font>
      <b/>
      <sz val="10"/>
      <name val="Arial"/>
      <family val="2"/>
    </font>
    <font>
      <sz val="10"/>
      <name val="Arial"/>
      <family val="2"/>
    </font>
    <font>
      <b/>
      <sz val="11"/>
      <name val="Arial"/>
      <family val="2"/>
    </font>
    <font>
      <sz val="9"/>
      <color indexed="81"/>
      <name val="Tahoma"/>
      <family val="2"/>
    </font>
    <font>
      <sz val="10"/>
      <name val="Arial"/>
      <family val="2"/>
    </font>
    <font>
      <u/>
      <sz val="10"/>
      <name val="Arial"/>
      <family val="2"/>
    </font>
    <font>
      <sz val="12"/>
      <name val="Calibri"/>
      <family val="2"/>
    </font>
    <font>
      <b/>
      <sz val="9"/>
      <color indexed="81"/>
      <name val="Tahoma"/>
      <family val="2"/>
    </font>
    <font>
      <sz val="26"/>
      <color indexed="10"/>
      <name val="Times New Roman"/>
      <family val="1"/>
    </font>
    <font>
      <i/>
      <sz val="8"/>
      <name val="Arial"/>
      <family val="2"/>
    </font>
    <font>
      <u/>
      <sz val="11"/>
      <color theme="10"/>
      <name val="Calibri"/>
      <family val="2"/>
    </font>
    <font>
      <b/>
      <sz val="12"/>
      <color rgb="FF0000FF"/>
      <name val="Arial"/>
      <family val="2"/>
    </font>
    <font>
      <b/>
      <sz val="12"/>
      <color theme="3" tint="0.39997558519241921"/>
      <name val="Arial"/>
      <family val="2"/>
    </font>
    <font>
      <b/>
      <sz val="14"/>
      <color theme="1"/>
      <name val="Arial"/>
      <family val="2"/>
    </font>
    <font>
      <sz val="11"/>
      <color theme="1"/>
      <name val="Arial"/>
      <family val="2"/>
    </font>
    <font>
      <sz val="8"/>
      <color theme="1"/>
      <name val="Arial"/>
      <family val="2"/>
    </font>
    <font>
      <b/>
      <sz val="14"/>
      <color rgb="FF008000"/>
      <name val="Calibri"/>
      <family val="2"/>
      <scheme val="minor"/>
    </font>
    <font>
      <b/>
      <sz val="11"/>
      <color rgb="FF0000FF"/>
      <name val="Arial"/>
      <family val="2"/>
    </font>
    <font>
      <u/>
      <sz val="10"/>
      <color theme="10"/>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FF"/>
      </left>
      <right style="medium">
        <color rgb="FF0000FF"/>
      </right>
      <top style="medium">
        <color rgb="FF0000FF"/>
      </top>
      <bottom style="medium">
        <color rgb="FF0000FF"/>
      </bottom>
      <diagonal/>
    </border>
  </borders>
  <cellStyleXfs count="11">
    <xf numFmtId="0" fontId="0" fillId="0" borderId="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0" fontId="13" fillId="0" borderId="0">
      <alignment vertical="top"/>
    </xf>
    <xf numFmtId="0" fontId="11" fillId="0" borderId="0">
      <alignment vertical="top"/>
    </xf>
    <xf numFmtId="0" fontId="2" fillId="0" borderId="0">
      <alignment vertical="top"/>
    </xf>
    <xf numFmtId="0" fontId="2" fillId="0" borderId="0">
      <alignment vertical="top"/>
    </xf>
    <xf numFmtId="0" fontId="11" fillId="0" borderId="0"/>
    <xf numFmtId="0" fontId="16" fillId="0" borderId="0">
      <alignment vertical="top"/>
    </xf>
    <xf numFmtId="9" fontId="1" fillId="0" borderId="0" applyFont="0" applyFill="0" applyBorder="0" applyAlignment="0" applyProtection="0"/>
    <xf numFmtId="0" fontId="30" fillId="0" borderId="0" applyNumberFormat="0" applyFill="0" applyBorder="0" applyAlignment="0" applyProtection="0"/>
  </cellStyleXfs>
  <cellXfs count="76">
    <xf numFmtId="0" fontId="0" fillId="0" borderId="0" xfId="0"/>
    <xf numFmtId="0" fontId="2" fillId="0" borderId="0" xfId="0" applyFont="1"/>
    <xf numFmtId="0" fontId="4" fillId="0" borderId="0" xfId="0" applyFont="1"/>
    <xf numFmtId="165" fontId="4" fillId="0" borderId="0" xfId="0" applyNumberFormat="1" applyFont="1"/>
    <xf numFmtId="0" fontId="4" fillId="0" borderId="0" xfId="0" applyFont="1" applyAlignment="1">
      <alignment horizontal="center"/>
    </xf>
    <xf numFmtId="0" fontId="2" fillId="0" borderId="0" xfId="0" applyFont="1" applyAlignment="1">
      <alignment horizontal="center"/>
    </xf>
    <xf numFmtId="0" fontId="0" fillId="0" borderId="1" xfId="0" applyBorder="1"/>
    <xf numFmtId="0" fontId="5" fillId="0" borderId="0" xfId="0" applyFont="1"/>
    <xf numFmtId="0" fontId="2" fillId="0" borderId="0" xfId="0" applyFont="1" applyAlignment="1">
      <alignment horizontal="left"/>
    </xf>
    <xf numFmtId="3" fontId="4" fillId="0" borderId="0" xfId="0" applyNumberFormat="1" applyFont="1"/>
    <xf numFmtId="1" fontId="4" fillId="0" borderId="0" xfId="0" applyNumberFormat="1" applyFont="1"/>
    <xf numFmtId="2" fontId="4" fillId="0" borderId="0" xfId="0" applyNumberFormat="1" applyFont="1"/>
    <xf numFmtId="0" fontId="11" fillId="0" borderId="0" xfId="0" applyFont="1"/>
    <xf numFmtId="0" fontId="2" fillId="2" borderId="0" xfId="0" applyFont="1" applyFill="1"/>
    <xf numFmtId="0" fontId="24" fillId="0" borderId="0" xfId="0" applyFont="1"/>
    <xf numFmtId="0" fontId="2" fillId="2" borderId="5" xfId="0" applyFont="1" applyFill="1" applyBorder="1"/>
    <xf numFmtId="0" fontId="2" fillId="2" borderId="6" xfId="0" applyFont="1" applyFill="1" applyBorder="1"/>
    <xf numFmtId="0" fontId="2" fillId="2" borderId="10" xfId="0" applyFont="1" applyFill="1" applyBorder="1"/>
    <xf numFmtId="0" fontId="2" fillId="2" borderId="9" xfId="0" applyFont="1" applyFill="1" applyBorder="1"/>
    <xf numFmtId="0" fontId="2" fillId="2" borderId="7" xfId="0" applyFont="1" applyFill="1" applyBorder="1"/>
    <xf numFmtId="0" fontId="2" fillId="2" borderId="8" xfId="0" applyFont="1" applyFill="1" applyBorder="1"/>
    <xf numFmtId="0" fontId="23" fillId="0" borderId="0" xfId="0" applyFont="1"/>
    <xf numFmtId="3" fontId="2" fillId="0" borderId="0" xfId="0" applyNumberFormat="1" applyFont="1"/>
    <xf numFmtId="3" fontId="2" fillId="0" borderId="1" xfId="0" applyNumberFormat="1" applyFont="1" applyBorder="1"/>
    <xf numFmtId="0" fontId="4" fillId="0" borderId="0" xfId="0" applyFont="1" applyAlignment="1">
      <alignment horizontal="right"/>
    </xf>
    <xf numFmtId="167" fontId="4" fillId="0" borderId="0" xfId="0" applyNumberFormat="1" applyFont="1"/>
    <xf numFmtId="0" fontId="18" fillId="0" borderId="0" xfId="0" applyFont="1"/>
    <xf numFmtId="16" fontId="2" fillId="0" borderId="0" xfId="0" applyNumberFormat="1" applyFont="1"/>
    <xf numFmtId="168" fontId="2" fillId="0" borderId="0" xfId="0" applyNumberFormat="1" applyFont="1"/>
    <xf numFmtId="0" fontId="20"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21" fillId="0" borderId="0" xfId="0" applyFont="1" applyAlignment="1">
      <alignment vertical="center"/>
    </xf>
    <xf numFmtId="0" fontId="25" fillId="0" borderId="0" xfId="0" applyFont="1"/>
    <xf numFmtId="0" fontId="26" fillId="0" borderId="0" xfId="0" applyFont="1" applyAlignment="1">
      <alignment horizontal="center"/>
    </xf>
    <xf numFmtId="0" fontId="27" fillId="0" borderId="0" xfId="0" applyFont="1" applyAlignment="1">
      <alignment horizontal="right"/>
    </xf>
    <xf numFmtId="14" fontId="7" fillId="0" borderId="0" xfId="0" applyNumberFormat="1" applyFont="1"/>
    <xf numFmtId="14" fontId="7" fillId="0" borderId="0" xfId="0" applyNumberFormat="1" applyFont="1" applyAlignment="1">
      <alignment horizontal="right"/>
    </xf>
    <xf numFmtId="0" fontId="12" fillId="0" borderId="0" xfId="0" applyFont="1" applyAlignment="1">
      <alignment vertical="center"/>
    </xf>
    <xf numFmtId="0" fontId="28" fillId="0" borderId="0" xfId="0" applyFont="1" applyAlignment="1">
      <alignment wrapText="1"/>
    </xf>
    <xf numFmtId="3" fontId="12" fillId="0" borderId="0" xfId="0" applyNumberFormat="1" applyFont="1" applyAlignment="1">
      <alignment vertical="top" wrapText="1"/>
    </xf>
    <xf numFmtId="3" fontId="6" fillId="0" borderId="0" xfId="0" applyNumberFormat="1" applyFont="1"/>
    <xf numFmtId="0" fontId="12" fillId="0" borderId="1" xfId="0" applyFont="1" applyBorder="1"/>
    <xf numFmtId="3" fontId="23" fillId="0" borderId="0" xfId="0" applyNumberFormat="1" applyFont="1" applyProtection="1">
      <protection locked="0"/>
    </xf>
    <xf numFmtId="168" fontId="23" fillId="0" borderId="0" xfId="9" applyNumberFormat="1" applyFont="1" applyProtection="1">
      <protection locked="0"/>
    </xf>
    <xf numFmtId="0" fontId="23" fillId="0" borderId="0" xfId="0" applyFont="1" applyProtection="1">
      <protection locked="0"/>
    </xf>
    <xf numFmtId="3" fontId="23" fillId="0" borderId="1" xfId="0" applyNumberFormat="1" applyFont="1" applyBorder="1" applyProtection="1">
      <protection locked="0"/>
    </xf>
    <xf numFmtId="0" fontId="2" fillId="0" borderId="0" xfId="0" applyFont="1" applyAlignment="1">
      <alignment horizontal="right"/>
    </xf>
    <xf numFmtId="165" fontId="4" fillId="0" borderId="0" xfId="1" applyNumberFormat="1" applyFont="1" applyProtection="1"/>
    <xf numFmtId="10" fontId="4" fillId="0" borderId="0" xfId="9" applyNumberFormat="1" applyFont="1" applyProtection="1"/>
    <xf numFmtId="9" fontId="4" fillId="0" borderId="0" xfId="9" applyFont="1" applyProtection="1"/>
    <xf numFmtId="0" fontId="3" fillId="0" borderId="0" xfId="0" applyFont="1"/>
    <xf numFmtId="10" fontId="2" fillId="0" borderId="0" xfId="9" applyNumberFormat="1" applyFont="1"/>
    <xf numFmtId="9" fontId="4" fillId="0" borderId="0" xfId="9" applyFont="1" applyProtection="1">
      <protection locked="0"/>
    </xf>
    <xf numFmtId="3" fontId="2" fillId="0" borderId="0" xfId="0" applyNumberFormat="1" applyFont="1" applyAlignment="1">
      <alignment horizontal="left"/>
    </xf>
    <xf numFmtId="168" fontId="4" fillId="0" borderId="0" xfId="0" applyNumberFormat="1" applyFont="1"/>
    <xf numFmtId="3" fontId="4" fillId="0" borderId="0" xfId="0" applyNumberFormat="1" applyFont="1" applyProtection="1">
      <protection locked="0"/>
    </xf>
    <xf numFmtId="166" fontId="0" fillId="0" borderId="0" xfId="0" applyNumberFormat="1"/>
    <xf numFmtId="168" fontId="0" fillId="0" borderId="0" xfId="0" applyNumberFormat="1"/>
    <xf numFmtId="166" fontId="0" fillId="0" borderId="0" xfId="0" applyNumberFormat="1" applyAlignment="1">
      <alignment vertical="center"/>
    </xf>
    <xf numFmtId="3" fontId="0" fillId="0" borderId="0" xfId="0" applyNumberFormat="1"/>
    <xf numFmtId="165" fontId="0" fillId="0" borderId="0" xfId="0" applyNumberFormat="1"/>
    <xf numFmtId="0" fontId="0" fillId="2" borderId="0" xfId="0" applyFill="1"/>
    <xf numFmtId="3" fontId="0" fillId="2" borderId="0" xfId="0" applyNumberFormat="1" applyFill="1"/>
    <xf numFmtId="165" fontId="0" fillId="2" borderId="0" xfId="0" applyNumberFormat="1" applyFill="1"/>
    <xf numFmtId="0" fontId="11" fillId="2" borderId="0" xfId="0" applyFont="1" applyFill="1"/>
    <xf numFmtId="0" fontId="29" fillId="3" borderId="11" xfId="0" applyFont="1" applyFill="1" applyBorder="1" applyProtection="1">
      <protection locked="0"/>
    </xf>
    <xf numFmtId="0" fontId="17" fillId="0" borderId="0" xfId="0" applyFont="1" applyAlignment="1">
      <alignment horizontal="center" vertical="center"/>
    </xf>
    <xf numFmtId="0" fontId="2" fillId="2" borderId="0" xfId="0" quotePrefix="1" applyFont="1" applyFill="1"/>
    <xf numFmtId="0" fontId="2" fillId="0" borderId="5" xfId="0" applyFont="1" applyBorder="1"/>
    <xf numFmtId="0" fontId="14" fillId="0" borderId="0" xfId="0" applyFont="1"/>
    <xf numFmtId="3" fontId="12" fillId="0" borderId="0" xfId="0" applyNumberFormat="1" applyFont="1" applyAlignment="1">
      <alignment horizontal="left" vertical="top"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30" fillId="0" borderId="0" xfId="10" applyAlignment="1">
      <alignment horizontal="center" vertical="center"/>
    </xf>
  </cellXfs>
  <cellStyles count="11">
    <cellStyle name="Currency" xfId="1" builtinId="4"/>
    <cellStyle name="Hyperlink" xfId="10" builtinId="8"/>
    <cellStyle name="Hyperlink 2"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(hide)'!$H$115</c:f>
          <c:strCache>
            <c:ptCount val="1"/>
            <c:pt idx="0">
              <c:v>Indemnity = $8,379 or $57/head</c:v>
            </c:pt>
          </c:strCache>
        </c:strRef>
      </c:tx>
      <c:layout>
        <c:manualLayout>
          <c:xMode val="edge"/>
          <c:yMode val="edge"/>
          <c:x val="0.23427597779785725"/>
          <c:y val="3.0045960412153721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16439569507959978"/>
          <c:w val="0.72574797929215273"/>
          <c:h val="0.58976079955071115"/>
        </c:manualLayout>
      </c:layout>
      <c:barChart>
        <c:barDir val="col"/>
        <c:grouping val="clustered"/>
        <c:varyColors val="0"/>
        <c:ser>
          <c:idx val="3"/>
          <c:order val="0"/>
          <c:tx>
            <c:strRef>
              <c:f>'Chart DATA (hide)'!$F$116</c:f>
              <c:strCache>
                <c:ptCount val="1"/>
                <c:pt idx="0">
                  <c:v>Historic Grazing Days</c:v>
                </c:pt>
              </c:strCache>
            </c:strRef>
          </c:tx>
          <c:spPr>
            <a:solidFill>
              <a:schemeClr val="bg1">
                <a:lumMod val="65000"/>
              </a:schemeClr>
            </a:solidFill>
            <a:ln>
              <a:solidFill>
                <a:schemeClr val="bg1">
                  <a:lumMod val="50000"/>
                </a:schemeClr>
              </a:solidFill>
            </a:ln>
          </c:spPr>
          <c:invertIfNegative val="0"/>
          <c:dPt>
            <c:idx val="1"/>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1-B06A-438C-9C5B-BBDD50D70D46}"/>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'Chart DATA (hide)'!$D$125:$D$127</c:f>
              <c:numCache>
                <c:formatCode>General</c:formatCode>
                <c:ptCount val="3"/>
              </c:numCache>
            </c:numRef>
          </c:cat>
          <c:val>
            <c:numRef>
              <c:f>'Chart DATA (hide)'!$F$117:$F$119</c:f>
              <c:numCache>
                <c:formatCode>#,##0</c:formatCode>
                <c:ptCount val="3"/>
                <c:pt idx="1">
                  <c:v>134</c:v>
                </c:pt>
              </c:numCache>
            </c:numRef>
          </c:val>
          <c:extLst>
            <c:ext xmlns:c16="http://schemas.microsoft.com/office/drawing/2014/chart" uri="{C3380CC4-5D6E-409C-BE32-E72D297353CC}">
              <c16:uniqueId val="{00000000-46BF-4B60-9298-68ADD6041D26}"/>
            </c:ext>
          </c:extLst>
        </c:ser>
        <c:ser>
          <c:idx val="4"/>
          <c:order val="1"/>
          <c:tx>
            <c:strRef>
              <c:f>'Chart DATA (hide)'!$G$116</c:f>
              <c:strCache>
                <c:ptCount val="1"/>
                <c:pt idx="0">
                  <c:v>Pasture Days Covered by AgriInsurance</c:v>
                </c:pt>
              </c:strCache>
            </c:strRef>
          </c:tx>
          <c:spPr>
            <a:solidFill>
              <a:schemeClr val="bg1">
                <a:lumMod val="9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0-B06A-438C-9C5B-BBDD50D70D46}"/>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DATA (hide)'!$D$125:$D$127</c:f>
              <c:numCache>
                <c:formatCode>General</c:formatCode>
                <c:ptCount val="3"/>
              </c:numCache>
            </c:numRef>
          </c:cat>
          <c:val>
            <c:numRef>
              <c:f>'Chart DATA (hide)'!$G$117:$G$119</c:f>
              <c:numCache>
                <c:formatCode>#,##0</c:formatCode>
                <c:ptCount val="3"/>
                <c:pt idx="1">
                  <c:v>121</c:v>
                </c:pt>
              </c:numCache>
            </c:numRef>
          </c:val>
          <c:extLst>
            <c:ext xmlns:c16="http://schemas.microsoft.com/office/drawing/2014/chart" uri="{C3380CC4-5D6E-409C-BE32-E72D297353CC}">
              <c16:uniqueId val="{00000001-46BF-4B60-9298-68ADD6041D26}"/>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'Chart DATA (hide)'!$H$116</c:f>
              <c:strCache>
                <c:ptCount val="1"/>
                <c:pt idx="0">
                  <c:v>101 Actual Grazing Days </c:v>
                </c:pt>
              </c:strCache>
            </c:strRef>
          </c:tx>
          <c:spPr>
            <a:ln w="44450">
              <a:solidFill>
                <a:schemeClr val="tx1"/>
              </a:solidFill>
            </a:ln>
          </c:spPr>
          <c:marker>
            <c:symbol val="none"/>
          </c:marker>
          <c:dLbls>
            <c:dLbl>
              <c:idx val="0"/>
              <c:layout>
                <c:manualLayout>
                  <c:x val="-0.10327903811234786"/>
                  <c:y val="6.1480992295317921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2-46BF-4B60-9298-68ADD6041D26}"/>
                </c:ext>
              </c:extLst>
            </c:dLbl>
            <c:dLbl>
              <c:idx val="1"/>
              <c:delete val="1"/>
              <c:extLst>
                <c:ext xmlns:c15="http://schemas.microsoft.com/office/drawing/2012/chart" uri="{CE6537A1-D6FC-4f65-9D91-7224C49458BB}"/>
                <c:ext xmlns:c16="http://schemas.microsoft.com/office/drawing/2014/chart" uri="{C3380CC4-5D6E-409C-BE32-E72D297353CC}">
                  <c16:uniqueId val="{00000003-46BF-4B60-9298-68ADD6041D26}"/>
                </c:ext>
              </c:extLst>
            </c:dLbl>
            <c:dLbl>
              <c:idx val="2"/>
              <c:delete val="1"/>
              <c:extLst>
                <c:ext xmlns:c15="http://schemas.microsoft.com/office/drawing/2012/chart" uri="{CE6537A1-D6FC-4f65-9D91-7224C49458BB}"/>
                <c:ext xmlns:c16="http://schemas.microsoft.com/office/drawing/2014/chart" uri="{C3380CC4-5D6E-409C-BE32-E72D297353CC}">
                  <c16:uniqueId val="{00000004-46BF-4B60-9298-68ADD6041D26}"/>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'Chart DATA (hide)'!$H$117:$H$119</c:f>
              <c:numCache>
                <c:formatCode>#,##0</c:formatCode>
                <c:ptCount val="3"/>
                <c:pt idx="0">
                  <c:v>101</c:v>
                </c:pt>
                <c:pt idx="1">
                  <c:v>101</c:v>
                </c:pt>
                <c:pt idx="2">
                  <c:v>101</c:v>
                </c:pt>
              </c:numCache>
            </c:numRef>
          </c:val>
          <c:smooth val="0"/>
          <c:extLst>
            <c:ext xmlns:c16="http://schemas.microsoft.com/office/drawing/2014/chart" uri="{C3380CC4-5D6E-409C-BE32-E72D297353CC}">
              <c16:uniqueId val="{00000005-46BF-4B60-9298-68ADD6041D26}"/>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'Chart DATA (hide)'!$D$31</c:f>
              <c:strCache>
                <c:ptCount val="1"/>
                <c:pt idx="0">
                  <c:v>Pasture Insurance Indemnity</c:v>
                </c:pt>
              </c:strCache>
            </c:strRef>
          </c:tx>
          <c:spPr>
            <a:ln w="28575" cap="rnd">
              <a:solidFill>
                <a:schemeClr val="tx1"/>
              </a:solidFill>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(hide)'!$H$32:$H$113</c:f>
              <c:numCache>
                <c:formatCode>"$"#,##0</c:formatCode>
                <c:ptCount val="82"/>
                <c:pt idx="0">
                  <c:v>0</c:v>
                </c:pt>
                <c:pt idx="1">
                  <c:v>256.5</c:v>
                </c:pt>
                <c:pt idx="2">
                  <c:v>684</c:v>
                </c:pt>
                <c:pt idx="3">
                  <c:v>1111.5</c:v>
                </c:pt>
                <c:pt idx="4">
                  <c:v>1539</c:v>
                </c:pt>
                <c:pt idx="5">
                  <c:v>1966.5</c:v>
                </c:pt>
                <c:pt idx="6">
                  <c:v>2394</c:v>
                </c:pt>
                <c:pt idx="7">
                  <c:v>2821.5</c:v>
                </c:pt>
                <c:pt idx="8">
                  <c:v>3249</c:v>
                </c:pt>
                <c:pt idx="9">
                  <c:v>3676.5</c:v>
                </c:pt>
                <c:pt idx="10">
                  <c:v>4104</c:v>
                </c:pt>
                <c:pt idx="11">
                  <c:v>4531.5</c:v>
                </c:pt>
                <c:pt idx="12">
                  <c:v>4959</c:v>
                </c:pt>
                <c:pt idx="13">
                  <c:v>5386.5</c:v>
                </c:pt>
                <c:pt idx="14">
                  <c:v>5814</c:v>
                </c:pt>
                <c:pt idx="15">
                  <c:v>6241.5</c:v>
                </c:pt>
                <c:pt idx="16">
                  <c:v>6669</c:v>
                </c:pt>
                <c:pt idx="17">
                  <c:v>7096.5</c:v>
                </c:pt>
                <c:pt idx="18">
                  <c:v>7524</c:v>
                </c:pt>
                <c:pt idx="19">
                  <c:v>7951.5</c:v>
                </c:pt>
                <c:pt idx="20">
                  <c:v>8379</c:v>
                </c:pt>
                <c:pt idx="21">
                  <c:v>8806.5</c:v>
                </c:pt>
                <c:pt idx="22">
                  <c:v>9234</c:v>
                </c:pt>
                <c:pt idx="23">
                  <c:v>9661.5</c:v>
                </c:pt>
                <c:pt idx="24">
                  <c:v>10089</c:v>
                </c:pt>
                <c:pt idx="25">
                  <c:v>10516.5</c:v>
                </c:pt>
                <c:pt idx="26">
                  <c:v>10944</c:v>
                </c:pt>
                <c:pt idx="27">
                  <c:v>11371.5</c:v>
                </c:pt>
                <c:pt idx="28">
                  <c:v>11799</c:v>
                </c:pt>
                <c:pt idx="29">
                  <c:v>12226.5</c:v>
                </c:pt>
                <c:pt idx="30">
                  <c:v>12654</c:v>
                </c:pt>
                <c:pt idx="31">
                  <c:v>13081.5</c:v>
                </c:pt>
                <c:pt idx="32">
                  <c:v>13509</c:v>
                </c:pt>
                <c:pt idx="33">
                  <c:v>13936.5</c:v>
                </c:pt>
                <c:pt idx="34">
                  <c:v>14364</c:v>
                </c:pt>
                <c:pt idx="35">
                  <c:v>14791.5</c:v>
                </c:pt>
                <c:pt idx="36">
                  <c:v>15219</c:v>
                </c:pt>
                <c:pt idx="37">
                  <c:v>15646.5</c:v>
                </c:pt>
                <c:pt idx="38">
                  <c:v>16074</c:v>
                </c:pt>
                <c:pt idx="39">
                  <c:v>16501.5</c:v>
                </c:pt>
                <c:pt idx="40">
                  <c:v>16929</c:v>
                </c:pt>
                <c:pt idx="41">
                  <c:v>17356.5</c:v>
                </c:pt>
                <c:pt idx="42">
                  <c:v>17784</c:v>
                </c:pt>
                <c:pt idx="43">
                  <c:v>18211.5</c:v>
                </c:pt>
                <c:pt idx="44">
                  <c:v>18639</c:v>
                </c:pt>
                <c:pt idx="45">
                  <c:v>19066.5</c:v>
                </c:pt>
                <c:pt idx="46">
                  <c:v>19494</c:v>
                </c:pt>
                <c:pt idx="47">
                  <c:v>19921.5</c:v>
                </c:pt>
                <c:pt idx="48">
                  <c:v>20349</c:v>
                </c:pt>
                <c:pt idx="49">
                  <c:v>20776.5</c:v>
                </c:pt>
                <c:pt idx="50">
                  <c:v>21204</c:v>
                </c:pt>
                <c:pt idx="51">
                  <c:v>21631.5</c:v>
                </c:pt>
                <c:pt idx="52">
                  <c:v>22059</c:v>
                </c:pt>
                <c:pt idx="53">
                  <c:v>22486.5</c:v>
                </c:pt>
                <c:pt idx="54">
                  <c:v>22914</c:v>
                </c:pt>
                <c:pt idx="55">
                  <c:v>23341.5</c:v>
                </c:pt>
                <c:pt idx="56">
                  <c:v>23769</c:v>
                </c:pt>
                <c:pt idx="57">
                  <c:v>24196.5</c:v>
                </c:pt>
                <c:pt idx="58">
                  <c:v>24624</c:v>
                </c:pt>
                <c:pt idx="59">
                  <c:v>25051.5</c:v>
                </c:pt>
                <c:pt idx="60">
                  <c:v>25479</c:v>
                </c:pt>
                <c:pt idx="61">
                  <c:v>25906.5</c:v>
                </c:pt>
                <c:pt idx="62">
                  <c:v>26334</c:v>
                </c:pt>
                <c:pt idx="63">
                  <c:v>26761.5</c:v>
                </c:pt>
                <c:pt idx="64">
                  <c:v>27189</c:v>
                </c:pt>
                <c:pt idx="65">
                  <c:v>27616.5</c:v>
                </c:pt>
                <c:pt idx="66">
                  <c:v>28044</c:v>
                </c:pt>
                <c:pt idx="67">
                  <c:v>28471.5</c:v>
                </c:pt>
                <c:pt idx="68">
                  <c:v>28899</c:v>
                </c:pt>
                <c:pt idx="69">
                  <c:v>29326.5</c:v>
                </c:pt>
                <c:pt idx="70">
                  <c:v>29754</c:v>
                </c:pt>
                <c:pt idx="71">
                  <c:v>30181.5</c:v>
                </c:pt>
                <c:pt idx="72">
                  <c:v>30609</c:v>
                </c:pt>
                <c:pt idx="73">
                  <c:v>31036.5</c:v>
                </c:pt>
                <c:pt idx="74">
                  <c:v>31464</c:v>
                </c:pt>
                <c:pt idx="75">
                  <c:v>31891.5</c:v>
                </c:pt>
                <c:pt idx="76">
                  <c:v>32319</c:v>
                </c:pt>
                <c:pt idx="77">
                  <c:v>32746.5</c:v>
                </c:pt>
                <c:pt idx="78">
                  <c:v>33174</c:v>
                </c:pt>
                <c:pt idx="79">
                  <c:v>33601.5</c:v>
                </c:pt>
                <c:pt idx="80">
                  <c:v>34029</c:v>
                </c:pt>
                <c:pt idx="81">
                  <c:v>34456.5</c:v>
                </c:pt>
              </c:numCache>
            </c:numRef>
          </c:val>
          <c:smooth val="0"/>
          <c:extLst>
            <c:ext xmlns:c16="http://schemas.microsoft.com/office/drawing/2014/chart" uri="{C3380CC4-5D6E-409C-BE32-E72D297353CC}">
              <c16:uniqueId val="{00000000-355A-47B4-9507-9D80C535FC83}"/>
            </c:ext>
          </c:extLst>
        </c:ser>
        <c:ser>
          <c:idx val="1"/>
          <c:order val="1"/>
          <c:tx>
            <c:strRef>
              <c:f>'Chart DATA (hide)'!$F$31</c:f>
              <c:strCache>
                <c:ptCount val="1"/>
                <c:pt idx="0">
                  <c:v>Breakeven</c:v>
                </c:pt>
              </c:strCache>
            </c:strRef>
          </c:tx>
          <c:spPr>
            <a:ln w="28575" cap="rnd">
              <a:solidFill>
                <a:schemeClr val="tx1"/>
              </a:solidFill>
              <a:prstDash val="dash"/>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(hide)'!$F$32:$F$113</c:f>
              <c:numCache>
                <c:formatCode>"$"#,##0</c:formatCode>
                <c:ptCount val="82"/>
                <c:pt idx="0">
                  <c:v>969.26220000000001</c:v>
                </c:pt>
                <c:pt idx="1">
                  <c:v>969.26220000000001</c:v>
                </c:pt>
                <c:pt idx="2">
                  <c:v>969.26220000000001</c:v>
                </c:pt>
                <c:pt idx="3">
                  <c:v>969.26220000000001</c:v>
                </c:pt>
                <c:pt idx="4">
                  <c:v>969.26220000000001</c:v>
                </c:pt>
                <c:pt idx="5">
                  <c:v>969.26220000000001</c:v>
                </c:pt>
                <c:pt idx="6">
                  <c:v>969.26220000000001</c:v>
                </c:pt>
                <c:pt idx="7">
                  <c:v>969.26220000000001</c:v>
                </c:pt>
                <c:pt idx="8">
                  <c:v>969.26220000000001</c:v>
                </c:pt>
                <c:pt idx="9">
                  <c:v>969.26220000000001</c:v>
                </c:pt>
                <c:pt idx="10">
                  <c:v>969.26220000000001</c:v>
                </c:pt>
                <c:pt idx="11">
                  <c:v>969.26220000000001</c:v>
                </c:pt>
                <c:pt idx="12">
                  <c:v>969.26220000000001</c:v>
                </c:pt>
                <c:pt idx="13">
                  <c:v>969.26220000000001</c:v>
                </c:pt>
                <c:pt idx="14">
                  <c:v>969.26220000000001</c:v>
                </c:pt>
                <c:pt idx="15">
                  <c:v>969.26220000000001</c:v>
                </c:pt>
                <c:pt idx="16">
                  <c:v>969.26220000000001</c:v>
                </c:pt>
                <c:pt idx="17">
                  <c:v>969.26220000000001</c:v>
                </c:pt>
                <c:pt idx="18">
                  <c:v>969.26220000000001</c:v>
                </c:pt>
                <c:pt idx="19">
                  <c:v>969.26220000000001</c:v>
                </c:pt>
                <c:pt idx="20">
                  <c:v>969.26220000000001</c:v>
                </c:pt>
                <c:pt idx="21">
                  <c:v>969.26220000000001</c:v>
                </c:pt>
                <c:pt idx="22">
                  <c:v>969.26220000000001</c:v>
                </c:pt>
                <c:pt idx="23">
                  <c:v>969.26220000000001</c:v>
                </c:pt>
                <c:pt idx="24">
                  <c:v>969.26220000000001</c:v>
                </c:pt>
                <c:pt idx="25">
                  <c:v>969.26220000000001</c:v>
                </c:pt>
                <c:pt idx="26">
                  <c:v>969.26220000000001</c:v>
                </c:pt>
                <c:pt idx="27">
                  <c:v>969.26220000000001</c:v>
                </c:pt>
                <c:pt idx="28">
                  <c:v>969.26220000000001</c:v>
                </c:pt>
                <c:pt idx="29">
                  <c:v>969.26220000000001</c:v>
                </c:pt>
                <c:pt idx="30">
                  <c:v>969.26220000000001</c:v>
                </c:pt>
                <c:pt idx="31">
                  <c:v>969.26220000000001</c:v>
                </c:pt>
                <c:pt idx="32">
                  <c:v>969.26220000000001</c:v>
                </c:pt>
                <c:pt idx="33">
                  <c:v>969.26220000000001</c:v>
                </c:pt>
                <c:pt idx="34">
                  <c:v>969.26220000000001</c:v>
                </c:pt>
                <c:pt idx="35">
                  <c:v>969.26220000000001</c:v>
                </c:pt>
                <c:pt idx="36">
                  <c:v>969.26220000000001</c:v>
                </c:pt>
                <c:pt idx="37">
                  <c:v>969.26220000000001</c:v>
                </c:pt>
                <c:pt idx="38">
                  <c:v>969.26220000000001</c:v>
                </c:pt>
                <c:pt idx="39">
                  <c:v>969.26220000000001</c:v>
                </c:pt>
                <c:pt idx="40">
                  <c:v>969.26220000000001</c:v>
                </c:pt>
                <c:pt idx="41">
                  <c:v>969.26220000000001</c:v>
                </c:pt>
                <c:pt idx="42">
                  <c:v>969.26220000000001</c:v>
                </c:pt>
                <c:pt idx="43">
                  <c:v>969.26220000000001</c:v>
                </c:pt>
                <c:pt idx="44">
                  <c:v>969.26220000000001</c:v>
                </c:pt>
                <c:pt idx="45">
                  <c:v>969.26220000000001</c:v>
                </c:pt>
                <c:pt idx="46">
                  <c:v>969.26220000000001</c:v>
                </c:pt>
                <c:pt idx="47">
                  <c:v>969.26220000000001</c:v>
                </c:pt>
                <c:pt idx="48">
                  <c:v>969.26220000000001</c:v>
                </c:pt>
                <c:pt idx="49">
                  <c:v>969.26220000000001</c:v>
                </c:pt>
                <c:pt idx="50">
                  <c:v>969.26220000000001</c:v>
                </c:pt>
                <c:pt idx="51">
                  <c:v>969.26220000000001</c:v>
                </c:pt>
                <c:pt idx="52">
                  <c:v>969.26220000000001</c:v>
                </c:pt>
                <c:pt idx="53">
                  <c:v>969.26220000000001</c:v>
                </c:pt>
                <c:pt idx="54">
                  <c:v>969.26220000000001</c:v>
                </c:pt>
                <c:pt idx="55">
                  <c:v>969.26220000000001</c:v>
                </c:pt>
                <c:pt idx="56">
                  <c:v>969.26220000000001</c:v>
                </c:pt>
                <c:pt idx="57">
                  <c:v>969.26220000000001</c:v>
                </c:pt>
                <c:pt idx="58">
                  <c:v>969.26220000000001</c:v>
                </c:pt>
                <c:pt idx="59">
                  <c:v>969.26220000000001</c:v>
                </c:pt>
                <c:pt idx="60">
                  <c:v>969.26220000000001</c:v>
                </c:pt>
                <c:pt idx="61">
                  <c:v>969.26220000000001</c:v>
                </c:pt>
                <c:pt idx="62">
                  <c:v>969.26220000000001</c:v>
                </c:pt>
                <c:pt idx="63">
                  <c:v>969.26220000000001</c:v>
                </c:pt>
                <c:pt idx="64">
                  <c:v>969.26220000000001</c:v>
                </c:pt>
                <c:pt idx="65">
                  <c:v>969.26220000000001</c:v>
                </c:pt>
                <c:pt idx="66">
                  <c:v>969.26220000000001</c:v>
                </c:pt>
                <c:pt idx="67">
                  <c:v>969.26220000000001</c:v>
                </c:pt>
                <c:pt idx="68">
                  <c:v>969.26220000000001</c:v>
                </c:pt>
                <c:pt idx="69">
                  <c:v>969.26220000000001</c:v>
                </c:pt>
                <c:pt idx="70">
                  <c:v>969.26220000000001</c:v>
                </c:pt>
                <c:pt idx="71">
                  <c:v>969.26220000000001</c:v>
                </c:pt>
                <c:pt idx="72">
                  <c:v>969.26220000000001</c:v>
                </c:pt>
                <c:pt idx="73">
                  <c:v>969.26220000000001</c:v>
                </c:pt>
                <c:pt idx="74">
                  <c:v>969.26220000000001</c:v>
                </c:pt>
                <c:pt idx="75">
                  <c:v>969.26220000000001</c:v>
                </c:pt>
                <c:pt idx="76">
                  <c:v>969.26220000000001</c:v>
                </c:pt>
                <c:pt idx="77">
                  <c:v>969.26220000000001</c:v>
                </c:pt>
                <c:pt idx="78">
                  <c:v>969.26220000000001</c:v>
                </c:pt>
                <c:pt idx="79">
                  <c:v>969.26220000000001</c:v>
                </c:pt>
                <c:pt idx="80">
                  <c:v>969.26220000000001</c:v>
                </c:pt>
                <c:pt idx="81">
                  <c:v>969.26220000000001</c:v>
                </c:pt>
              </c:numCache>
            </c:numRef>
          </c:val>
          <c:smooth val="0"/>
          <c:extLst>
            <c:ext xmlns:c16="http://schemas.microsoft.com/office/drawing/2014/chart" uri="{C3380CC4-5D6E-409C-BE32-E72D297353CC}">
              <c16:uniqueId val="{00000001-355A-47B4-9507-9D80C535FC83}"/>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(hide)'!$D$29</c:f>
          <c:strCache>
            <c:ptCount val="1"/>
            <c:pt idx="0">
              <c:v>Pasture Insurance Indemnity (based on 146 Head @ 134 days historic grazing period)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DATA (hide)'!$D$31</c:f>
              <c:strCache>
                <c:ptCount val="1"/>
                <c:pt idx="0">
                  <c:v>Pasture Insurance Indemnity</c:v>
                </c:pt>
              </c:strCache>
            </c:strRef>
          </c:tx>
          <c:spPr>
            <a:ln w="28575" cap="rnd">
              <a:solidFill>
                <a:schemeClr val="accent1"/>
              </a:solidFill>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(hide)'!$H$32:$H$113</c:f>
              <c:numCache>
                <c:formatCode>"$"#,##0</c:formatCode>
                <c:ptCount val="82"/>
                <c:pt idx="0">
                  <c:v>0</c:v>
                </c:pt>
                <c:pt idx="1">
                  <c:v>256.5</c:v>
                </c:pt>
                <c:pt idx="2">
                  <c:v>684</c:v>
                </c:pt>
                <c:pt idx="3">
                  <c:v>1111.5</c:v>
                </c:pt>
                <c:pt idx="4">
                  <c:v>1539</c:v>
                </c:pt>
                <c:pt idx="5">
                  <c:v>1966.5</c:v>
                </c:pt>
                <c:pt idx="6">
                  <c:v>2394</c:v>
                </c:pt>
                <c:pt idx="7">
                  <c:v>2821.5</c:v>
                </c:pt>
                <c:pt idx="8">
                  <c:v>3249</c:v>
                </c:pt>
                <c:pt idx="9">
                  <c:v>3676.5</c:v>
                </c:pt>
                <c:pt idx="10">
                  <c:v>4104</c:v>
                </c:pt>
                <c:pt idx="11">
                  <c:v>4531.5</c:v>
                </c:pt>
                <c:pt idx="12">
                  <c:v>4959</c:v>
                </c:pt>
                <c:pt idx="13">
                  <c:v>5386.5</c:v>
                </c:pt>
                <c:pt idx="14">
                  <c:v>5814</c:v>
                </c:pt>
                <c:pt idx="15">
                  <c:v>6241.5</c:v>
                </c:pt>
                <c:pt idx="16">
                  <c:v>6669</c:v>
                </c:pt>
                <c:pt idx="17">
                  <c:v>7096.5</c:v>
                </c:pt>
                <c:pt idx="18">
                  <c:v>7524</c:v>
                </c:pt>
                <c:pt idx="19">
                  <c:v>7951.5</c:v>
                </c:pt>
                <c:pt idx="20">
                  <c:v>8379</c:v>
                </c:pt>
                <c:pt idx="21">
                  <c:v>8806.5</c:v>
                </c:pt>
                <c:pt idx="22">
                  <c:v>9234</c:v>
                </c:pt>
                <c:pt idx="23">
                  <c:v>9661.5</c:v>
                </c:pt>
                <c:pt idx="24">
                  <c:v>10089</c:v>
                </c:pt>
                <c:pt idx="25">
                  <c:v>10516.5</c:v>
                </c:pt>
                <c:pt idx="26">
                  <c:v>10944</c:v>
                </c:pt>
                <c:pt idx="27">
                  <c:v>11371.5</c:v>
                </c:pt>
                <c:pt idx="28">
                  <c:v>11799</c:v>
                </c:pt>
                <c:pt idx="29">
                  <c:v>12226.5</c:v>
                </c:pt>
                <c:pt idx="30">
                  <c:v>12654</c:v>
                </c:pt>
                <c:pt idx="31">
                  <c:v>13081.5</c:v>
                </c:pt>
                <c:pt idx="32">
                  <c:v>13509</c:v>
                </c:pt>
                <c:pt idx="33">
                  <c:v>13936.5</c:v>
                </c:pt>
                <c:pt idx="34">
                  <c:v>14364</c:v>
                </c:pt>
                <c:pt idx="35">
                  <c:v>14791.5</c:v>
                </c:pt>
                <c:pt idx="36">
                  <c:v>15219</c:v>
                </c:pt>
                <c:pt idx="37">
                  <c:v>15646.5</c:v>
                </c:pt>
                <c:pt idx="38">
                  <c:v>16074</c:v>
                </c:pt>
                <c:pt idx="39">
                  <c:v>16501.5</c:v>
                </c:pt>
                <c:pt idx="40">
                  <c:v>16929</c:v>
                </c:pt>
                <c:pt idx="41">
                  <c:v>17356.5</c:v>
                </c:pt>
                <c:pt idx="42">
                  <c:v>17784</c:v>
                </c:pt>
                <c:pt idx="43">
                  <c:v>18211.5</c:v>
                </c:pt>
                <c:pt idx="44">
                  <c:v>18639</c:v>
                </c:pt>
                <c:pt idx="45">
                  <c:v>19066.5</c:v>
                </c:pt>
                <c:pt idx="46">
                  <c:v>19494</c:v>
                </c:pt>
                <c:pt idx="47">
                  <c:v>19921.5</c:v>
                </c:pt>
                <c:pt idx="48">
                  <c:v>20349</c:v>
                </c:pt>
                <c:pt idx="49">
                  <c:v>20776.5</c:v>
                </c:pt>
                <c:pt idx="50">
                  <c:v>21204</c:v>
                </c:pt>
                <c:pt idx="51">
                  <c:v>21631.5</c:v>
                </c:pt>
                <c:pt idx="52">
                  <c:v>22059</c:v>
                </c:pt>
                <c:pt idx="53">
                  <c:v>22486.5</c:v>
                </c:pt>
                <c:pt idx="54">
                  <c:v>22914</c:v>
                </c:pt>
                <c:pt idx="55">
                  <c:v>23341.5</c:v>
                </c:pt>
                <c:pt idx="56">
                  <c:v>23769</c:v>
                </c:pt>
                <c:pt idx="57">
                  <c:v>24196.5</c:v>
                </c:pt>
                <c:pt idx="58">
                  <c:v>24624</c:v>
                </c:pt>
                <c:pt idx="59">
                  <c:v>25051.5</c:v>
                </c:pt>
                <c:pt idx="60">
                  <c:v>25479</c:v>
                </c:pt>
                <c:pt idx="61">
                  <c:v>25906.5</c:v>
                </c:pt>
                <c:pt idx="62">
                  <c:v>26334</c:v>
                </c:pt>
                <c:pt idx="63">
                  <c:v>26761.5</c:v>
                </c:pt>
                <c:pt idx="64">
                  <c:v>27189</c:v>
                </c:pt>
                <c:pt idx="65">
                  <c:v>27616.5</c:v>
                </c:pt>
                <c:pt idx="66">
                  <c:v>28044</c:v>
                </c:pt>
                <c:pt idx="67">
                  <c:v>28471.5</c:v>
                </c:pt>
                <c:pt idx="68">
                  <c:v>28899</c:v>
                </c:pt>
                <c:pt idx="69">
                  <c:v>29326.5</c:v>
                </c:pt>
                <c:pt idx="70">
                  <c:v>29754</c:v>
                </c:pt>
                <c:pt idx="71">
                  <c:v>30181.5</c:v>
                </c:pt>
                <c:pt idx="72">
                  <c:v>30609</c:v>
                </c:pt>
                <c:pt idx="73">
                  <c:v>31036.5</c:v>
                </c:pt>
                <c:pt idx="74">
                  <c:v>31464</c:v>
                </c:pt>
                <c:pt idx="75">
                  <c:v>31891.5</c:v>
                </c:pt>
                <c:pt idx="76">
                  <c:v>32319</c:v>
                </c:pt>
                <c:pt idx="77">
                  <c:v>32746.5</c:v>
                </c:pt>
                <c:pt idx="78">
                  <c:v>33174</c:v>
                </c:pt>
                <c:pt idx="79">
                  <c:v>33601.5</c:v>
                </c:pt>
                <c:pt idx="80">
                  <c:v>34029</c:v>
                </c:pt>
                <c:pt idx="81">
                  <c:v>34456.5</c:v>
                </c:pt>
              </c:numCache>
            </c:numRef>
          </c:val>
          <c:smooth val="0"/>
          <c:extLst>
            <c:ext xmlns:c16="http://schemas.microsoft.com/office/drawing/2014/chart" uri="{C3380CC4-5D6E-409C-BE32-E72D297353CC}">
              <c16:uniqueId val="{00000000-8F19-40B3-A93B-77DE506BA8BE}"/>
            </c:ext>
          </c:extLst>
        </c:ser>
        <c:ser>
          <c:idx val="1"/>
          <c:order val="1"/>
          <c:tx>
            <c:strRef>
              <c:f>'Chart DATA (hide)'!$F$31</c:f>
              <c:strCache>
                <c:ptCount val="1"/>
                <c:pt idx="0">
                  <c:v>Breakeven</c:v>
                </c:pt>
              </c:strCache>
            </c:strRef>
          </c:tx>
          <c:spPr>
            <a:ln w="28575" cap="rnd">
              <a:solidFill>
                <a:schemeClr val="accent2"/>
              </a:solidFill>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(hide)'!$F$32:$F$113</c:f>
              <c:numCache>
                <c:formatCode>"$"#,##0</c:formatCode>
                <c:ptCount val="82"/>
                <c:pt idx="0">
                  <c:v>969.26220000000001</c:v>
                </c:pt>
                <c:pt idx="1">
                  <c:v>969.26220000000001</c:v>
                </c:pt>
                <c:pt idx="2">
                  <c:v>969.26220000000001</c:v>
                </c:pt>
                <c:pt idx="3">
                  <c:v>969.26220000000001</c:v>
                </c:pt>
                <c:pt idx="4">
                  <c:v>969.26220000000001</c:v>
                </c:pt>
                <c:pt idx="5">
                  <c:v>969.26220000000001</c:v>
                </c:pt>
                <c:pt idx="6">
                  <c:v>969.26220000000001</c:v>
                </c:pt>
                <c:pt idx="7">
                  <c:v>969.26220000000001</c:v>
                </c:pt>
                <c:pt idx="8">
                  <c:v>969.26220000000001</c:v>
                </c:pt>
                <c:pt idx="9">
                  <c:v>969.26220000000001</c:v>
                </c:pt>
                <c:pt idx="10">
                  <c:v>969.26220000000001</c:v>
                </c:pt>
                <c:pt idx="11">
                  <c:v>969.26220000000001</c:v>
                </c:pt>
                <c:pt idx="12">
                  <c:v>969.26220000000001</c:v>
                </c:pt>
                <c:pt idx="13">
                  <c:v>969.26220000000001</c:v>
                </c:pt>
                <c:pt idx="14">
                  <c:v>969.26220000000001</c:v>
                </c:pt>
                <c:pt idx="15">
                  <c:v>969.26220000000001</c:v>
                </c:pt>
                <c:pt idx="16">
                  <c:v>969.26220000000001</c:v>
                </c:pt>
                <c:pt idx="17">
                  <c:v>969.26220000000001</c:v>
                </c:pt>
                <c:pt idx="18">
                  <c:v>969.26220000000001</c:v>
                </c:pt>
                <c:pt idx="19">
                  <c:v>969.26220000000001</c:v>
                </c:pt>
                <c:pt idx="20">
                  <c:v>969.26220000000001</c:v>
                </c:pt>
                <c:pt idx="21">
                  <c:v>969.26220000000001</c:v>
                </c:pt>
                <c:pt idx="22">
                  <c:v>969.26220000000001</c:v>
                </c:pt>
                <c:pt idx="23">
                  <c:v>969.26220000000001</c:v>
                </c:pt>
                <c:pt idx="24">
                  <c:v>969.26220000000001</c:v>
                </c:pt>
                <c:pt idx="25">
                  <c:v>969.26220000000001</c:v>
                </c:pt>
                <c:pt idx="26">
                  <c:v>969.26220000000001</c:v>
                </c:pt>
                <c:pt idx="27">
                  <c:v>969.26220000000001</c:v>
                </c:pt>
                <c:pt idx="28">
                  <c:v>969.26220000000001</c:v>
                </c:pt>
                <c:pt idx="29">
                  <c:v>969.26220000000001</c:v>
                </c:pt>
                <c:pt idx="30">
                  <c:v>969.26220000000001</c:v>
                </c:pt>
                <c:pt idx="31">
                  <c:v>969.26220000000001</c:v>
                </c:pt>
                <c:pt idx="32">
                  <c:v>969.26220000000001</c:v>
                </c:pt>
                <c:pt idx="33">
                  <c:v>969.26220000000001</c:v>
                </c:pt>
                <c:pt idx="34">
                  <c:v>969.26220000000001</c:v>
                </c:pt>
                <c:pt idx="35">
                  <c:v>969.26220000000001</c:v>
                </c:pt>
                <c:pt idx="36">
                  <c:v>969.26220000000001</c:v>
                </c:pt>
                <c:pt idx="37">
                  <c:v>969.26220000000001</c:v>
                </c:pt>
                <c:pt idx="38">
                  <c:v>969.26220000000001</c:v>
                </c:pt>
                <c:pt idx="39">
                  <c:v>969.26220000000001</c:v>
                </c:pt>
                <c:pt idx="40">
                  <c:v>969.26220000000001</c:v>
                </c:pt>
                <c:pt idx="41">
                  <c:v>969.26220000000001</c:v>
                </c:pt>
                <c:pt idx="42">
                  <c:v>969.26220000000001</c:v>
                </c:pt>
                <c:pt idx="43">
                  <c:v>969.26220000000001</c:v>
                </c:pt>
                <c:pt idx="44">
                  <c:v>969.26220000000001</c:v>
                </c:pt>
                <c:pt idx="45">
                  <c:v>969.26220000000001</c:v>
                </c:pt>
                <c:pt idx="46">
                  <c:v>969.26220000000001</c:v>
                </c:pt>
                <c:pt idx="47">
                  <c:v>969.26220000000001</c:v>
                </c:pt>
                <c:pt idx="48">
                  <c:v>969.26220000000001</c:v>
                </c:pt>
                <c:pt idx="49">
                  <c:v>969.26220000000001</c:v>
                </c:pt>
                <c:pt idx="50">
                  <c:v>969.26220000000001</c:v>
                </c:pt>
                <c:pt idx="51">
                  <c:v>969.26220000000001</c:v>
                </c:pt>
                <c:pt idx="52">
                  <c:v>969.26220000000001</c:v>
                </c:pt>
                <c:pt idx="53">
                  <c:v>969.26220000000001</c:v>
                </c:pt>
                <c:pt idx="54">
                  <c:v>969.26220000000001</c:v>
                </c:pt>
                <c:pt idx="55">
                  <c:v>969.26220000000001</c:v>
                </c:pt>
                <c:pt idx="56">
                  <c:v>969.26220000000001</c:v>
                </c:pt>
                <c:pt idx="57">
                  <c:v>969.26220000000001</c:v>
                </c:pt>
                <c:pt idx="58">
                  <c:v>969.26220000000001</c:v>
                </c:pt>
                <c:pt idx="59">
                  <c:v>969.26220000000001</c:v>
                </c:pt>
                <c:pt idx="60">
                  <c:v>969.26220000000001</c:v>
                </c:pt>
                <c:pt idx="61">
                  <c:v>969.26220000000001</c:v>
                </c:pt>
                <c:pt idx="62">
                  <c:v>969.26220000000001</c:v>
                </c:pt>
                <c:pt idx="63">
                  <c:v>969.26220000000001</c:v>
                </c:pt>
                <c:pt idx="64">
                  <c:v>969.26220000000001</c:v>
                </c:pt>
                <c:pt idx="65">
                  <c:v>969.26220000000001</c:v>
                </c:pt>
                <c:pt idx="66">
                  <c:v>969.26220000000001</c:v>
                </c:pt>
                <c:pt idx="67">
                  <c:v>969.26220000000001</c:v>
                </c:pt>
                <c:pt idx="68">
                  <c:v>969.26220000000001</c:v>
                </c:pt>
                <c:pt idx="69">
                  <c:v>969.26220000000001</c:v>
                </c:pt>
                <c:pt idx="70">
                  <c:v>969.26220000000001</c:v>
                </c:pt>
                <c:pt idx="71">
                  <c:v>969.26220000000001</c:v>
                </c:pt>
                <c:pt idx="72">
                  <c:v>969.26220000000001</c:v>
                </c:pt>
                <c:pt idx="73">
                  <c:v>969.26220000000001</c:v>
                </c:pt>
                <c:pt idx="74">
                  <c:v>969.26220000000001</c:v>
                </c:pt>
                <c:pt idx="75">
                  <c:v>969.26220000000001</c:v>
                </c:pt>
                <c:pt idx="76">
                  <c:v>969.26220000000001</c:v>
                </c:pt>
                <c:pt idx="77">
                  <c:v>969.26220000000001</c:v>
                </c:pt>
                <c:pt idx="78">
                  <c:v>969.26220000000001</c:v>
                </c:pt>
                <c:pt idx="79">
                  <c:v>969.26220000000001</c:v>
                </c:pt>
                <c:pt idx="80">
                  <c:v>969.26220000000001</c:v>
                </c:pt>
                <c:pt idx="81">
                  <c:v>969.26220000000001</c:v>
                </c:pt>
              </c:numCache>
            </c:numRef>
          </c:val>
          <c:smooth val="0"/>
          <c:extLst>
            <c:ext xmlns:c16="http://schemas.microsoft.com/office/drawing/2014/chart" uri="{C3380CC4-5D6E-409C-BE32-E72D297353CC}">
              <c16:uniqueId val="{00000001-8F19-40B3-A93B-77DE506BA8BE}"/>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 Indemnity</a:t>
                </a:r>
              </a:p>
            </c:rich>
          </c:tx>
          <c:overlay val="0"/>
          <c:spPr>
            <a:noFill/>
            <a:ln>
              <a:noFill/>
            </a:ln>
            <a:effectLst/>
          </c:spPr>
        </c:title>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0</xdr:row>
      <xdr:rowOff>180975</xdr:rowOff>
    </xdr:from>
    <xdr:to>
      <xdr:col>9</xdr:col>
      <xdr:colOff>746125</xdr:colOff>
      <xdr:row>1</xdr:row>
      <xdr:rowOff>134620</xdr:rowOff>
    </xdr:to>
    <xdr:pic>
      <xdr:nvPicPr>
        <xdr:cNvPr id="613470" name="Picture 2" descr="GovMB_Logo_blk10.jpg">
          <a:extLst>
            <a:ext uri="{FF2B5EF4-FFF2-40B4-BE49-F238E27FC236}">
              <a16:creationId xmlns:a16="http://schemas.microsoft.com/office/drawing/2014/main" id="{00000000-0008-0000-0000-00005E5C0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180975"/>
          <a:ext cx="15335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2143125</xdr:colOff>
      <xdr:row>80</xdr:row>
      <xdr:rowOff>47625</xdr:rowOff>
    </xdr:from>
    <xdr:to>
      <xdr:col>4</xdr:col>
      <xdr:colOff>304800</xdr:colOff>
      <xdr:row>85</xdr:row>
      <xdr:rowOff>60325</xdr:rowOff>
    </xdr:to>
    <xdr:pic>
      <xdr:nvPicPr>
        <xdr:cNvPr id="613471" name="Picture 3">
          <a:hlinkClick xmlns:r="http://schemas.openxmlformats.org/officeDocument/2006/relationships" r:id="rId2" tooltip="Click here for a list of Farm Management contacts."/>
          <a:extLst>
            <a:ext uri="{FF2B5EF4-FFF2-40B4-BE49-F238E27FC236}">
              <a16:creationId xmlns:a16="http://schemas.microsoft.com/office/drawing/2014/main" id="{00000000-0008-0000-0000-00005F5C09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 y="153257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66674</xdr:colOff>
      <xdr:row>53</xdr:row>
      <xdr:rowOff>133349</xdr:rowOff>
    </xdr:from>
    <xdr:to>
      <xdr:col>4</xdr:col>
      <xdr:colOff>76200</xdr:colOff>
      <xdr:row>68</xdr:row>
      <xdr:rowOff>133349</xdr:rowOff>
    </xdr:to>
    <xdr:graphicFrame macro="">
      <xdr:nvGraphicFramePr>
        <xdr:cNvPr id="12" name="Chart 3">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152401</xdr:colOff>
      <xdr:row>53</xdr:row>
      <xdr:rowOff>142875</xdr:rowOff>
    </xdr:from>
    <xdr:to>
      <xdr:col>9</xdr:col>
      <xdr:colOff>781051</xdr:colOff>
      <xdr:row>68</xdr:row>
      <xdr:rowOff>133350</xdr:rowOff>
    </xdr:to>
    <xdr:graphicFrame macro="">
      <xdr:nvGraphicFramePr>
        <xdr:cNvPr id="13" name="Chart 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1647825</xdr:colOff>
      <xdr:row>56</xdr:row>
      <xdr:rowOff>57150</xdr:rowOff>
    </xdr:from>
    <xdr:to>
      <xdr:col>2</xdr:col>
      <xdr:colOff>2971800</xdr:colOff>
      <xdr:row>57</xdr:row>
      <xdr:rowOff>95250</xdr:rowOff>
    </xdr:to>
    <xdr:sp macro="" textlink="'Chart DATA (hide)'!B115">
      <xdr:nvSpPr>
        <xdr:cNvPr id="2" name="TextBox 1">
          <a:extLst>
            <a:ext uri="{FF2B5EF4-FFF2-40B4-BE49-F238E27FC236}">
              <a16:creationId xmlns:a16="http://schemas.microsoft.com/office/drawing/2014/main" id="{00000000-0008-0000-0000-000002000000}"/>
            </a:ext>
          </a:extLst>
        </xdr:cNvPr>
        <xdr:cNvSpPr txBox="1"/>
      </xdr:nvSpPr>
      <xdr:spPr>
        <a:xfrm>
          <a:off x="3400425" y="11287125"/>
          <a:ext cx="13239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296530A-CED2-49EC-A833-CE8D17B4F95A}" type="TxLink">
            <a:rPr lang="en-US" sz="1000" b="0" i="0" u="none" strike="noStrike">
              <a:solidFill>
                <a:srgbClr val="000000"/>
              </a:solidFill>
              <a:latin typeface="Arial"/>
              <a:cs typeface="Arial"/>
            </a:rPr>
            <a:pPr algn="ctr"/>
            <a:t>Premium = $969</a:t>
          </a:fld>
          <a:endParaRPr lang="en-CA" sz="600"/>
        </a:p>
      </xdr:txBody>
    </xdr:sp>
    <xdr:clientData/>
  </xdr:twoCellAnchor>
  <xdr:twoCellAnchor>
    <xdr:from>
      <xdr:col>8</xdr:col>
      <xdr:colOff>409575</xdr:colOff>
      <xdr:row>63</xdr:row>
      <xdr:rowOff>0</xdr:rowOff>
    </xdr:from>
    <xdr:to>
      <xdr:col>9</xdr:col>
      <xdr:colOff>581025</xdr:colOff>
      <xdr:row>64</xdr:row>
      <xdr:rowOff>38100</xdr:rowOff>
    </xdr:to>
    <xdr:sp macro="" textlink="'Chart DATA (hide)'!B115">
      <xdr:nvSpPr>
        <xdr:cNvPr id="15" name="TextBox 14">
          <a:extLst>
            <a:ext uri="{FF2B5EF4-FFF2-40B4-BE49-F238E27FC236}">
              <a16:creationId xmlns:a16="http://schemas.microsoft.com/office/drawing/2014/main" id="{00000000-0008-0000-0000-00000F000000}"/>
            </a:ext>
          </a:extLst>
        </xdr:cNvPr>
        <xdr:cNvSpPr txBox="1"/>
      </xdr:nvSpPr>
      <xdr:spPr>
        <a:xfrm>
          <a:off x="8677275" y="12630150"/>
          <a:ext cx="12954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A448977-4A51-4313-8B28-D5E7A52E574D}" type="TxLink">
            <a:rPr lang="en-US" sz="1000" b="0" i="0" u="none" strike="noStrike">
              <a:solidFill>
                <a:srgbClr val="000000"/>
              </a:solidFill>
              <a:latin typeface="Arial"/>
              <a:cs typeface="Arial"/>
            </a:rPr>
            <a:pPr algn="ctr"/>
            <a:t>Premium = $969</a:t>
          </a:fld>
          <a:endParaRPr lang="en-CA" sz="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514350</xdr:colOff>
      <xdr:row>26</xdr:row>
      <xdr:rowOff>38100</xdr:rowOff>
    </xdr:to>
    <xdr:graphicFrame macro="">
      <xdr:nvGraphicFramePr>
        <xdr:cNvPr id="2" name="Chart 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1.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2"/>
  <sheetViews>
    <sheetView tabSelected="1" zoomScaleNormal="100" workbookViewId="0"/>
  </sheetViews>
  <sheetFormatPr defaultRowHeight="13.2" x14ac:dyDescent="0.25"/>
  <cols>
    <col min="1" max="1" width="3" customWidth="1"/>
    <col min="2" max="2" width="23.21875" customWidth="1"/>
    <col min="3" max="3" width="47.5546875" customWidth="1"/>
    <col min="4" max="4" width="3.77734375" customWidth="1"/>
    <col min="5" max="5" width="18.5546875" bestFit="1" customWidth="1"/>
    <col min="7" max="8" width="9.21875" bestFit="1" customWidth="1"/>
    <col min="9" max="9" width="16.77734375" customWidth="1"/>
    <col min="10" max="10" width="16.44140625" customWidth="1"/>
    <col min="13" max="13" width="68.5546875" customWidth="1"/>
    <col min="14" max="14" width="9.21875" customWidth="1"/>
  </cols>
  <sheetData>
    <row r="1" spans="1:10" s="30" customFormat="1" ht="28.5" customHeight="1" x14ac:dyDescent="0.25">
      <c r="A1" s="29"/>
      <c r="B1" s="29"/>
      <c r="C1" s="29"/>
      <c r="D1" s="29"/>
      <c r="E1" s="29"/>
      <c r="F1" s="29"/>
      <c r="G1" s="29"/>
      <c r="H1" s="29"/>
      <c r="I1" s="29"/>
    </row>
    <row r="2" spans="1:10" s="30" customFormat="1" ht="25.5" customHeight="1" x14ac:dyDescent="0.25">
      <c r="A2" s="31" t="s">
        <v>29</v>
      </c>
      <c r="G2" s="32"/>
    </row>
    <row r="3" spans="1:10" ht="17.399999999999999" x14ac:dyDescent="0.3">
      <c r="A3" s="33" t="s">
        <v>30</v>
      </c>
      <c r="B3" s="34"/>
      <c r="C3" s="34"/>
      <c r="D3" s="35"/>
      <c r="E3" s="36"/>
      <c r="G3" s="36"/>
      <c r="I3" s="35" t="s">
        <v>27</v>
      </c>
      <c r="J3" s="36">
        <f ca="1">TODAY()</f>
        <v>45324</v>
      </c>
    </row>
    <row r="4" spans="1:10" ht="9" customHeight="1" x14ac:dyDescent="0.3">
      <c r="A4" s="33"/>
      <c r="B4" s="34"/>
      <c r="C4" s="34"/>
      <c r="D4" s="34"/>
      <c r="E4" s="35"/>
      <c r="F4" s="36"/>
      <c r="G4" s="36"/>
      <c r="I4" s="35"/>
      <c r="J4" s="37"/>
    </row>
    <row r="5" spans="1:10" ht="15" customHeight="1" x14ac:dyDescent="0.35">
      <c r="A5" s="38" t="s">
        <v>28</v>
      </c>
      <c r="B5" s="30"/>
      <c r="C5" s="30"/>
      <c r="E5" s="39"/>
    </row>
    <row r="6" spans="1:10" ht="9" customHeight="1" x14ac:dyDescent="0.25"/>
    <row r="7" spans="1:10" s="1" customFormat="1" ht="15.6" x14ac:dyDescent="0.3">
      <c r="A7" s="7" t="s">
        <v>10</v>
      </c>
      <c r="E7" s="14"/>
      <c r="H7" s="14"/>
    </row>
    <row r="8" spans="1:10" s="1" customFormat="1" ht="15.6" x14ac:dyDescent="0.3">
      <c r="B8" s="1" t="s">
        <v>12</v>
      </c>
      <c r="E8" s="43">
        <v>134</v>
      </c>
      <c r="F8" s="1" t="s">
        <v>11</v>
      </c>
      <c r="G8" s="5" t="s">
        <v>24</v>
      </c>
      <c r="H8" s="2">
        <f>ROUND(E8/30,2)</f>
        <v>4.47</v>
      </c>
      <c r="I8" s="1" t="s">
        <v>23</v>
      </c>
    </row>
    <row r="9" spans="1:10" s="1" customFormat="1" ht="15.6" x14ac:dyDescent="0.3">
      <c r="B9" s="1" t="s">
        <v>13</v>
      </c>
      <c r="E9" s="53">
        <v>0.9</v>
      </c>
      <c r="H9" s="14"/>
    </row>
    <row r="10" spans="1:10" s="1" customFormat="1" ht="15.6" x14ac:dyDescent="0.3">
      <c r="B10" s="1" t="s">
        <v>32</v>
      </c>
      <c r="E10" s="44">
        <v>44696</v>
      </c>
      <c r="H10" s="47" t="s">
        <v>26</v>
      </c>
      <c r="I10" s="28">
        <f>E10+ROUND(E8*E9,0)</f>
        <v>44817</v>
      </c>
      <c r="J10" s="1" t="str">
        <f>", or "&amp;ROUND(E30/G26,0)&amp;" days)"</f>
        <v>, or 121 days)</v>
      </c>
    </row>
    <row r="11" spans="1:10" s="1" customFormat="1" ht="15.6" x14ac:dyDescent="0.3">
      <c r="B11" s="8" t="str">
        <f>"Historical grazing period end date ("&amp;E8&amp;" days)"</f>
        <v>Historical grazing period end date (134 days)</v>
      </c>
      <c r="C11" s="8"/>
      <c r="E11" s="55">
        <f>E10+E8</f>
        <v>44830</v>
      </c>
    </row>
    <row r="12" spans="1:10" s="1" customFormat="1" ht="15.6" x14ac:dyDescent="0.3">
      <c r="B12" s="1" t="s">
        <v>14</v>
      </c>
      <c r="E12" s="48">
        <v>2.25</v>
      </c>
      <c r="H12" s="14"/>
    </row>
    <row r="13" spans="1:10" s="1" customFormat="1" ht="15.6" x14ac:dyDescent="0.3">
      <c r="B13" s="1" t="s">
        <v>20</v>
      </c>
      <c r="E13" s="49">
        <v>4.7E-2</v>
      </c>
      <c r="H13" s="14"/>
    </row>
    <row r="14" spans="1:10" s="1" customFormat="1" ht="15.6" x14ac:dyDescent="0.3">
      <c r="B14" s="1" t="s">
        <v>21</v>
      </c>
      <c r="E14" s="50">
        <v>0.4</v>
      </c>
      <c r="H14" s="14"/>
    </row>
    <row r="15" spans="1:10" s="1" customFormat="1" ht="7.5" customHeight="1" x14ac:dyDescent="0.25"/>
    <row r="16" spans="1:10" s="1" customFormat="1" ht="15.6" x14ac:dyDescent="0.3">
      <c r="A16" s="7" t="s">
        <v>6</v>
      </c>
      <c r="E16" s="45">
        <v>800</v>
      </c>
      <c r="F16" s="1" t="s">
        <v>1</v>
      </c>
    </row>
    <row r="17" spans="1:15" s="1" customFormat="1" ht="7.5" customHeight="1" x14ac:dyDescent="0.3">
      <c r="A17" s="7"/>
      <c r="E17" s="45"/>
    </row>
    <row r="18" spans="1:15" s="1" customFormat="1" ht="15.6" x14ac:dyDescent="0.3">
      <c r="A18" s="7" t="s">
        <v>15</v>
      </c>
      <c r="E18" s="21"/>
    </row>
    <row r="19" spans="1:15" s="1" customFormat="1" ht="16.2" thickBot="1" x14ac:dyDescent="0.35">
      <c r="A19" s="7"/>
      <c r="B19" s="70" t="s">
        <v>83</v>
      </c>
      <c r="C19" s="70" t="s">
        <v>84</v>
      </c>
      <c r="E19" s="4" t="s">
        <v>8</v>
      </c>
      <c r="G19" s="2" t="s">
        <v>9</v>
      </c>
    </row>
    <row r="20" spans="1:15" s="1" customFormat="1" ht="16.2" thickBot="1" x14ac:dyDescent="0.35">
      <c r="B20" s="66" t="s">
        <v>57</v>
      </c>
      <c r="C20" s="66" t="s">
        <v>78</v>
      </c>
      <c r="E20" s="43">
        <v>146</v>
      </c>
      <c r="G20" s="22">
        <f t="shared" ref="G20:G25" si="0">IF(C20="",0,ROUND(VLOOKUP(C20,$C$106:$D$132,2,FALSE)*E20,0))</f>
        <v>190</v>
      </c>
      <c r="O20" s="27"/>
    </row>
    <row r="21" spans="1:15" s="1" customFormat="1" ht="16.2" thickBot="1" x14ac:dyDescent="0.35">
      <c r="B21" s="66" t="s">
        <v>7</v>
      </c>
      <c r="C21" s="66"/>
      <c r="E21" s="43">
        <v>0</v>
      </c>
      <c r="G21" s="22">
        <f t="shared" si="0"/>
        <v>0</v>
      </c>
      <c r="O21" s="27"/>
    </row>
    <row r="22" spans="1:15" s="1" customFormat="1" ht="16.2" thickBot="1" x14ac:dyDescent="0.35">
      <c r="B22" s="66" t="s">
        <v>7</v>
      </c>
      <c r="C22" s="66"/>
      <c r="E22" s="43">
        <v>0</v>
      </c>
      <c r="G22" s="22">
        <f t="shared" si="0"/>
        <v>0</v>
      </c>
      <c r="O22" s="27"/>
    </row>
    <row r="23" spans="1:15" s="1" customFormat="1" ht="16.2" thickBot="1" x14ac:dyDescent="0.35">
      <c r="B23" s="66" t="s">
        <v>7</v>
      </c>
      <c r="C23" s="66"/>
      <c r="E23" s="43">
        <v>0</v>
      </c>
      <c r="G23" s="22">
        <f t="shared" si="0"/>
        <v>0</v>
      </c>
      <c r="O23" s="27"/>
    </row>
    <row r="24" spans="1:15" s="1" customFormat="1" ht="16.2" thickBot="1" x14ac:dyDescent="0.35">
      <c r="B24" s="66" t="s">
        <v>7</v>
      </c>
      <c r="C24" s="66"/>
      <c r="E24" s="43">
        <v>0</v>
      </c>
      <c r="G24" s="22">
        <f t="shared" si="0"/>
        <v>0</v>
      </c>
    </row>
    <row r="25" spans="1:15" s="1" customFormat="1" ht="16.2" thickBot="1" x14ac:dyDescent="0.35">
      <c r="B25" s="66" t="s">
        <v>7</v>
      </c>
      <c r="C25" s="66"/>
      <c r="E25" s="46">
        <v>0</v>
      </c>
      <c r="G25" s="23">
        <f t="shared" si="0"/>
        <v>0</v>
      </c>
    </row>
    <row r="26" spans="1:15" s="1" customFormat="1" ht="15.6" x14ac:dyDescent="0.3">
      <c r="B26" s="24" t="s">
        <v>0</v>
      </c>
      <c r="C26" s="24"/>
      <c r="E26" s="9">
        <f>SUM(E20:E25)</f>
        <v>146</v>
      </c>
      <c r="G26" s="9">
        <f>IF(SUM(G20:G25)&lt;30,0,SUM(G20:G25))</f>
        <v>190</v>
      </c>
    </row>
    <row r="27" spans="1:15" s="1" customFormat="1" ht="7.5" customHeight="1" x14ac:dyDescent="0.25"/>
    <row r="28" spans="1:15" s="1" customFormat="1" ht="15.6" x14ac:dyDescent="0.3">
      <c r="A28" s="7" t="s">
        <v>16</v>
      </c>
      <c r="E28" s="14"/>
      <c r="H28" s="14"/>
    </row>
    <row r="29" spans="1:15" s="1" customFormat="1" ht="15.6" x14ac:dyDescent="0.3">
      <c r="B29" s="1" t="str">
        <f>"Animal Unit Days ("&amp;G26&amp;" AU x "&amp;E8&amp;" days)"</f>
        <v>Animal Unit Days (190 AU x 134 days)</v>
      </c>
      <c r="E29" s="9">
        <f>G26*E8</f>
        <v>25460</v>
      </c>
      <c r="F29" s="1" t="s">
        <v>17</v>
      </c>
      <c r="H29" s="14"/>
    </row>
    <row r="30" spans="1:15" s="1" customFormat="1" ht="15.6" x14ac:dyDescent="0.3">
      <c r="B30" s="1" t="str">
        <f>"Pasture Guarantee ("&amp;TEXT(E29,"#,###")&amp;" x "&amp;E9*100&amp;"% or "&amp;ROUND(E30/G26,0)&amp;" days)"</f>
        <v>Pasture Guarantee (25,460 x 90% or 121 days)</v>
      </c>
      <c r="E30" s="9">
        <f>E29*E9</f>
        <v>22914</v>
      </c>
      <c r="F30" s="1" t="s">
        <v>17</v>
      </c>
      <c r="H30" s="14"/>
    </row>
    <row r="31" spans="1:15" s="1" customFormat="1" ht="15.6" x14ac:dyDescent="0.3">
      <c r="B31" s="1" t="str">
        <f>"Estimated Dollar Coverage ("&amp;TEXT(E30,"#,###")&amp;" AU Days x $"&amp;E12&amp;" per AU)"</f>
        <v>Estimated Dollar Coverage (22,914 AU Days x $2.25 per AU)</v>
      </c>
      <c r="E31" s="3">
        <f>E30*E12</f>
        <v>51556.5</v>
      </c>
      <c r="H31" s="14"/>
    </row>
    <row r="32" spans="1:15" s="1" customFormat="1" ht="15.6" x14ac:dyDescent="0.3">
      <c r="B32" s="1" t="str">
        <f>"Est. Avg. Coverage ($/head/season) = ($"&amp;TEXT(E31,"#,###")&amp;" ÷ "&amp;E26&amp;" head)"</f>
        <v>Est. Avg. Coverage ($/head/season) = ($51,557 ÷ 146 head)</v>
      </c>
      <c r="E32" s="3">
        <f>E31/E26</f>
        <v>353.1267123287671</v>
      </c>
      <c r="H32" s="14"/>
    </row>
    <row r="33" spans="1:11" s="1" customFormat="1" ht="15.6" x14ac:dyDescent="0.3">
      <c r="B33" s="1" t="str">
        <f>"Est. Avg. Coverage ($/head/day) = ($"&amp;TEXT(E32,"#,###.##")&amp;" ÷ "&amp;E8&amp;" days)"</f>
        <v>Est. Avg. Coverage ($/head/day) = ($353.13 ÷ 134 days)</v>
      </c>
      <c r="E33" s="3">
        <f>E32/E8</f>
        <v>2.6352739726027394</v>
      </c>
      <c r="H33" s="14"/>
    </row>
    <row r="34" spans="1:11" s="1" customFormat="1" ht="7.5" customHeight="1" x14ac:dyDescent="0.3">
      <c r="E34" s="3"/>
      <c r="H34" s="14"/>
    </row>
    <row r="35" spans="1:11" s="1" customFormat="1" ht="15.6" x14ac:dyDescent="0.3">
      <c r="A35" s="7" t="s">
        <v>18</v>
      </c>
      <c r="E35" s="14"/>
      <c r="H35" s="14"/>
    </row>
    <row r="36" spans="1:11" s="1" customFormat="1" ht="15.6" x14ac:dyDescent="0.3">
      <c r="B36" s="1" t="s">
        <v>22</v>
      </c>
      <c r="E36" s="14"/>
      <c r="H36" s="14"/>
    </row>
    <row r="37" spans="1:11" s="1" customFormat="1" ht="15.6" x14ac:dyDescent="0.3">
      <c r="B37" s="1" t="str">
        <f>"Premium = ("&amp;E8&amp;" x "&amp;G26&amp;" X "&amp;E9*100&amp;"% x $"&amp;E12&amp;" x "&amp;E13*100&amp;"%)"</f>
        <v>Premium = (134 x 190 X 90% x $2.25 x 4.7%)</v>
      </c>
      <c r="E37" s="3">
        <f>E8*G26*E9*E12*E13</f>
        <v>2423.1554999999998</v>
      </c>
      <c r="H37" s="14"/>
    </row>
    <row r="38" spans="1:11" s="1" customFormat="1" ht="15.6" x14ac:dyDescent="0.3">
      <c r="B38" s="1" t="str">
        <f>"Estimated Producer Premium = ($"&amp;TEXT(E37,"#,###.##")&amp;" x "&amp;E14*100&amp;"%)"</f>
        <v>Estimated Producer Premium = ($2,423.16 x 40%)</v>
      </c>
      <c r="E38" s="3">
        <f>E37*E14</f>
        <v>969.26220000000001</v>
      </c>
      <c r="F38" s="52" t="str">
        <f>" ("&amp;(E38/E31)*100&amp;" % of insured)"</f>
        <v xml:space="preserve"> (1.88 % of insured)</v>
      </c>
      <c r="H38" s="14"/>
    </row>
    <row r="39" spans="1:11" s="1" customFormat="1" ht="15.6" x14ac:dyDescent="0.3">
      <c r="B39" s="1" t="str">
        <f>"Est. Premium ($/Acre) = ($"&amp;TEXT(E38,"#,###.##")&amp;" ÷ "&amp;E16&amp;" acres)"</f>
        <v>Est. Premium ($/Acre) = ($969.26 ÷ 800 acres)</v>
      </c>
      <c r="E39" s="3">
        <f>E38/E16</f>
        <v>1.21157775</v>
      </c>
      <c r="F39" s="12"/>
      <c r="H39" s="14"/>
      <c r="I39" s="14"/>
      <c r="J39" s="14"/>
      <c r="K39" s="26"/>
    </row>
    <row r="40" spans="1:11" s="1" customFormat="1" ht="15.6" x14ac:dyDescent="0.3">
      <c r="B40" s="1" t="str">
        <f>"Est. Premium ($/head/season) = ($"&amp;TEXT(E38,"#,###.##")&amp;" ÷ "&amp;E26&amp;" head)"</f>
        <v>Est. Premium ($/head/season) = ($969.26 ÷ 146 head)</v>
      </c>
      <c r="E40" s="3">
        <f>E38/E26</f>
        <v>6.6387821917808223</v>
      </c>
      <c r="F40" s="12"/>
      <c r="H40" s="14"/>
      <c r="J40" s="14"/>
    </row>
    <row r="41" spans="1:11" s="1" customFormat="1" ht="15.6" x14ac:dyDescent="0.3">
      <c r="B41" s="1" t="str">
        <f>"Est. Premium ($/head/day) = ($"&amp;TEXT(E40,"#,###.##")&amp;" ÷ "&amp;E8&amp;" days)"</f>
        <v>Est. Premium ($/head/day) = ($6.64 ÷ 134 days)</v>
      </c>
      <c r="E41" s="25">
        <f>E40/E8</f>
        <v>4.9543150684931508E-2</v>
      </c>
      <c r="F41" s="12"/>
      <c r="H41" s="14"/>
      <c r="I41" s="14"/>
      <c r="J41" s="14"/>
    </row>
    <row r="42" spans="1:11" s="1" customFormat="1" ht="7.5" customHeight="1" x14ac:dyDescent="0.3">
      <c r="E42" s="14"/>
      <c r="H42" s="14"/>
    </row>
    <row r="43" spans="1:11" s="1" customFormat="1" ht="15.6" x14ac:dyDescent="0.3">
      <c r="A43" s="7" t="s">
        <v>25</v>
      </c>
      <c r="E43" s="14"/>
      <c r="H43" s="14"/>
      <c r="J43" s="54"/>
    </row>
    <row r="44" spans="1:11" s="1" customFormat="1" ht="15.6" x14ac:dyDescent="0.3">
      <c r="B44" s="1" t="s">
        <v>33</v>
      </c>
      <c r="E44" s="44">
        <v>44797</v>
      </c>
      <c r="G44" s="2"/>
      <c r="H44" s="47"/>
      <c r="I44" s="28"/>
      <c r="J44" s="28"/>
    </row>
    <row r="45" spans="1:11" s="1" customFormat="1" ht="15.6" x14ac:dyDescent="0.3">
      <c r="B45" s="1" t="s">
        <v>34</v>
      </c>
      <c r="E45" s="56">
        <f>E44-E10</f>
        <v>101</v>
      </c>
      <c r="F45" s="1" t="s">
        <v>11</v>
      </c>
      <c r="G45" s="28" t="str">
        <f>"("&amp;IF(ROUND(E8*E9,0)-E45&lt;0,0,ROUND(E8*E9,0)-E45)&amp;" days of pasture coverage)"</f>
        <v>(20 days of pasture coverage)</v>
      </c>
      <c r="H45" s="47"/>
    </row>
    <row r="46" spans="1:11" s="1" customFormat="1" ht="15.6" x14ac:dyDescent="0.3">
      <c r="B46" s="1" t="str">
        <f>"Actual Animal Unit Days ("&amp;G26&amp;" AU x "&amp;E45&amp;" days)"</f>
        <v>Actual Animal Unit Days (190 AU x 101 days)</v>
      </c>
      <c r="E46" s="9">
        <f>G26*E45</f>
        <v>19190</v>
      </c>
      <c r="F46" s="1" t="s">
        <v>17</v>
      </c>
      <c r="H46" s="14"/>
    </row>
    <row r="47" spans="1:11" s="1" customFormat="1" ht="15.6" x14ac:dyDescent="0.3">
      <c r="B47" s="1" t="str">
        <f>"Pasture Shortfall ("&amp;TEXT(E30,"#,###")&amp;" - "&amp;TEXT(E46,"#,###")&amp;")"</f>
        <v>Pasture Shortfall (22,914 - 19,190)</v>
      </c>
      <c r="E47" s="9">
        <f>IF(E30-E46&lt;0,0,E30-E46)</f>
        <v>3724</v>
      </c>
      <c r="F47" s="1" t="s">
        <v>17</v>
      </c>
      <c r="G47" s="14"/>
      <c r="H47" s="14"/>
      <c r="K47" s="14"/>
    </row>
    <row r="48" spans="1:11" s="1" customFormat="1" ht="15.6" x14ac:dyDescent="0.3">
      <c r="B48" s="1" t="str">
        <f>"Estimated Indemnity ("&amp;TEXT(E47,"#,###")&amp;" AU Days x $"&amp;E12&amp;")"</f>
        <v>Estimated Indemnity (3,724 AU Days x $2.25)</v>
      </c>
      <c r="E48" s="3">
        <f>E47*E12</f>
        <v>8379</v>
      </c>
      <c r="F48" s="14"/>
      <c r="K48" s="14"/>
    </row>
    <row r="49" spans="1:11" s="1" customFormat="1" ht="15.6" x14ac:dyDescent="0.3">
      <c r="B49" s="1" t="str">
        <f>"Est. Indemnity ($/Acre) = ($"&amp;TEXT(E48,"#,###")&amp;" ÷ "&amp;E16&amp;" acres)"</f>
        <v>Est. Indemnity ($/Acre) = ($8,379 ÷ 800 acres)</v>
      </c>
      <c r="E49" s="3">
        <f>E48/E16</f>
        <v>10.473750000000001</v>
      </c>
      <c r="K49" s="14"/>
    </row>
    <row r="50" spans="1:11" s="1" customFormat="1" ht="15.6" x14ac:dyDescent="0.3">
      <c r="B50" s="1" t="str">
        <f>"Est. Indemnity ($/head/season) = ($"&amp;TEXT(E48,"#,###")&amp;" ÷ "&amp;E26&amp;" head)"</f>
        <v>Est. Indemnity ($/head/season) = ($8,379 ÷ 146 head)</v>
      </c>
      <c r="E50" s="3">
        <f>E48/E26</f>
        <v>57.390410958904113</v>
      </c>
    </row>
    <row r="51" spans="1:11" s="1" customFormat="1" ht="15.6" x14ac:dyDescent="0.3">
      <c r="B51" s="1" t="str">
        <f>"Est. Indemnity ($/head/day) = ($"&amp;TEXT(E50,"#,###.##")&amp;" ÷ "&amp;(ROUND(E8*E9,0)-E45)&amp;" days)"</f>
        <v>Est. Indemnity ($/head/day) = ($57.39 ÷ 20 days)</v>
      </c>
      <c r="E51" s="3">
        <f>IF((ROUND(E8*E9,0)-E45)=0,0,E50/(ROUND(E8*E9,0)-E45))</f>
        <v>2.8695205479452057</v>
      </c>
      <c r="F51" s="14"/>
    </row>
    <row r="52" spans="1:11" s="1" customFormat="1" ht="16.2" thickBot="1" x14ac:dyDescent="0.35">
      <c r="E52" s="3"/>
      <c r="F52" s="14"/>
    </row>
    <row r="53" spans="1:11" s="1" customFormat="1" ht="18" thickBot="1" x14ac:dyDescent="0.35">
      <c r="A53" s="72" t="str">
        <f>"Pasture Insurance Indemnity (based on "&amp;E26&amp;" Head and "&amp;E16&amp;" Acres @ "&amp;E8&amp;" days historic grazing period)"</f>
        <v>Pasture Insurance Indemnity (based on 146 Head and 800 Acres @ 134 days historic grazing period)</v>
      </c>
      <c r="B53" s="73"/>
      <c r="C53" s="73"/>
      <c r="D53" s="73"/>
      <c r="E53" s="73"/>
      <c r="F53" s="73"/>
      <c r="G53" s="73"/>
      <c r="H53" s="73"/>
      <c r="I53" s="73"/>
      <c r="J53" s="74"/>
    </row>
    <row r="54" spans="1:11" s="1" customFormat="1" ht="15.6" x14ac:dyDescent="0.3">
      <c r="E54" s="3"/>
      <c r="F54" s="14"/>
    </row>
    <row r="55" spans="1:11" s="1" customFormat="1" ht="15.6" x14ac:dyDescent="0.3">
      <c r="E55" s="3"/>
      <c r="F55" s="14"/>
    </row>
    <row r="56" spans="1:11" s="1" customFormat="1" ht="15.6" x14ac:dyDescent="0.3">
      <c r="E56" s="3"/>
      <c r="F56" s="14"/>
    </row>
    <row r="57" spans="1:11" s="1" customFormat="1" ht="15.6" x14ac:dyDescent="0.3">
      <c r="E57" s="3"/>
      <c r="F57" s="14"/>
    </row>
    <row r="58" spans="1:11" s="1" customFormat="1" ht="15.6" x14ac:dyDescent="0.3">
      <c r="E58" s="3"/>
      <c r="F58" s="14"/>
    </row>
    <row r="59" spans="1:11" s="1" customFormat="1" ht="15.6" x14ac:dyDescent="0.3">
      <c r="E59" s="3"/>
      <c r="F59" s="14"/>
    </row>
    <row r="60" spans="1:11" s="1" customFormat="1" ht="15.6" x14ac:dyDescent="0.3">
      <c r="E60" s="3"/>
      <c r="F60" s="14"/>
    </row>
    <row r="61" spans="1:11" s="1" customFormat="1" ht="15.6" x14ac:dyDescent="0.3">
      <c r="E61" s="3"/>
      <c r="F61" s="14"/>
    </row>
    <row r="62" spans="1:11" s="1" customFormat="1" ht="15.6" x14ac:dyDescent="0.3">
      <c r="E62" s="3"/>
      <c r="F62" s="14"/>
    </row>
    <row r="63" spans="1:11" s="1" customFormat="1" ht="15.6" x14ac:dyDescent="0.3">
      <c r="E63" s="3"/>
      <c r="F63" s="14"/>
    </row>
    <row r="64" spans="1:11" s="1" customFormat="1" ht="15.6" x14ac:dyDescent="0.3">
      <c r="E64" s="3"/>
      <c r="F64" s="14"/>
    </row>
    <row r="65" spans="1:12" s="1" customFormat="1" ht="15.6" x14ac:dyDescent="0.3">
      <c r="E65" s="3"/>
      <c r="F65" s="14"/>
    </row>
    <row r="66" spans="1:12" s="1" customFormat="1" ht="15.6" x14ac:dyDescent="0.3">
      <c r="E66" s="3"/>
      <c r="F66" s="14"/>
    </row>
    <row r="67" spans="1:12" s="1" customFormat="1" ht="15.6" x14ac:dyDescent="0.3">
      <c r="E67" s="3"/>
      <c r="F67" s="14"/>
    </row>
    <row r="68" spans="1:12" s="1" customFormat="1" ht="15.6" x14ac:dyDescent="0.3">
      <c r="E68" s="3"/>
      <c r="F68" s="14"/>
    </row>
    <row r="69" spans="1:12" s="1" customFormat="1" ht="15.6" x14ac:dyDescent="0.3">
      <c r="E69" s="3"/>
      <c r="F69" s="14"/>
    </row>
    <row r="70" spans="1:12" s="1" customFormat="1" ht="15.6" x14ac:dyDescent="0.3">
      <c r="A70" s="7" t="s">
        <v>35</v>
      </c>
      <c r="E70" s="14"/>
    </row>
    <row r="71" spans="1:12" s="1" customFormat="1" ht="15.6" x14ac:dyDescent="0.3">
      <c r="A71" s="7"/>
      <c r="B71" s="1" t="str">
        <f>"Est. Breakeven removal date from pasture ("&amp;E71-E10&amp;" days)"</f>
        <v>Est. Breakeven removal date from pasture (119 days)</v>
      </c>
      <c r="E71" s="55">
        <f>I10-ROUND((E38/E12)/G26,0)</f>
        <v>44815</v>
      </c>
      <c r="H71" s="47"/>
      <c r="I71" s="28"/>
    </row>
    <row r="72" spans="1:12" s="1" customFormat="1" ht="15.6" x14ac:dyDescent="0.3">
      <c r="A72" s="7"/>
      <c r="B72" s="1" t="str">
        <f>"  (Removal Date Est. Indemnity = $"&amp;ROUND(E38,2)&amp;" Est. Producer Premium)"</f>
        <v xml:space="preserve">  (Removal Date Est. Indemnity = $969.26 Est. Producer Premium)</v>
      </c>
      <c r="E72" s="28"/>
    </row>
    <row r="73" spans="1:12" s="1" customFormat="1" ht="7.5" customHeight="1" x14ac:dyDescent="0.3">
      <c r="A73" s="7"/>
      <c r="E73" s="28"/>
    </row>
    <row r="74" spans="1:12" ht="15.6" x14ac:dyDescent="0.3">
      <c r="A74" s="7" t="s">
        <v>4</v>
      </c>
      <c r="D74" s="5"/>
      <c r="E74" s="51"/>
      <c r="F74" s="2"/>
      <c r="G74" s="1"/>
      <c r="I74" s="2"/>
    </row>
    <row r="75" spans="1:12" ht="15.6" x14ac:dyDescent="0.3">
      <c r="A75" s="1" t="s">
        <v>2</v>
      </c>
      <c r="E75" s="10">
        <f>ROUND(G26*$H$8,0)</f>
        <v>849</v>
      </c>
      <c r="I75" s="10"/>
    </row>
    <row r="76" spans="1:12" ht="15.6" x14ac:dyDescent="0.3">
      <c r="A76" s="1" t="s">
        <v>3</v>
      </c>
      <c r="E76" s="11">
        <f>ROUND(E75/E16,2)</f>
        <v>1.06</v>
      </c>
      <c r="I76" s="11"/>
    </row>
    <row r="77" spans="1:12" ht="7.5" customHeight="1" x14ac:dyDescent="0.25"/>
    <row r="78" spans="1:12" s="41" customFormat="1" ht="14.1" customHeight="1" x14ac:dyDescent="0.3">
      <c r="A78" s="71" t="s">
        <v>31</v>
      </c>
      <c r="B78" s="71"/>
      <c r="C78" s="71"/>
      <c r="D78" s="71"/>
      <c r="E78" s="71"/>
      <c r="F78" s="71"/>
      <c r="G78" s="71"/>
      <c r="H78" s="71"/>
      <c r="I78" s="71"/>
      <c r="J78" s="40"/>
      <c r="K78" s="40"/>
      <c r="L78" s="40"/>
    </row>
    <row r="79" spans="1:12" s="41" customFormat="1" ht="14.1" customHeight="1" x14ac:dyDescent="0.3">
      <c r="A79" s="71"/>
      <c r="B79" s="71"/>
      <c r="C79" s="71"/>
      <c r="D79" s="71"/>
      <c r="E79" s="71"/>
      <c r="F79" s="71"/>
      <c r="G79" s="71"/>
      <c r="H79" s="71"/>
      <c r="I79" s="71"/>
      <c r="J79" s="40"/>
      <c r="K79" s="40"/>
      <c r="L79" s="40"/>
    </row>
    <row r="80" spans="1:12" ht="15" customHeight="1" x14ac:dyDescent="0.25">
      <c r="A80" s="6"/>
      <c r="B80" s="6"/>
      <c r="C80" s="6"/>
      <c r="D80" s="6"/>
      <c r="E80" s="6"/>
      <c r="F80" s="6"/>
      <c r="G80" s="6"/>
      <c r="H80" s="6"/>
      <c r="I80" s="6"/>
      <c r="J80" s="42" t="s">
        <v>86</v>
      </c>
    </row>
    <row r="81" spans="2:10" s="30" customFormat="1" x14ac:dyDescent="0.25"/>
    <row r="82" spans="2:10" s="30" customFormat="1" x14ac:dyDescent="0.25">
      <c r="G82" s="67" t="s">
        <v>43</v>
      </c>
      <c r="H82" s="75" t="s">
        <v>44</v>
      </c>
      <c r="I82" s="75"/>
      <c r="J82" s="75"/>
    </row>
    <row r="83" spans="2:10" s="30" customFormat="1" x14ac:dyDescent="0.25">
      <c r="H83" s="75" t="s">
        <v>85</v>
      </c>
      <c r="I83" s="75"/>
      <c r="J83" s="75"/>
    </row>
    <row r="84" spans="2:10" s="30" customFormat="1" x14ac:dyDescent="0.25"/>
    <row r="85" spans="2:10" s="30" customFormat="1" x14ac:dyDescent="0.25"/>
    <row r="86" spans="2:10" s="30" customFormat="1" x14ac:dyDescent="0.25"/>
    <row r="87" spans="2:10" s="30" customFormat="1" x14ac:dyDescent="0.25"/>
    <row r="90" spans="2:10" ht="15.6" hidden="1" thickBot="1" x14ac:dyDescent="0.3">
      <c r="C90" s="68" t="s">
        <v>80</v>
      </c>
    </row>
    <row r="91" spans="2:10" ht="15" hidden="1" x14ac:dyDescent="0.25">
      <c r="C91" s="69" t="s">
        <v>7</v>
      </c>
    </row>
    <row r="92" spans="2:10" ht="15" hidden="1" x14ac:dyDescent="0.25">
      <c r="B92" s="1"/>
      <c r="C92" s="1" t="s">
        <v>57</v>
      </c>
      <c r="D92" s="1"/>
    </row>
    <row r="93" spans="2:10" ht="15" hidden="1" x14ac:dyDescent="0.25">
      <c r="B93" s="1"/>
      <c r="C93" s="1" t="s">
        <v>48</v>
      </c>
      <c r="D93" s="1"/>
    </row>
    <row r="94" spans="2:10" ht="15" hidden="1" x14ac:dyDescent="0.25">
      <c r="B94" s="1"/>
      <c r="C94" s="1" t="s">
        <v>49</v>
      </c>
      <c r="D94" s="1"/>
    </row>
    <row r="95" spans="2:10" ht="15" hidden="1" x14ac:dyDescent="0.25">
      <c r="B95" s="1"/>
      <c r="C95" s="1" t="s">
        <v>53</v>
      </c>
      <c r="D95" s="1"/>
    </row>
    <row r="96" spans="2:10" ht="15" hidden="1" x14ac:dyDescent="0.25">
      <c r="B96" s="1"/>
      <c r="C96" s="8" t="s">
        <v>81</v>
      </c>
      <c r="D96" s="1"/>
    </row>
    <row r="97" spans="2:4" ht="15" hidden="1" x14ac:dyDescent="0.25">
      <c r="B97" s="1"/>
      <c r="C97" s="8" t="s">
        <v>82</v>
      </c>
      <c r="D97" s="1"/>
    </row>
    <row r="98" spans="2:4" ht="15" hidden="1" x14ac:dyDescent="0.25">
      <c r="B98" s="1"/>
      <c r="C98" s="1" t="s">
        <v>66</v>
      </c>
      <c r="D98" s="1"/>
    </row>
    <row r="99" spans="2:4" ht="15" hidden="1" x14ac:dyDescent="0.25">
      <c r="B99" s="1"/>
      <c r="C99" s="1" t="s">
        <v>68</v>
      </c>
      <c r="D99" s="1"/>
    </row>
    <row r="100" spans="2:4" ht="15" hidden="1" x14ac:dyDescent="0.25">
      <c r="B100" s="1"/>
      <c r="C100" s="1" t="s">
        <v>72</v>
      </c>
      <c r="D100" s="1"/>
    </row>
    <row r="101" spans="2:4" ht="15" hidden="1" x14ac:dyDescent="0.25">
      <c r="B101" s="1"/>
      <c r="C101" s="1"/>
      <c r="D101" s="1"/>
    </row>
    <row r="102" spans="2:4" ht="15" hidden="1" x14ac:dyDescent="0.25">
      <c r="B102" s="1"/>
      <c r="C102" s="1"/>
      <c r="D102" s="1"/>
    </row>
    <row r="103" spans="2:4" ht="15" hidden="1" x14ac:dyDescent="0.25">
      <c r="B103" s="1"/>
      <c r="C103" s="1" t="s">
        <v>5</v>
      </c>
      <c r="D103" s="1"/>
    </row>
    <row r="104" spans="2:4" ht="15.6" hidden="1" thickBot="1" x14ac:dyDescent="0.3">
      <c r="B104" s="1"/>
      <c r="C104" s="13" t="s">
        <v>19</v>
      </c>
      <c r="D104" s="13"/>
    </row>
    <row r="105" spans="2:4" ht="15" hidden="1" x14ac:dyDescent="0.25">
      <c r="B105" s="1"/>
      <c r="C105" s="15" t="s">
        <v>7</v>
      </c>
      <c r="D105" s="16">
        <v>0</v>
      </c>
    </row>
    <row r="106" spans="2:4" ht="15" hidden="1" x14ac:dyDescent="0.25">
      <c r="B106" s="1" t="s">
        <v>57</v>
      </c>
      <c r="C106" s="17" t="s">
        <v>74</v>
      </c>
      <c r="D106" s="18">
        <v>1</v>
      </c>
    </row>
    <row r="107" spans="2:4" ht="15" hidden="1" x14ac:dyDescent="0.25">
      <c r="B107" s="1"/>
      <c r="C107" s="17" t="s">
        <v>78</v>
      </c>
      <c r="D107" s="18">
        <v>1.3</v>
      </c>
    </row>
    <row r="108" spans="2:4" ht="15.6" hidden="1" thickBot="1" x14ac:dyDescent="0.3">
      <c r="B108" s="1"/>
      <c r="C108" s="19" t="s">
        <v>76</v>
      </c>
      <c r="D108" s="20">
        <v>0.6</v>
      </c>
    </row>
    <row r="109" spans="2:4" ht="15" hidden="1" x14ac:dyDescent="0.25">
      <c r="B109" s="1" t="s">
        <v>48</v>
      </c>
      <c r="C109" s="1" t="s">
        <v>45</v>
      </c>
      <c r="D109" s="1">
        <v>0.25</v>
      </c>
    </row>
    <row r="110" spans="2:4" ht="15" hidden="1" x14ac:dyDescent="0.25">
      <c r="B110" s="1"/>
      <c r="C110" s="1" t="s">
        <v>46</v>
      </c>
      <c r="D110" s="1">
        <v>0.2</v>
      </c>
    </row>
    <row r="111" spans="2:4" ht="15" hidden="1" x14ac:dyDescent="0.25">
      <c r="B111" s="1"/>
      <c r="C111" s="1" t="s">
        <v>47</v>
      </c>
      <c r="D111" s="1">
        <v>0.15</v>
      </c>
    </row>
    <row r="112" spans="2:4" ht="15" hidden="1" x14ac:dyDescent="0.25">
      <c r="B112" s="1" t="s">
        <v>49</v>
      </c>
      <c r="C112" s="1" t="s">
        <v>50</v>
      </c>
      <c r="D112" s="1">
        <v>0.2</v>
      </c>
    </row>
    <row r="113" spans="2:4" ht="15" hidden="1" x14ac:dyDescent="0.25">
      <c r="B113" s="1"/>
      <c r="C113" s="1" t="s">
        <v>51</v>
      </c>
      <c r="D113" s="1">
        <v>0.1</v>
      </c>
    </row>
    <row r="114" spans="2:4" ht="15" hidden="1" x14ac:dyDescent="0.25">
      <c r="B114" s="1"/>
      <c r="C114" s="1" t="s">
        <v>52</v>
      </c>
      <c r="D114" s="1">
        <v>0.05</v>
      </c>
    </row>
    <row r="115" spans="2:4" ht="15" hidden="1" x14ac:dyDescent="0.25">
      <c r="B115" s="1" t="s">
        <v>53</v>
      </c>
      <c r="C115" s="1" t="s">
        <v>54</v>
      </c>
      <c r="D115" s="1">
        <v>1.5</v>
      </c>
    </row>
    <row r="116" spans="2:4" ht="15" hidden="1" x14ac:dyDescent="0.25">
      <c r="B116" s="1"/>
      <c r="C116" s="1" t="s">
        <v>55</v>
      </c>
      <c r="D116" s="1">
        <v>1.3</v>
      </c>
    </row>
    <row r="117" spans="2:4" ht="15" hidden="1" x14ac:dyDescent="0.25">
      <c r="B117" s="1"/>
      <c r="C117" s="1" t="s">
        <v>56</v>
      </c>
      <c r="D117" s="1">
        <v>0.75</v>
      </c>
    </row>
    <row r="118" spans="2:4" ht="15" hidden="1" x14ac:dyDescent="0.25">
      <c r="B118" s="47" t="s">
        <v>58</v>
      </c>
      <c r="C118" s="1" t="s">
        <v>61</v>
      </c>
      <c r="D118" s="1">
        <v>0.65</v>
      </c>
    </row>
    <row r="119" spans="2:4" ht="15" hidden="1" x14ac:dyDescent="0.25">
      <c r="B119" s="1"/>
      <c r="C119" s="1" t="s">
        <v>59</v>
      </c>
      <c r="D119" s="1">
        <v>0.5</v>
      </c>
    </row>
    <row r="120" spans="2:4" ht="15" hidden="1" x14ac:dyDescent="0.25">
      <c r="B120" s="1"/>
      <c r="C120" s="1" t="s">
        <v>60</v>
      </c>
      <c r="D120" s="1">
        <v>0.4</v>
      </c>
    </row>
    <row r="121" spans="2:4" ht="15" hidden="1" x14ac:dyDescent="0.25">
      <c r="B121" s="47" t="s">
        <v>62</v>
      </c>
      <c r="C121" s="1" t="s">
        <v>63</v>
      </c>
      <c r="D121" s="1">
        <v>0.3</v>
      </c>
    </row>
    <row r="122" spans="2:4" ht="15" hidden="1" x14ac:dyDescent="0.25">
      <c r="B122" s="1"/>
      <c r="C122" s="1" t="s">
        <v>64</v>
      </c>
      <c r="D122" s="1">
        <v>0.25</v>
      </c>
    </row>
    <row r="123" spans="2:4" ht="15" hidden="1" x14ac:dyDescent="0.25">
      <c r="B123" s="1"/>
      <c r="C123" s="1" t="s">
        <v>65</v>
      </c>
      <c r="D123" s="1">
        <v>0.2</v>
      </c>
    </row>
    <row r="124" spans="2:4" ht="15" hidden="1" x14ac:dyDescent="0.25">
      <c r="B124" s="1" t="s">
        <v>66</v>
      </c>
      <c r="C124" s="17" t="s">
        <v>77</v>
      </c>
      <c r="D124" s="1">
        <v>0.6</v>
      </c>
    </row>
    <row r="125" spans="2:4" ht="15" hidden="1" x14ac:dyDescent="0.25">
      <c r="B125" s="1"/>
      <c r="C125" s="17" t="s">
        <v>79</v>
      </c>
      <c r="D125" s="1">
        <v>0.75</v>
      </c>
    </row>
    <row r="126" spans="2:4" ht="15.6" hidden="1" thickBot="1" x14ac:dyDescent="0.3">
      <c r="B126" s="1"/>
      <c r="C126" s="19" t="s">
        <v>67</v>
      </c>
      <c r="D126" s="1">
        <v>0.4</v>
      </c>
    </row>
    <row r="127" spans="2:4" ht="15" hidden="1" x14ac:dyDescent="0.25">
      <c r="B127" s="1" t="s">
        <v>68</v>
      </c>
      <c r="C127" s="1" t="s">
        <v>69</v>
      </c>
      <c r="D127" s="1">
        <v>0.25</v>
      </c>
    </row>
    <row r="128" spans="2:4" ht="15" hidden="1" x14ac:dyDescent="0.25">
      <c r="B128" s="1"/>
      <c r="C128" s="1" t="s">
        <v>70</v>
      </c>
      <c r="D128" s="1">
        <v>0.2</v>
      </c>
    </row>
    <row r="129" spans="2:4" ht="15" hidden="1" x14ac:dyDescent="0.25">
      <c r="B129" s="1"/>
      <c r="C129" s="1" t="s">
        <v>71</v>
      </c>
      <c r="D129" s="1">
        <v>0.15</v>
      </c>
    </row>
    <row r="130" spans="2:4" ht="15" hidden="1" x14ac:dyDescent="0.25">
      <c r="B130" s="1" t="s">
        <v>72</v>
      </c>
      <c r="C130" s="17" t="s">
        <v>73</v>
      </c>
      <c r="D130" s="1">
        <v>1.3</v>
      </c>
    </row>
    <row r="131" spans="2:4" ht="15" hidden="1" x14ac:dyDescent="0.25">
      <c r="B131" s="1"/>
      <c r="C131" s="17" t="s">
        <v>74</v>
      </c>
      <c r="D131" s="1">
        <v>1</v>
      </c>
    </row>
    <row r="132" spans="2:4" ht="15.6" hidden="1" thickBot="1" x14ac:dyDescent="0.3">
      <c r="B132" s="1"/>
      <c r="C132" s="19" t="s">
        <v>75</v>
      </c>
      <c r="D132" s="1">
        <v>0.6</v>
      </c>
    </row>
  </sheetData>
  <sheetProtection algorithmName="SHA-512" hashValue="sHx9eMsGls99k8nnfapxynL5+RVKekKem7grNntk5sawLTUiUSyiS3i2REKsmBhT1LIQoDigftbSNHE7r0AjWA==" saltValue="tmuCFAKDtOCsuuj6LN/6tg==" spinCount="100000" sheet="1" objects="1" scenarios="1"/>
  <mergeCells count="4">
    <mergeCell ref="A78:I79"/>
    <mergeCell ref="A53:J53"/>
    <mergeCell ref="H82:J82"/>
    <mergeCell ref="H83:J83"/>
  </mergeCells>
  <dataValidations disablePrompts="1" count="2">
    <dataValidation type="list" allowBlank="1" showInputMessage="1" showErrorMessage="1" sqref="B20:B25" xr:uid="{00000000-0002-0000-0000-000000000000}">
      <formula1>Animal</formula1>
    </dataValidation>
    <dataValidation type="list" allowBlank="1" showInputMessage="1" showErrorMessage="1" sqref="C20:C25" xr:uid="{00000000-0002-0000-0000-000001000000}">
      <formula1>INDIRECT(SUBSTITUTE(B20," ",""))</formula1>
    </dataValidation>
  </dataValidations>
  <hyperlinks>
    <hyperlink ref="H82" r:id="rId1" display="MASC Patsure Days Insurance Factsheet" xr:uid="{00000000-0004-0000-0000-000000000000}"/>
    <hyperlink ref="H83" r:id="rId2" display="https://www.masc.mb.ca/masc.nsf/calculator_pasture_days.html" xr:uid="{00000000-0004-0000-0000-000001000000}"/>
    <hyperlink ref="H83:J83" r:id="rId3" display="MASC Pasture Days Insurance Calculator" xr:uid="{00000000-0004-0000-0000-000002000000}"/>
  </hyperlinks>
  <pageMargins left="0.7" right="0.7" top="0.75" bottom="0.75" header="0.3" footer="0.3"/>
  <pageSetup scale="52" orientation="portrait" horizontalDpi="1200"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9:I131"/>
  <sheetViews>
    <sheetView topLeftCell="A88" workbookViewId="0">
      <selection activeCell="B115" sqref="B115"/>
    </sheetView>
  </sheetViews>
  <sheetFormatPr defaultRowHeight="13.2" x14ac:dyDescent="0.25"/>
  <sheetData>
    <row r="29" spans="2:8" s="30" customFormat="1" x14ac:dyDescent="0.25">
      <c r="D29" s="30" t="str">
        <f>"Pasture Insurance Indemnity (based on "&amp;'Pasture Insurance'!E26&amp;" Head @ "&amp;'Pasture Insurance'!E8&amp;" days historic grazing period)"</f>
        <v>Pasture Insurance Indemnity (based on 146 Head @ 134 days historic grazing period)</v>
      </c>
    </row>
    <row r="30" spans="2:8" s="30" customFormat="1" x14ac:dyDescent="0.25">
      <c r="B30"/>
      <c r="C30"/>
      <c r="D30" s="57"/>
      <c r="E30" s="58"/>
    </row>
    <row r="31" spans="2:8" s="30" customFormat="1" x14ac:dyDescent="0.25">
      <c r="B31"/>
      <c r="C31"/>
      <c r="D31" s="57" t="s">
        <v>36</v>
      </c>
      <c r="E31" s="58"/>
      <c r="F31" s="30" t="s">
        <v>37</v>
      </c>
    </row>
    <row r="32" spans="2:8" s="30" customFormat="1" x14ac:dyDescent="0.25">
      <c r="B32">
        <f t="shared" ref="B32:B63" si="0">B33-1</f>
        <v>40</v>
      </c>
      <c r="C32"/>
      <c r="D32" s="57">
        <f>IF(('Pasture Insurance'!$E$30-(B32*'Pasture Insurance'!$G$26))*'Pasture Insurance'!$E$12&lt;0,0,('Pasture Insurance'!$E$30-(B32*'Pasture Insurance'!$G$26))*'Pasture Insurance'!$E$12)</f>
        <v>34456.5</v>
      </c>
      <c r="E32" s="58">
        <f>B32+'Pasture Insurance'!$E$10</f>
        <v>44736</v>
      </c>
      <c r="F32" s="59">
        <f>'Pasture Insurance'!$E$38</f>
        <v>969.26220000000001</v>
      </c>
      <c r="G32" s="30">
        <f>ROUND('Pasture Insurance'!E30/'Pasture Insurance'!G26,0)</f>
        <v>121</v>
      </c>
      <c r="H32" s="59">
        <f>IF(('Pasture Insurance'!$E$30-(G32*'Pasture Insurance'!$G$26))*'Pasture Insurance'!$E$12&lt;0,0,('Pasture Insurance'!$E$30-(G32*'Pasture Insurance'!$G$26))*'Pasture Insurance'!$E$12)</f>
        <v>0</v>
      </c>
    </row>
    <row r="33" spans="2:8" s="30" customFormat="1" x14ac:dyDescent="0.25">
      <c r="B33">
        <f t="shared" si="0"/>
        <v>41</v>
      </c>
      <c r="C33"/>
      <c r="D33" s="57">
        <f>IF(('Pasture Insurance'!$E$30-(B33*'Pasture Insurance'!$G$26))*'Pasture Insurance'!$E$12&lt;0,0,('Pasture Insurance'!$E$30-(B33*'Pasture Insurance'!$G$26))*'Pasture Insurance'!$E$12)</f>
        <v>34029</v>
      </c>
      <c r="E33" s="58">
        <f>B33+'Pasture Insurance'!$E$10</f>
        <v>44737</v>
      </c>
      <c r="F33" s="59">
        <f>'Pasture Insurance'!$E$38</f>
        <v>969.26220000000001</v>
      </c>
      <c r="G33" s="30">
        <f t="shared" ref="G33:G64" si="1">G32-1</f>
        <v>120</v>
      </c>
      <c r="H33" s="59">
        <f>IF(('Pasture Insurance'!$E$30-(G33*'Pasture Insurance'!$G$26))*'Pasture Insurance'!$E$12&lt;0,0,('Pasture Insurance'!$E$30-(G33*'Pasture Insurance'!$G$26))*'Pasture Insurance'!$E$12)</f>
        <v>256.5</v>
      </c>
    </row>
    <row r="34" spans="2:8" s="30" customFormat="1" x14ac:dyDescent="0.25">
      <c r="B34">
        <f t="shared" si="0"/>
        <v>42</v>
      </c>
      <c r="C34"/>
      <c r="D34" s="57">
        <f>IF(('Pasture Insurance'!$E$30-(B34*'Pasture Insurance'!$G$26))*'Pasture Insurance'!$E$12&lt;0,0,('Pasture Insurance'!$E$30-(B34*'Pasture Insurance'!$G$26))*'Pasture Insurance'!$E$12)</f>
        <v>33601.5</v>
      </c>
      <c r="E34" s="58">
        <f>B34+'Pasture Insurance'!$E$10</f>
        <v>44738</v>
      </c>
      <c r="F34" s="59">
        <f>'Pasture Insurance'!$E$38</f>
        <v>969.26220000000001</v>
      </c>
      <c r="G34" s="30">
        <f t="shared" si="1"/>
        <v>119</v>
      </c>
      <c r="H34" s="59">
        <f>IF(('Pasture Insurance'!$E$30-(G34*'Pasture Insurance'!$G$26))*'Pasture Insurance'!$E$12&lt;0,0,('Pasture Insurance'!$E$30-(G34*'Pasture Insurance'!$G$26))*'Pasture Insurance'!$E$12)</f>
        <v>684</v>
      </c>
    </row>
    <row r="35" spans="2:8" s="30" customFormat="1" x14ac:dyDescent="0.25">
      <c r="B35">
        <f t="shared" si="0"/>
        <v>43</v>
      </c>
      <c r="C35"/>
      <c r="D35" s="57">
        <f>IF(('Pasture Insurance'!$E$30-(B35*'Pasture Insurance'!$G$26))*'Pasture Insurance'!$E$12&lt;0,0,('Pasture Insurance'!$E$30-(B35*'Pasture Insurance'!$G$26))*'Pasture Insurance'!$E$12)</f>
        <v>33174</v>
      </c>
      <c r="E35" s="58">
        <f>B35+'Pasture Insurance'!$E$10</f>
        <v>44739</v>
      </c>
      <c r="F35" s="59">
        <f>'Pasture Insurance'!$E$38</f>
        <v>969.26220000000001</v>
      </c>
      <c r="G35" s="30">
        <f t="shared" si="1"/>
        <v>118</v>
      </c>
      <c r="H35" s="59">
        <f>IF(('Pasture Insurance'!$E$30-(G35*'Pasture Insurance'!$G$26))*'Pasture Insurance'!$E$12&lt;0,0,('Pasture Insurance'!$E$30-(G35*'Pasture Insurance'!$G$26))*'Pasture Insurance'!$E$12)</f>
        <v>1111.5</v>
      </c>
    </row>
    <row r="36" spans="2:8" s="30" customFormat="1" x14ac:dyDescent="0.25">
      <c r="B36">
        <f t="shared" si="0"/>
        <v>44</v>
      </c>
      <c r="C36"/>
      <c r="D36" s="57">
        <f>IF(('Pasture Insurance'!$E$30-(B36*'Pasture Insurance'!$G$26))*'Pasture Insurance'!$E$12&lt;0,0,('Pasture Insurance'!$E$30-(B36*'Pasture Insurance'!$G$26))*'Pasture Insurance'!$E$12)</f>
        <v>32746.5</v>
      </c>
      <c r="E36" s="58">
        <f>B36+'Pasture Insurance'!$E$10</f>
        <v>44740</v>
      </c>
      <c r="F36" s="59">
        <f>'Pasture Insurance'!$E$38</f>
        <v>969.26220000000001</v>
      </c>
      <c r="G36" s="30">
        <f t="shared" si="1"/>
        <v>117</v>
      </c>
      <c r="H36" s="59">
        <f>IF(('Pasture Insurance'!$E$30-(G36*'Pasture Insurance'!$G$26))*'Pasture Insurance'!$E$12&lt;0,0,('Pasture Insurance'!$E$30-(G36*'Pasture Insurance'!$G$26))*'Pasture Insurance'!$E$12)</f>
        <v>1539</v>
      </c>
    </row>
    <row r="37" spans="2:8" s="30" customFormat="1" x14ac:dyDescent="0.25">
      <c r="B37">
        <f t="shared" si="0"/>
        <v>45</v>
      </c>
      <c r="C37"/>
      <c r="D37" s="57">
        <f>IF(('Pasture Insurance'!$E$30-(B37*'Pasture Insurance'!$G$26))*'Pasture Insurance'!$E$12&lt;0,0,('Pasture Insurance'!$E$30-(B37*'Pasture Insurance'!$G$26))*'Pasture Insurance'!$E$12)</f>
        <v>32319</v>
      </c>
      <c r="E37" s="58">
        <f>B37+'Pasture Insurance'!$E$10</f>
        <v>44741</v>
      </c>
      <c r="F37" s="59">
        <f>'Pasture Insurance'!$E$38</f>
        <v>969.26220000000001</v>
      </c>
      <c r="G37" s="30">
        <f t="shared" si="1"/>
        <v>116</v>
      </c>
      <c r="H37" s="59">
        <f>IF(('Pasture Insurance'!$E$30-(G37*'Pasture Insurance'!$G$26))*'Pasture Insurance'!$E$12&lt;0,0,('Pasture Insurance'!$E$30-(G37*'Pasture Insurance'!$G$26))*'Pasture Insurance'!$E$12)</f>
        <v>1966.5</v>
      </c>
    </row>
    <row r="38" spans="2:8" s="30" customFormat="1" x14ac:dyDescent="0.25">
      <c r="B38">
        <f t="shared" si="0"/>
        <v>46</v>
      </c>
      <c r="C38"/>
      <c r="D38" s="57">
        <f>IF(('Pasture Insurance'!$E$30-(B38*'Pasture Insurance'!$G$26))*'Pasture Insurance'!$E$12&lt;0,0,('Pasture Insurance'!$E$30-(B38*'Pasture Insurance'!$G$26))*'Pasture Insurance'!$E$12)</f>
        <v>31891.5</v>
      </c>
      <c r="E38" s="58">
        <f>B38+'Pasture Insurance'!$E$10</f>
        <v>44742</v>
      </c>
      <c r="F38" s="59">
        <f>'Pasture Insurance'!$E$38</f>
        <v>969.26220000000001</v>
      </c>
      <c r="G38" s="30">
        <f t="shared" si="1"/>
        <v>115</v>
      </c>
      <c r="H38" s="59">
        <f>IF(('Pasture Insurance'!$E$30-(G38*'Pasture Insurance'!$G$26))*'Pasture Insurance'!$E$12&lt;0,0,('Pasture Insurance'!$E$30-(G38*'Pasture Insurance'!$G$26))*'Pasture Insurance'!$E$12)</f>
        <v>2394</v>
      </c>
    </row>
    <row r="39" spans="2:8" s="30" customFormat="1" x14ac:dyDescent="0.25">
      <c r="B39">
        <f t="shared" si="0"/>
        <v>47</v>
      </c>
      <c r="C39"/>
      <c r="D39" s="57">
        <f>IF(('Pasture Insurance'!$E$30-(B39*'Pasture Insurance'!$G$26))*'Pasture Insurance'!$E$12&lt;0,0,('Pasture Insurance'!$E$30-(B39*'Pasture Insurance'!$G$26))*'Pasture Insurance'!$E$12)</f>
        <v>31464</v>
      </c>
      <c r="E39" s="58">
        <f>B39+'Pasture Insurance'!$E$10</f>
        <v>44743</v>
      </c>
      <c r="F39" s="59">
        <f>'Pasture Insurance'!$E$38</f>
        <v>969.26220000000001</v>
      </c>
      <c r="G39" s="30">
        <f t="shared" si="1"/>
        <v>114</v>
      </c>
      <c r="H39" s="59">
        <f>IF(('Pasture Insurance'!$E$30-(G39*'Pasture Insurance'!$G$26))*'Pasture Insurance'!$E$12&lt;0,0,('Pasture Insurance'!$E$30-(G39*'Pasture Insurance'!$G$26))*'Pasture Insurance'!$E$12)</f>
        <v>2821.5</v>
      </c>
    </row>
    <row r="40" spans="2:8" s="30" customFormat="1" x14ac:dyDescent="0.25">
      <c r="B40">
        <f t="shared" si="0"/>
        <v>48</v>
      </c>
      <c r="C40"/>
      <c r="D40" s="57">
        <f>IF(('Pasture Insurance'!$E$30-(B40*'Pasture Insurance'!$G$26))*'Pasture Insurance'!$E$12&lt;0,0,('Pasture Insurance'!$E$30-(B40*'Pasture Insurance'!$G$26))*'Pasture Insurance'!$E$12)</f>
        <v>31036.5</v>
      </c>
      <c r="E40" s="58">
        <f>B40+'Pasture Insurance'!$E$10</f>
        <v>44744</v>
      </c>
      <c r="F40" s="59">
        <f>'Pasture Insurance'!$E$38</f>
        <v>969.26220000000001</v>
      </c>
      <c r="G40" s="30">
        <f t="shared" si="1"/>
        <v>113</v>
      </c>
      <c r="H40" s="59">
        <f>IF(('Pasture Insurance'!$E$30-(G40*'Pasture Insurance'!$G$26))*'Pasture Insurance'!$E$12&lt;0,0,('Pasture Insurance'!$E$30-(G40*'Pasture Insurance'!$G$26))*'Pasture Insurance'!$E$12)</f>
        <v>3249</v>
      </c>
    </row>
    <row r="41" spans="2:8" s="30" customFormat="1" x14ac:dyDescent="0.25">
      <c r="B41">
        <f t="shared" si="0"/>
        <v>49</v>
      </c>
      <c r="C41"/>
      <c r="D41" s="57">
        <f>IF(('Pasture Insurance'!$E$30-(B41*'Pasture Insurance'!$G$26))*'Pasture Insurance'!$E$12&lt;0,0,('Pasture Insurance'!$E$30-(B41*'Pasture Insurance'!$G$26))*'Pasture Insurance'!$E$12)</f>
        <v>30609</v>
      </c>
      <c r="E41" s="58">
        <f>B41+'Pasture Insurance'!$E$10</f>
        <v>44745</v>
      </c>
      <c r="F41" s="59">
        <f>'Pasture Insurance'!$E$38</f>
        <v>969.26220000000001</v>
      </c>
      <c r="G41" s="30">
        <f t="shared" si="1"/>
        <v>112</v>
      </c>
      <c r="H41" s="59">
        <f>IF(('Pasture Insurance'!$E$30-(G41*'Pasture Insurance'!$G$26))*'Pasture Insurance'!$E$12&lt;0,0,('Pasture Insurance'!$E$30-(G41*'Pasture Insurance'!$G$26))*'Pasture Insurance'!$E$12)</f>
        <v>3676.5</v>
      </c>
    </row>
    <row r="42" spans="2:8" s="30" customFormat="1" x14ac:dyDescent="0.25">
      <c r="B42">
        <f t="shared" si="0"/>
        <v>50</v>
      </c>
      <c r="C42"/>
      <c r="D42" s="57">
        <f>IF(('Pasture Insurance'!$E$30-(B42*'Pasture Insurance'!$G$26))*'Pasture Insurance'!$E$12&lt;0,0,('Pasture Insurance'!$E$30-(B42*'Pasture Insurance'!$G$26))*'Pasture Insurance'!$E$12)</f>
        <v>30181.5</v>
      </c>
      <c r="E42" s="58">
        <f>B42+'Pasture Insurance'!$E$10</f>
        <v>44746</v>
      </c>
      <c r="F42" s="59">
        <f>'Pasture Insurance'!$E$38</f>
        <v>969.26220000000001</v>
      </c>
      <c r="G42" s="30">
        <f t="shared" si="1"/>
        <v>111</v>
      </c>
      <c r="H42" s="59">
        <f>IF(('Pasture Insurance'!$E$30-(G42*'Pasture Insurance'!$G$26))*'Pasture Insurance'!$E$12&lt;0,0,('Pasture Insurance'!$E$30-(G42*'Pasture Insurance'!$G$26))*'Pasture Insurance'!$E$12)</f>
        <v>4104</v>
      </c>
    </row>
    <row r="43" spans="2:8" s="30" customFormat="1" x14ac:dyDescent="0.25">
      <c r="B43">
        <f t="shared" si="0"/>
        <v>51</v>
      </c>
      <c r="C43"/>
      <c r="D43" s="57">
        <f>IF(('Pasture Insurance'!$E$30-(B43*'Pasture Insurance'!$G$26))*'Pasture Insurance'!$E$12&lt;0,0,('Pasture Insurance'!$E$30-(B43*'Pasture Insurance'!$G$26))*'Pasture Insurance'!$E$12)</f>
        <v>29754</v>
      </c>
      <c r="E43" s="58">
        <f>B43+'Pasture Insurance'!$E$10</f>
        <v>44747</v>
      </c>
      <c r="F43" s="59">
        <f>'Pasture Insurance'!$E$38</f>
        <v>969.26220000000001</v>
      </c>
      <c r="G43" s="30">
        <f t="shared" si="1"/>
        <v>110</v>
      </c>
      <c r="H43" s="59">
        <f>IF(('Pasture Insurance'!$E$30-(G43*'Pasture Insurance'!$G$26))*'Pasture Insurance'!$E$12&lt;0,0,('Pasture Insurance'!$E$30-(G43*'Pasture Insurance'!$G$26))*'Pasture Insurance'!$E$12)</f>
        <v>4531.5</v>
      </c>
    </row>
    <row r="44" spans="2:8" s="30" customFormat="1" x14ac:dyDescent="0.25">
      <c r="B44">
        <f t="shared" si="0"/>
        <v>52</v>
      </c>
      <c r="C44"/>
      <c r="D44" s="57">
        <f>IF(('Pasture Insurance'!$E$30-(B44*'Pasture Insurance'!$G$26))*'Pasture Insurance'!$E$12&lt;0,0,('Pasture Insurance'!$E$30-(B44*'Pasture Insurance'!$G$26))*'Pasture Insurance'!$E$12)</f>
        <v>29326.5</v>
      </c>
      <c r="E44" s="58">
        <f>B44+'Pasture Insurance'!$E$10</f>
        <v>44748</v>
      </c>
      <c r="F44" s="59">
        <f>'Pasture Insurance'!$E$38</f>
        <v>969.26220000000001</v>
      </c>
      <c r="G44" s="30">
        <f t="shared" si="1"/>
        <v>109</v>
      </c>
      <c r="H44" s="59">
        <f>IF(('Pasture Insurance'!$E$30-(G44*'Pasture Insurance'!$G$26))*'Pasture Insurance'!$E$12&lt;0,0,('Pasture Insurance'!$E$30-(G44*'Pasture Insurance'!$G$26))*'Pasture Insurance'!$E$12)</f>
        <v>4959</v>
      </c>
    </row>
    <row r="45" spans="2:8" s="30" customFormat="1" x14ac:dyDescent="0.25">
      <c r="B45">
        <f t="shared" si="0"/>
        <v>53</v>
      </c>
      <c r="C45"/>
      <c r="D45" s="57">
        <f>IF(('Pasture Insurance'!$E$30-(B45*'Pasture Insurance'!$G$26))*'Pasture Insurance'!$E$12&lt;0,0,('Pasture Insurance'!$E$30-(B45*'Pasture Insurance'!$G$26))*'Pasture Insurance'!$E$12)</f>
        <v>28899</v>
      </c>
      <c r="E45" s="58">
        <f>B45+'Pasture Insurance'!$E$10</f>
        <v>44749</v>
      </c>
      <c r="F45" s="59">
        <f>'Pasture Insurance'!$E$38</f>
        <v>969.26220000000001</v>
      </c>
      <c r="G45" s="30">
        <f t="shared" si="1"/>
        <v>108</v>
      </c>
      <c r="H45" s="59">
        <f>IF(('Pasture Insurance'!$E$30-(G45*'Pasture Insurance'!$G$26))*'Pasture Insurance'!$E$12&lt;0,0,('Pasture Insurance'!$E$30-(G45*'Pasture Insurance'!$G$26))*'Pasture Insurance'!$E$12)</f>
        <v>5386.5</v>
      </c>
    </row>
    <row r="46" spans="2:8" s="30" customFormat="1" x14ac:dyDescent="0.25">
      <c r="B46">
        <f t="shared" si="0"/>
        <v>54</v>
      </c>
      <c r="C46"/>
      <c r="D46" s="57">
        <f>IF(('Pasture Insurance'!$E$30-(B46*'Pasture Insurance'!$G$26))*'Pasture Insurance'!$E$12&lt;0,0,('Pasture Insurance'!$E$30-(B46*'Pasture Insurance'!$G$26))*'Pasture Insurance'!$E$12)</f>
        <v>28471.5</v>
      </c>
      <c r="E46" s="58">
        <f>B46+'Pasture Insurance'!$E$10</f>
        <v>44750</v>
      </c>
      <c r="F46" s="59">
        <f>'Pasture Insurance'!$E$38</f>
        <v>969.26220000000001</v>
      </c>
      <c r="G46" s="30">
        <f t="shared" si="1"/>
        <v>107</v>
      </c>
      <c r="H46" s="59">
        <f>IF(('Pasture Insurance'!$E$30-(G46*'Pasture Insurance'!$G$26))*'Pasture Insurance'!$E$12&lt;0,0,('Pasture Insurance'!$E$30-(G46*'Pasture Insurance'!$G$26))*'Pasture Insurance'!$E$12)</f>
        <v>5814</v>
      </c>
    </row>
    <row r="47" spans="2:8" s="30" customFormat="1" x14ac:dyDescent="0.25">
      <c r="B47">
        <f t="shared" si="0"/>
        <v>55</v>
      </c>
      <c r="C47"/>
      <c r="D47" s="57">
        <f>IF(('Pasture Insurance'!$E$30-(B47*'Pasture Insurance'!$G$26))*'Pasture Insurance'!$E$12&lt;0,0,('Pasture Insurance'!$E$30-(B47*'Pasture Insurance'!$G$26))*'Pasture Insurance'!$E$12)</f>
        <v>28044</v>
      </c>
      <c r="E47" s="58">
        <f>B47+'Pasture Insurance'!$E$10</f>
        <v>44751</v>
      </c>
      <c r="F47" s="59">
        <f>'Pasture Insurance'!$E$38</f>
        <v>969.26220000000001</v>
      </c>
      <c r="G47" s="30">
        <f t="shared" si="1"/>
        <v>106</v>
      </c>
      <c r="H47" s="59">
        <f>IF(('Pasture Insurance'!$E$30-(G47*'Pasture Insurance'!$G$26))*'Pasture Insurance'!$E$12&lt;0,0,('Pasture Insurance'!$E$30-(G47*'Pasture Insurance'!$G$26))*'Pasture Insurance'!$E$12)</f>
        <v>6241.5</v>
      </c>
    </row>
    <row r="48" spans="2:8" s="30" customFormat="1" x14ac:dyDescent="0.25">
      <c r="B48">
        <f t="shared" si="0"/>
        <v>56</v>
      </c>
      <c r="C48"/>
      <c r="D48" s="57">
        <f>IF(('Pasture Insurance'!$E$30-(B48*'Pasture Insurance'!$G$26))*'Pasture Insurance'!$E$12&lt;0,0,('Pasture Insurance'!$E$30-(B48*'Pasture Insurance'!$G$26))*'Pasture Insurance'!$E$12)</f>
        <v>27616.5</v>
      </c>
      <c r="E48" s="58">
        <f>B48+'Pasture Insurance'!$E$10</f>
        <v>44752</v>
      </c>
      <c r="F48" s="59">
        <f>'Pasture Insurance'!$E$38</f>
        <v>969.26220000000001</v>
      </c>
      <c r="G48" s="30">
        <f t="shared" si="1"/>
        <v>105</v>
      </c>
      <c r="H48" s="59">
        <f>IF(('Pasture Insurance'!$E$30-(G48*'Pasture Insurance'!$G$26))*'Pasture Insurance'!$E$12&lt;0,0,('Pasture Insurance'!$E$30-(G48*'Pasture Insurance'!$G$26))*'Pasture Insurance'!$E$12)</f>
        <v>6669</v>
      </c>
    </row>
    <row r="49" spans="2:8" s="30" customFormat="1" x14ac:dyDescent="0.25">
      <c r="B49">
        <f t="shared" si="0"/>
        <v>57</v>
      </c>
      <c r="C49"/>
      <c r="D49" s="57">
        <f>IF(('Pasture Insurance'!$E$30-(B49*'Pasture Insurance'!$G$26))*'Pasture Insurance'!$E$12&lt;0,0,('Pasture Insurance'!$E$30-(B49*'Pasture Insurance'!$G$26))*'Pasture Insurance'!$E$12)</f>
        <v>27189</v>
      </c>
      <c r="E49" s="58">
        <f>B49+'Pasture Insurance'!$E$10</f>
        <v>44753</v>
      </c>
      <c r="F49" s="59">
        <f>'Pasture Insurance'!$E$38</f>
        <v>969.26220000000001</v>
      </c>
      <c r="G49" s="30">
        <f t="shared" si="1"/>
        <v>104</v>
      </c>
      <c r="H49" s="59">
        <f>IF(('Pasture Insurance'!$E$30-(G49*'Pasture Insurance'!$G$26))*'Pasture Insurance'!$E$12&lt;0,0,('Pasture Insurance'!$E$30-(G49*'Pasture Insurance'!$G$26))*'Pasture Insurance'!$E$12)</f>
        <v>7096.5</v>
      </c>
    </row>
    <row r="50" spans="2:8" s="30" customFormat="1" x14ac:dyDescent="0.25">
      <c r="B50">
        <f t="shared" si="0"/>
        <v>58</v>
      </c>
      <c r="C50"/>
      <c r="D50" s="57">
        <f>IF(('Pasture Insurance'!$E$30-(B50*'Pasture Insurance'!$G$26))*'Pasture Insurance'!$E$12&lt;0,0,('Pasture Insurance'!$E$30-(B50*'Pasture Insurance'!$G$26))*'Pasture Insurance'!$E$12)</f>
        <v>26761.5</v>
      </c>
      <c r="E50" s="58">
        <f>B50+'Pasture Insurance'!$E$10</f>
        <v>44754</v>
      </c>
      <c r="F50" s="59">
        <f>'Pasture Insurance'!$E$38</f>
        <v>969.26220000000001</v>
      </c>
      <c r="G50" s="30">
        <f t="shared" si="1"/>
        <v>103</v>
      </c>
      <c r="H50" s="59">
        <f>IF(('Pasture Insurance'!$E$30-(G50*'Pasture Insurance'!$G$26))*'Pasture Insurance'!$E$12&lt;0,0,('Pasture Insurance'!$E$30-(G50*'Pasture Insurance'!$G$26))*'Pasture Insurance'!$E$12)</f>
        <v>7524</v>
      </c>
    </row>
    <row r="51" spans="2:8" s="30" customFormat="1" x14ac:dyDescent="0.25">
      <c r="B51">
        <f t="shared" si="0"/>
        <v>59</v>
      </c>
      <c r="C51"/>
      <c r="D51" s="57">
        <f>IF(('Pasture Insurance'!$E$30-(B51*'Pasture Insurance'!$G$26))*'Pasture Insurance'!$E$12&lt;0,0,('Pasture Insurance'!$E$30-(B51*'Pasture Insurance'!$G$26))*'Pasture Insurance'!$E$12)</f>
        <v>26334</v>
      </c>
      <c r="E51" s="58">
        <f>B51+'Pasture Insurance'!$E$10</f>
        <v>44755</v>
      </c>
      <c r="F51" s="59">
        <f>'Pasture Insurance'!$E$38</f>
        <v>969.26220000000001</v>
      </c>
      <c r="G51" s="30">
        <f t="shared" si="1"/>
        <v>102</v>
      </c>
      <c r="H51" s="59">
        <f>IF(('Pasture Insurance'!$E$30-(G51*'Pasture Insurance'!$G$26))*'Pasture Insurance'!$E$12&lt;0,0,('Pasture Insurance'!$E$30-(G51*'Pasture Insurance'!$G$26))*'Pasture Insurance'!$E$12)</f>
        <v>7951.5</v>
      </c>
    </row>
    <row r="52" spans="2:8" s="30" customFormat="1" x14ac:dyDescent="0.25">
      <c r="B52">
        <f t="shared" si="0"/>
        <v>60</v>
      </c>
      <c r="C52"/>
      <c r="D52" s="57">
        <f>IF(('Pasture Insurance'!$E$30-(B52*'Pasture Insurance'!$G$26))*'Pasture Insurance'!$E$12&lt;0,0,('Pasture Insurance'!$E$30-(B52*'Pasture Insurance'!$G$26))*'Pasture Insurance'!$E$12)</f>
        <v>25906.5</v>
      </c>
      <c r="E52" s="58">
        <f>B52+'Pasture Insurance'!$E$10</f>
        <v>44756</v>
      </c>
      <c r="F52" s="59">
        <f>'Pasture Insurance'!$E$38</f>
        <v>969.26220000000001</v>
      </c>
      <c r="G52" s="30">
        <f t="shared" si="1"/>
        <v>101</v>
      </c>
      <c r="H52" s="59">
        <f>IF(('Pasture Insurance'!$E$30-(G52*'Pasture Insurance'!$G$26))*'Pasture Insurance'!$E$12&lt;0,0,('Pasture Insurance'!$E$30-(G52*'Pasture Insurance'!$G$26))*'Pasture Insurance'!$E$12)</f>
        <v>8379</v>
      </c>
    </row>
    <row r="53" spans="2:8" s="30" customFormat="1" x14ac:dyDescent="0.25">
      <c r="B53">
        <f t="shared" si="0"/>
        <v>61</v>
      </c>
      <c r="C53"/>
      <c r="D53" s="57">
        <f>IF(('Pasture Insurance'!$E$30-(B53*'Pasture Insurance'!$G$26))*'Pasture Insurance'!$E$12&lt;0,0,('Pasture Insurance'!$E$30-(B53*'Pasture Insurance'!$G$26))*'Pasture Insurance'!$E$12)</f>
        <v>25479</v>
      </c>
      <c r="E53" s="58">
        <f>B53+'Pasture Insurance'!$E$10</f>
        <v>44757</v>
      </c>
      <c r="F53" s="59">
        <f>'Pasture Insurance'!$E$38</f>
        <v>969.26220000000001</v>
      </c>
      <c r="G53" s="30">
        <f t="shared" si="1"/>
        <v>100</v>
      </c>
      <c r="H53" s="59">
        <f>IF(('Pasture Insurance'!$E$30-(G53*'Pasture Insurance'!$G$26))*'Pasture Insurance'!$E$12&lt;0,0,('Pasture Insurance'!$E$30-(G53*'Pasture Insurance'!$G$26))*'Pasture Insurance'!$E$12)</f>
        <v>8806.5</v>
      </c>
    </row>
    <row r="54" spans="2:8" s="30" customFormat="1" x14ac:dyDescent="0.25">
      <c r="B54">
        <f t="shared" si="0"/>
        <v>62</v>
      </c>
      <c r="C54"/>
      <c r="D54" s="57">
        <f>IF(('Pasture Insurance'!$E$30-(B54*'Pasture Insurance'!$G$26))*'Pasture Insurance'!$E$12&lt;0,0,('Pasture Insurance'!$E$30-(B54*'Pasture Insurance'!$G$26))*'Pasture Insurance'!$E$12)</f>
        <v>25051.5</v>
      </c>
      <c r="E54" s="58">
        <f>B54+'Pasture Insurance'!$E$10</f>
        <v>44758</v>
      </c>
      <c r="F54" s="59">
        <f>'Pasture Insurance'!$E$38</f>
        <v>969.26220000000001</v>
      </c>
      <c r="G54" s="30">
        <f t="shared" si="1"/>
        <v>99</v>
      </c>
      <c r="H54" s="59">
        <f>IF(('Pasture Insurance'!$E$30-(G54*'Pasture Insurance'!$G$26))*'Pasture Insurance'!$E$12&lt;0,0,('Pasture Insurance'!$E$30-(G54*'Pasture Insurance'!$G$26))*'Pasture Insurance'!$E$12)</f>
        <v>9234</v>
      </c>
    </row>
    <row r="55" spans="2:8" s="30" customFormat="1" x14ac:dyDescent="0.25">
      <c r="B55">
        <f t="shared" si="0"/>
        <v>63</v>
      </c>
      <c r="C55"/>
      <c r="D55" s="57">
        <f>IF(('Pasture Insurance'!$E$30-(B55*'Pasture Insurance'!$G$26))*'Pasture Insurance'!$E$12&lt;0,0,('Pasture Insurance'!$E$30-(B55*'Pasture Insurance'!$G$26))*'Pasture Insurance'!$E$12)</f>
        <v>24624</v>
      </c>
      <c r="E55" s="58">
        <f>B55+'Pasture Insurance'!$E$10</f>
        <v>44759</v>
      </c>
      <c r="F55" s="59">
        <f>'Pasture Insurance'!$E$38</f>
        <v>969.26220000000001</v>
      </c>
      <c r="G55" s="30">
        <f t="shared" si="1"/>
        <v>98</v>
      </c>
      <c r="H55" s="59">
        <f>IF(('Pasture Insurance'!$E$30-(G55*'Pasture Insurance'!$G$26))*'Pasture Insurance'!$E$12&lt;0,0,('Pasture Insurance'!$E$30-(G55*'Pasture Insurance'!$G$26))*'Pasture Insurance'!$E$12)</f>
        <v>9661.5</v>
      </c>
    </row>
    <row r="56" spans="2:8" s="30" customFormat="1" x14ac:dyDescent="0.25">
      <c r="B56">
        <f t="shared" si="0"/>
        <v>64</v>
      </c>
      <c r="C56"/>
      <c r="D56" s="57">
        <f>IF(('Pasture Insurance'!$E$30-(B56*'Pasture Insurance'!$G$26))*'Pasture Insurance'!$E$12&lt;0,0,('Pasture Insurance'!$E$30-(B56*'Pasture Insurance'!$G$26))*'Pasture Insurance'!$E$12)</f>
        <v>24196.5</v>
      </c>
      <c r="E56" s="58">
        <f>B56+'Pasture Insurance'!$E$10</f>
        <v>44760</v>
      </c>
      <c r="F56" s="59">
        <f>'Pasture Insurance'!$E$38</f>
        <v>969.26220000000001</v>
      </c>
      <c r="G56" s="30">
        <f t="shared" si="1"/>
        <v>97</v>
      </c>
      <c r="H56" s="59">
        <f>IF(('Pasture Insurance'!$E$30-(G56*'Pasture Insurance'!$G$26))*'Pasture Insurance'!$E$12&lt;0,0,('Pasture Insurance'!$E$30-(G56*'Pasture Insurance'!$G$26))*'Pasture Insurance'!$E$12)</f>
        <v>10089</v>
      </c>
    </row>
    <row r="57" spans="2:8" s="30" customFormat="1" x14ac:dyDescent="0.25">
      <c r="B57">
        <f t="shared" si="0"/>
        <v>65</v>
      </c>
      <c r="C57"/>
      <c r="D57" s="57">
        <f>IF(('Pasture Insurance'!$E$30-(B57*'Pasture Insurance'!$G$26))*'Pasture Insurance'!$E$12&lt;0,0,('Pasture Insurance'!$E$30-(B57*'Pasture Insurance'!$G$26))*'Pasture Insurance'!$E$12)</f>
        <v>23769</v>
      </c>
      <c r="E57" s="58">
        <f>B57+'Pasture Insurance'!$E$10</f>
        <v>44761</v>
      </c>
      <c r="F57" s="59">
        <f>'Pasture Insurance'!$E$38</f>
        <v>969.26220000000001</v>
      </c>
      <c r="G57" s="30">
        <f t="shared" si="1"/>
        <v>96</v>
      </c>
      <c r="H57" s="59">
        <f>IF(('Pasture Insurance'!$E$30-(G57*'Pasture Insurance'!$G$26))*'Pasture Insurance'!$E$12&lt;0,0,('Pasture Insurance'!$E$30-(G57*'Pasture Insurance'!$G$26))*'Pasture Insurance'!$E$12)</f>
        <v>10516.5</v>
      </c>
    </row>
    <row r="58" spans="2:8" s="30" customFormat="1" x14ac:dyDescent="0.25">
      <c r="B58">
        <f t="shared" si="0"/>
        <v>66</v>
      </c>
      <c r="C58"/>
      <c r="D58" s="57">
        <f>IF(('Pasture Insurance'!$E$30-(B58*'Pasture Insurance'!$G$26))*'Pasture Insurance'!$E$12&lt;0,0,('Pasture Insurance'!$E$30-(B58*'Pasture Insurance'!$G$26))*'Pasture Insurance'!$E$12)</f>
        <v>23341.5</v>
      </c>
      <c r="E58" s="58">
        <f>B58+'Pasture Insurance'!$E$10</f>
        <v>44762</v>
      </c>
      <c r="F58" s="59">
        <f>'Pasture Insurance'!$E$38</f>
        <v>969.26220000000001</v>
      </c>
      <c r="G58" s="30">
        <f t="shared" si="1"/>
        <v>95</v>
      </c>
      <c r="H58" s="59">
        <f>IF(('Pasture Insurance'!$E$30-(G58*'Pasture Insurance'!$G$26))*'Pasture Insurance'!$E$12&lt;0,0,('Pasture Insurance'!$E$30-(G58*'Pasture Insurance'!$G$26))*'Pasture Insurance'!$E$12)</f>
        <v>10944</v>
      </c>
    </row>
    <row r="59" spans="2:8" s="30" customFormat="1" x14ac:dyDescent="0.25">
      <c r="B59">
        <f t="shared" si="0"/>
        <v>67</v>
      </c>
      <c r="C59"/>
      <c r="D59" s="57">
        <f>IF(('Pasture Insurance'!$E$30-(B59*'Pasture Insurance'!$G$26))*'Pasture Insurance'!$E$12&lt;0,0,('Pasture Insurance'!$E$30-(B59*'Pasture Insurance'!$G$26))*'Pasture Insurance'!$E$12)</f>
        <v>22914</v>
      </c>
      <c r="E59" s="58">
        <f>B59+'Pasture Insurance'!$E$10</f>
        <v>44763</v>
      </c>
      <c r="F59" s="59">
        <f>'Pasture Insurance'!$E$38</f>
        <v>969.26220000000001</v>
      </c>
      <c r="G59" s="30">
        <f t="shared" si="1"/>
        <v>94</v>
      </c>
      <c r="H59" s="59">
        <f>IF(('Pasture Insurance'!$E$30-(G59*'Pasture Insurance'!$G$26))*'Pasture Insurance'!$E$12&lt;0,0,('Pasture Insurance'!$E$30-(G59*'Pasture Insurance'!$G$26))*'Pasture Insurance'!$E$12)</f>
        <v>11371.5</v>
      </c>
    </row>
    <row r="60" spans="2:8" s="30" customFormat="1" x14ac:dyDescent="0.25">
      <c r="B60">
        <f t="shared" si="0"/>
        <v>68</v>
      </c>
      <c r="C60"/>
      <c r="D60" s="57">
        <f>IF(('Pasture Insurance'!$E$30-(B60*'Pasture Insurance'!$G$26))*'Pasture Insurance'!$E$12&lt;0,0,('Pasture Insurance'!$E$30-(B60*'Pasture Insurance'!$G$26))*'Pasture Insurance'!$E$12)</f>
        <v>22486.5</v>
      </c>
      <c r="E60" s="58">
        <f>B60+'Pasture Insurance'!$E$10</f>
        <v>44764</v>
      </c>
      <c r="F60" s="59">
        <f>'Pasture Insurance'!$E$38</f>
        <v>969.26220000000001</v>
      </c>
      <c r="G60" s="30">
        <f t="shared" si="1"/>
        <v>93</v>
      </c>
      <c r="H60" s="59">
        <f>IF(('Pasture Insurance'!$E$30-(G60*'Pasture Insurance'!$G$26))*'Pasture Insurance'!$E$12&lt;0,0,('Pasture Insurance'!$E$30-(G60*'Pasture Insurance'!$G$26))*'Pasture Insurance'!$E$12)</f>
        <v>11799</v>
      </c>
    </row>
    <row r="61" spans="2:8" s="30" customFormat="1" x14ac:dyDescent="0.25">
      <c r="B61">
        <f t="shared" si="0"/>
        <v>69</v>
      </c>
      <c r="C61"/>
      <c r="D61" s="57">
        <f>IF(('Pasture Insurance'!$E$30-(B61*'Pasture Insurance'!$G$26))*'Pasture Insurance'!$E$12&lt;0,0,('Pasture Insurance'!$E$30-(B61*'Pasture Insurance'!$G$26))*'Pasture Insurance'!$E$12)</f>
        <v>22059</v>
      </c>
      <c r="E61" s="58">
        <f>B61+'Pasture Insurance'!$E$10</f>
        <v>44765</v>
      </c>
      <c r="F61" s="59">
        <f>'Pasture Insurance'!$E$38</f>
        <v>969.26220000000001</v>
      </c>
      <c r="G61" s="30">
        <f t="shared" si="1"/>
        <v>92</v>
      </c>
      <c r="H61" s="59">
        <f>IF(('Pasture Insurance'!$E$30-(G61*'Pasture Insurance'!$G$26))*'Pasture Insurance'!$E$12&lt;0,0,('Pasture Insurance'!$E$30-(G61*'Pasture Insurance'!$G$26))*'Pasture Insurance'!$E$12)</f>
        <v>12226.5</v>
      </c>
    </row>
    <row r="62" spans="2:8" s="30" customFormat="1" x14ac:dyDescent="0.25">
      <c r="B62">
        <f t="shared" si="0"/>
        <v>70</v>
      </c>
      <c r="C62"/>
      <c r="D62" s="57">
        <f>IF(('Pasture Insurance'!$E$30-(B62*'Pasture Insurance'!$G$26))*'Pasture Insurance'!$E$12&lt;0,0,('Pasture Insurance'!$E$30-(B62*'Pasture Insurance'!$G$26))*'Pasture Insurance'!$E$12)</f>
        <v>21631.5</v>
      </c>
      <c r="E62" s="58">
        <f>B62+'Pasture Insurance'!$E$10</f>
        <v>44766</v>
      </c>
      <c r="F62" s="59">
        <f>'Pasture Insurance'!$E$38</f>
        <v>969.26220000000001</v>
      </c>
      <c r="G62" s="30">
        <f t="shared" si="1"/>
        <v>91</v>
      </c>
      <c r="H62" s="59">
        <f>IF(('Pasture Insurance'!$E$30-(G62*'Pasture Insurance'!$G$26))*'Pasture Insurance'!$E$12&lt;0,0,('Pasture Insurance'!$E$30-(G62*'Pasture Insurance'!$G$26))*'Pasture Insurance'!$E$12)</f>
        <v>12654</v>
      </c>
    </row>
    <row r="63" spans="2:8" s="30" customFormat="1" x14ac:dyDescent="0.25">
      <c r="B63">
        <f t="shared" si="0"/>
        <v>71</v>
      </c>
      <c r="C63"/>
      <c r="D63" s="57">
        <f>IF(('Pasture Insurance'!$E$30-(B63*'Pasture Insurance'!$G$26))*'Pasture Insurance'!$E$12&lt;0,0,('Pasture Insurance'!$E$30-(B63*'Pasture Insurance'!$G$26))*'Pasture Insurance'!$E$12)</f>
        <v>21204</v>
      </c>
      <c r="E63" s="58">
        <f>B63+'Pasture Insurance'!$E$10</f>
        <v>44767</v>
      </c>
      <c r="F63" s="59">
        <f>'Pasture Insurance'!$E$38</f>
        <v>969.26220000000001</v>
      </c>
      <c r="G63" s="30">
        <f t="shared" si="1"/>
        <v>90</v>
      </c>
      <c r="H63" s="59">
        <f>IF(('Pasture Insurance'!$E$30-(G63*'Pasture Insurance'!$G$26))*'Pasture Insurance'!$E$12&lt;0,0,('Pasture Insurance'!$E$30-(G63*'Pasture Insurance'!$G$26))*'Pasture Insurance'!$E$12)</f>
        <v>13081.5</v>
      </c>
    </row>
    <row r="64" spans="2:8" s="30" customFormat="1" x14ac:dyDescent="0.25">
      <c r="B64">
        <f t="shared" ref="B64:B95" si="2">B65-1</f>
        <v>72</v>
      </c>
      <c r="C64"/>
      <c r="D64" s="57">
        <f>IF(('Pasture Insurance'!$E$30-(B64*'Pasture Insurance'!$G$26))*'Pasture Insurance'!$E$12&lt;0,0,('Pasture Insurance'!$E$30-(B64*'Pasture Insurance'!$G$26))*'Pasture Insurance'!$E$12)</f>
        <v>20776.5</v>
      </c>
      <c r="E64" s="58">
        <f>B64+'Pasture Insurance'!$E$10</f>
        <v>44768</v>
      </c>
      <c r="F64" s="59">
        <f>'Pasture Insurance'!$E$38</f>
        <v>969.26220000000001</v>
      </c>
      <c r="G64" s="30">
        <f t="shared" si="1"/>
        <v>89</v>
      </c>
      <c r="H64" s="59">
        <f>IF(('Pasture Insurance'!$E$30-(G64*'Pasture Insurance'!$G$26))*'Pasture Insurance'!$E$12&lt;0,0,('Pasture Insurance'!$E$30-(G64*'Pasture Insurance'!$G$26))*'Pasture Insurance'!$E$12)</f>
        <v>13509</v>
      </c>
    </row>
    <row r="65" spans="2:8" s="30" customFormat="1" x14ac:dyDescent="0.25">
      <c r="B65">
        <f t="shared" si="2"/>
        <v>73</v>
      </c>
      <c r="C65"/>
      <c r="D65" s="57">
        <f>IF(('Pasture Insurance'!$E$30-(B65*'Pasture Insurance'!$G$26))*'Pasture Insurance'!$E$12&lt;0,0,('Pasture Insurance'!$E$30-(B65*'Pasture Insurance'!$G$26))*'Pasture Insurance'!$E$12)</f>
        <v>20349</v>
      </c>
      <c r="E65" s="58">
        <f>B65+'Pasture Insurance'!$E$10</f>
        <v>44769</v>
      </c>
      <c r="F65" s="59">
        <f>'Pasture Insurance'!$E$38</f>
        <v>969.26220000000001</v>
      </c>
      <c r="G65" s="30">
        <f t="shared" ref="G65:G96" si="3">G64-1</f>
        <v>88</v>
      </c>
      <c r="H65" s="59">
        <f>IF(('Pasture Insurance'!$E$30-(G65*'Pasture Insurance'!$G$26))*'Pasture Insurance'!$E$12&lt;0,0,('Pasture Insurance'!$E$30-(G65*'Pasture Insurance'!$G$26))*'Pasture Insurance'!$E$12)</f>
        <v>13936.5</v>
      </c>
    </row>
    <row r="66" spans="2:8" s="30" customFormat="1" x14ac:dyDescent="0.25">
      <c r="B66">
        <f t="shared" si="2"/>
        <v>74</v>
      </c>
      <c r="C66"/>
      <c r="D66" s="57">
        <f>IF(('Pasture Insurance'!$E$30-(B66*'Pasture Insurance'!$G$26))*'Pasture Insurance'!$E$12&lt;0,0,('Pasture Insurance'!$E$30-(B66*'Pasture Insurance'!$G$26))*'Pasture Insurance'!$E$12)</f>
        <v>19921.5</v>
      </c>
      <c r="E66" s="58">
        <f>B66+'Pasture Insurance'!$E$10</f>
        <v>44770</v>
      </c>
      <c r="F66" s="59">
        <f>'Pasture Insurance'!$E$38</f>
        <v>969.26220000000001</v>
      </c>
      <c r="G66" s="30">
        <f t="shared" si="3"/>
        <v>87</v>
      </c>
      <c r="H66" s="59">
        <f>IF(('Pasture Insurance'!$E$30-(G66*'Pasture Insurance'!$G$26))*'Pasture Insurance'!$E$12&lt;0,0,('Pasture Insurance'!$E$30-(G66*'Pasture Insurance'!$G$26))*'Pasture Insurance'!$E$12)</f>
        <v>14364</v>
      </c>
    </row>
    <row r="67" spans="2:8" s="30" customFormat="1" x14ac:dyDescent="0.25">
      <c r="B67">
        <f t="shared" si="2"/>
        <v>75</v>
      </c>
      <c r="C67"/>
      <c r="D67" s="57">
        <f>IF(('Pasture Insurance'!$E$30-(B67*'Pasture Insurance'!$G$26))*'Pasture Insurance'!$E$12&lt;0,0,('Pasture Insurance'!$E$30-(B67*'Pasture Insurance'!$G$26))*'Pasture Insurance'!$E$12)</f>
        <v>19494</v>
      </c>
      <c r="E67" s="58">
        <f>B67+'Pasture Insurance'!$E$10</f>
        <v>44771</v>
      </c>
      <c r="F67" s="59">
        <f>'Pasture Insurance'!$E$38</f>
        <v>969.26220000000001</v>
      </c>
      <c r="G67" s="30">
        <f t="shared" si="3"/>
        <v>86</v>
      </c>
      <c r="H67" s="59">
        <f>IF(('Pasture Insurance'!$E$30-(G67*'Pasture Insurance'!$G$26))*'Pasture Insurance'!$E$12&lt;0,0,('Pasture Insurance'!$E$30-(G67*'Pasture Insurance'!$G$26))*'Pasture Insurance'!$E$12)</f>
        <v>14791.5</v>
      </c>
    </row>
    <row r="68" spans="2:8" s="30" customFormat="1" x14ac:dyDescent="0.25">
      <c r="B68">
        <f t="shared" si="2"/>
        <v>76</v>
      </c>
      <c r="C68"/>
      <c r="D68" s="57">
        <f>IF(('Pasture Insurance'!$E$30-(B68*'Pasture Insurance'!$G$26))*'Pasture Insurance'!$E$12&lt;0,0,('Pasture Insurance'!$E$30-(B68*'Pasture Insurance'!$G$26))*'Pasture Insurance'!$E$12)</f>
        <v>19066.5</v>
      </c>
      <c r="E68" s="58">
        <f>B68+'Pasture Insurance'!$E$10</f>
        <v>44772</v>
      </c>
      <c r="F68" s="59">
        <f>'Pasture Insurance'!$E$38</f>
        <v>969.26220000000001</v>
      </c>
      <c r="G68" s="30">
        <f t="shared" si="3"/>
        <v>85</v>
      </c>
      <c r="H68" s="59">
        <f>IF(('Pasture Insurance'!$E$30-(G68*'Pasture Insurance'!$G$26))*'Pasture Insurance'!$E$12&lt;0,0,('Pasture Insurance'!$E$30-(G68*'Pasture Insurance'!$G$26))*'Pasture Insurance'!$E$12)</f>
        <v>15219</v>
      </c>
    </row>
    <row r="69" spans="2:8" s="30" customFormat="1" x14ac:dyDescent="0.25">
      <c r="B69">
        <f t="shared" si="2"/>
        <v>77</v>
      </c>
      <c r="C69"/>
      <c r="D69" s="57">
        <f>IF(('Pasture Insurance'!$E$30-(B69*'Pasture Insurance'!$G$26))*'Pasture Insurance'!$E$12&lt;0,0,('Pasture Insurance'!$E$30-(B69*'Pasture Insurance'!$G$26))*'Pasture Insurance'!$E$12)</f>
        <v>18639</v>
      </c>
      <c r="E69" s="58">
        <f>B69+'Pasture Insurance'!$E$10</f>
        <v>44773</v>
      </c>
      <c r="F69" s="59">
        <f>'Pasture Insurance'!$E$38</f>
        <v>969.26220000000001</v>
      </c>
      <c r="G69" s="30">
        <f t="shared" si="3"/>
        <v>84</v>
      </c>
      <c r="H69" s="59">
        <f>IF(('Pasture Insurance'!$E$30-(G69*'Pasture Insurance'!$G$26))*'Pasture Insurance'!$E$12&lt;0,0,('Pasture Insurance'!$E$30-(G69*'Pasture Insurance'!$G$26))*'Pasture Insurance'!$E$12)</f>
        <v>15646.5</v>
      </c>
    </row>
    <row r="70" spans="2:8" s="30" customFormat="1" x14ac:dyDescent="0.25">
      <c r="B70">
        <f t="shared" si="2"/>
        <v>78</v>
      </c>
      <c r="C70"/>
      <c r="D70" s="57">
        <f>IF(('Pasture Insurance'!$E$30-(B70*'Pasture Insurance'!$G$26))*'Pasture Insurance'!$E$12&lt;0,0,('Pasture Insurance'!$E$30-(B70*'Pasture Insurance'!$G$26))*'Pasture Insurance'!$E$12)</f>
        <v>18211.5</v>
      </c>
      <c r="E70" s="58">
        <f>B70+'Pasture Insurance'!$E$10</f>
        <v>44774</v>
      </c>
      <c r="F70" s="59">
        <f>'Pasture Insurance'!$E$38</f>
        <v>969.26220000000001</v>
      </c>
      <c r="G70" s="30">
        <f t="shared" si="3"/>
        <v>83</v>
      </c>
      <c r="H70" s="59">
        <f>IF(('Pasture Insurance'!$E$30-(G70*'Pasture Insurance'!$G$26))*'Pasture Insurance'!$E$12&lt;0,0,('Pasture Insurance'!$E$30-(G70*'Pasture Insurance'!$G$26))*'Pasture Insurance'!$E$12)</f>
        <v>16074</v>
      </c>
    </row>
    <row r="71" spans="2:8" s="30" customFormat="1" x14ac:dyDescent="0.25">
      <c r="B71">
        <f t="shared" si="2"/>
        <v>79</v>
      </c>
      <c r="C71"/>
      <c r="D71" s="57">
        <f>IF(('Pasture Insurance'!$E$30-(B71*'Pasture Insurance'!$G$26))*'Pasture Insurance'!$E$12&lt;0,0,('Pasture Insurance'!$E$30-(B71*'Pasture Insurance'!$G$26))*'Pasture Insurance'!$E$12)</f>
        <v>17784</v>
      </c>
      <c r="E71" s="58">
        <f>B71+'Pasture Insurance'!$E$10</f>
        <v>44775</v>
      </c>
      <c r="F71" s="59">
        <f>'Pasture Insurance'!$E$38</f>
        <v>969.26220000000001</v>
      </c>
      <c r="G71" s="30">
        <f t="shared" si="3"/>
        <v>82</v>
      </c>
      <c r="H71" s="59">
        <f>IF(('Pasture Insurance'!$E$30-(G71*'Pasture Insurance'!$G$26))*'Pasture Insurance'!$E$12&lt;0,0,('Pasture Insurance'!$E$30-(G71*'Pasture Insurance'!$G$26))*'Pasture Insurance'!$E$12)</f>
        <v>16501.5</v>
      </c>
    </row>
    <row r="72" spans="2:8" x14ac:dyDescent="0.25">
      <c r="B72">
        <f t="shared" si="2"/>
        <v>80</v>
      </c>
      <c r="D72" s="57">
        <f>IF(('Pasture Insurance'!$E$30-(B72*'Pasture Insurance'!$G$26))*'Pasture Insurance'!$E$12&lt;0,0,('Pasture Insurance'!$E$30-(B72*'Pasture Insurance'!$G$26))*'Pasture Insurance'!$E$12)</f>
        <v>17356.5</v>
      </c>
      <c r="E72" s="58">
        <f>B72+'Pasture Insurance'!$E$10</f>
        <v>44776</v>
      </c>
      <c r="F72" s="59">
        <f>'Pasture Insurance'!$E$38</f>
        <v>969.26220000000001</v>
      </c>
      <c r="G72" s="30">
        <f t="shared" si="3"/>
        <v>81</v>
      </c>
      <c r="H72" s="59">
        <f>IF(('Pasture Insurance'!$E$30-(G72*'Pasture Insurance'!$G$26))*'Pasture Insurance'!$E$12&lt;0,0,('Pasture Insurance'!$E$30-(G72*'Pasture Insurance'!$G$26))*'Pasture Insurance'!$E$12)</f>
        <v>16929</v>
      </c>
    </row>
    <row r="73" spans="2:8" x14ac:dyDescent="0.25">
      <c r="B73">
        <f t="shared" si="2"/>
        <v>81</v>
      </c>
      <c r="D73" s="57">
        <f>IF(('Pasture Insurance'!$E$30-(B73*'Pasture Insurance'!$G$26))*'Pasture Insurance'!$E$12&lt;0,0,('Pasture Insurance'!$E$30-(B73*'Pasture Insurance'!$G$26))*'Pasture Insurance'!$E$12)</f>
        <v>16929</v>
      </c>
      <c r="E73" s="58">
        <f>B73+'Pasture Insurance'!$E$10</f>
        <v>44777</v>
      </c>
      <c r="F73" s="59">
        <f>'Pasture Insurance'!$E$38</f>
        <v>969.26220000000001</v>
      </c>
      <c r="G73" s="30">
        <f t="shared" si="3"/>
        <v>80</v>
      </c>
      <c r="H73" s="59">
        <f>IF(('Pasture Insurance'!$E$30-(G73*'Pasture Insurance'!$G$26))*'Pasture Insurance'!$E$12&lt;0,0,('Pasture Insurance'!$E$30-(G73*'Pasture Insurance'!$G$26))*'Pasture Insurance'!$E$12)</f>
        <v>17356.5</v>
      </c>
    </row>
    <row r="74" spans="2:8" x14ac:dyDescent="0.25">
      <c r="B74">
        <f t="shared" si="2"/>
        <v>82</v>
      </c>
      <c r="D74" s="57">
        <f>IF(('Pasture Insurance'!$E$30-(B74*'Pasture Insurance'!$G$26))*'Pasture Insurance'!$E$12&lt;0,0,('Pasture Insurance'!$E$30-(B74*'Pasture Insurance'!$G$26))*'Pasture Insurance'!$E$12)</f>
        <v>16501.5</v>
      </c>
      <c r="E74" s="58">
        <f>B74+'Pasture Insurance'!$E$10</f>
        <v>44778</v>
      </c>
      <c r="F74" s="59">
        <f>'Pasture Insurance'!$E$38</f>
        <v>969.26220000000001</v>
      </c>
      <c r="G74" s="30">
        <f t="shared" si="3"/>
        <v>79</v>
      </c>
      <c r="H74" s="59">
        <f>IF(('Pasture Insurance'!$E$30-(G74*'Pasture Insurance'!$G$26))*'Pasture Insurance'!$E$12&lt;0,0,('Pasture Insurance'!$E$30-(G74*'Pasture Insurance'!$G$26))*'Pasture Insurance'!$E$12)</f>
        <v>17784</v>
      </c>
    </row>
    <row r="75" spans="2:8" x14ac:dyDescent="0.25">
      <c r="B75">
        <f t="shared" si="2"/>
        <v>83</v>
      </c>
      <c r="D75" s="57">
        <f>IF(('Pasture Insurance'!$E$30-(B75*'Pasture Insurance'!$G$26))*'Pasture Insurance'!$E$12&lt;0,0,('Pasture Insurance'!$E$30-(B75*'Pasture Insurance'!$G$26))*'Pasture Insurance'!$E$12)</f>
        <v>16074</v>
      </c>
      <c r="E75" s="58">
        <f>B75+'Pasture Insurance'!$E$10</f>
        <v>44779</v>
      </c>
      <c r="F75" s="59">
        <f>'Pasture Insurance'!$E$38</f>
        <v>969.26220000000001</v>
      </c>
      <c r="G75" s="30">
        <f t="shared" si="3"/>
        <v>78</v>
      </c>
      <c r="H75" s="59">
        <f>IF(('Pasture Insurance'!$E$30-(G75*'Pasture Insurance'!$G$26))*'Pasture Insurance'!$E$12&lt;0,0,('Pasture Insurance'!$E$30-(G75*'Pasture Insurance'!$G$26))*'Pasture Insurance'!$E$12)</f>
        <v>18211.5</v>
      </c>
    </row>
    <row r="76" spans="2:8" x14ac:dyDescent="0.25">
      <c r="B76">
        <f t="shared" si="2"/>
        <v>84</v>
      </c>
      <c r="D76" s="57">
        <f>IF(('Pasture Insurance'!$E$30-(B76*'Pasture Insurance'!$G$26))*'Pasture Insurance'!$E$12&lt;0,0,('Pasture Insurance'!$E$30-(B76*'Pasture Insurance'!$G$26))*'Pasture Insurance'!$E$12)</f>
        <v>15646.5</v>
      </c>
      <c r="E76" s="58">
        <f>B76+'Pasture Insurance'!$E$10</f>
        <v>44780</v>
      </c>
      <c r="F76" s="59">
        <f>'Pasture Insurance'!$E$38</f>
        <v>969.26220000000001</v>
      </c>
      <c r="G76" s="30">
        <f t="shared" si="3"/>
        <v>77</v>
      </c>
      <c r="H76" s="59">
        <f>IF(('Pasture Insurance'!$E$30-(G76*'Pasture Insurance'!$G$26))*'Pasture Insurance'!$E$12&lt;0,0,('Pasture Insurance'!$E$30-(G76*'Pasture Insurance'!$G$26))*'Pasture Insurance'!$E$12)</f>
        <v>18639</v>
      </c>
    </row>
    <row r="77" spans="2:8" x14ac:dyDescent="0.25">
      <c r="B77">
        <f t="shared" si="2"/>
        <v>85</v>
      </c>
      <c r="D77" s="57">
        <f>IF(('Pasture Insurance'!$E$30-(B77*'Pasture Insurance'!$G$26))*'Pasture Insurance'!$E$12&lt;0,0,('Pasture Insurance'!$E$30-(B77*'Pasture Insurance'!$G$26))*'Pasture Insurance'!$E$12)</f>
        <v>15219</v>
      </c>
      <c r="E77" s="58">
        <f>B77+'Pasture Insurance'!$E$10</f>
        <v>44781</v>
      </c>
      <c r="F77" s="59">
        <f>'Pasture Insurance'!$E$38</f>
        <v>969.26220000000001</v>
      </c>
      <c r="G77" s="30">
        <f t="shared" si="3"/>
        <v>76</v>
      </c>
      <c r="H77" s="59">
        <f>IF(('Pasture Insurance'!$E$30-(G77*'Pasture Insurance'!$G$26))*'Pasture Insurance'!$E$12&lt;0,0,('Pasture Insurance'!$E$30-(G77*'Pasture Insurance'!$G$26))*'Pasture Insurance'!$E$12)</f>
        <v>19066.5</v>
      </c>
    </row>
    <row r="78" spans="2:8" x14ac:dyDescent="0.25">
      <c r="B78">
        <f t="shared" si="2"/>
        <v>86</v>
      </c>
      <c r="D78" s="57">
        <f>IF(('Pasture Insurance'!$E$30-(B78*'Pasture Insurance'!$G$26))*'Pasture Insurance'!$E$12&lt;0,0,('Pasture Insurance'!$E$30-(B78*'Pasture Insurance'!$G$26))*'Pasture Insurance'!$E$12)</f>
        <v>14791.5</v>
      </c>
      <c r="E78" s="58">
        <f>B78+'Pasture Insurance'!$E$10</f>
        <v>44782</v>
      </c>
      <c r="F78" s="59">
        <f>'Pasture Insurance'!$E$38</f>
        <v>969.26220000000001</v>
      </c>
      <c r="G78" s="30">
        <f t="shared" si="3"/>
        <v>75</v>
      </c>
      <c r="H78" s="59">
        <f>IF(('Pasture Insurance'!$E$30-(G78*'Pasture Insurance'!$G$26))*'Pasture Insurance'!$E$12&lt;0,0,('Pasture Insurance'!$E$30-(G78*'Pasture Insurance'!$G$26))*'Pasture Insurance'!$E$12)</f>
        <v>19494</v>
      </c>
    </row>
    <row r="79" spans="2:8" x14ac:dyDescent="0.25">
      <c r="B79">
        <f t="shared" si="2"/>
        <v>87</v>
      </c>
      <c r="D79" s="57">
        <f>IF(('Pasture Insurance'!$E$30-(B79*'Pasture Insurance'!$G$26))*'Pasture Insurance'!$E$12&lt;0,0,('Pasture Insurance'!$E$30-(B79*'Pasture Insurance'!$G$26))*'Pasture Insurance'!$E$12)</f>
        <v>14364</v>
      </c>
      <c r="E79" s="58">
        <f>B79+'Pasture Insurance'!$E$10</f>
        <v>44783</v>
      </c>
      <c r="F79" s="59">
        <f>'Pasture Insurance'!$E$38</f>
        <v>969.26220000000001</v>
      </c>
      <c r="G79" s="30">
        <f t="shared" si="3"/>
        <v>74</v>
      </c>
      <c r="H79" s="59">
        <f>IF(('Pasture Insurance'!$E$30-(G79*'Pasture Insurance'!$G$26))*'Pasture Insurance'!$E$12&lt;0,0,('Pasture Insurance'!$E$30-(G79*'Pasture Insurance'!$G$26))*'Pasture Insurance'!$E$12)</f>
        <v>19921.5</v>
      </c>
    </row>
    <row r="80" spans="2:8" x14ac:dyDescent="0.25">
      <c r="B80">
        <f t="shared" si="2"/>
        <v>88</v>
      </c>
      <c r="D80" s="57">
        <f>IF(('Pasture Insurance'!$E$30-(B80*'Pasture Insurance'!$G$26))*'Pasture Insurance'!$E$12&lt;0,0,('Pasture Insurance'!$E$30-(B80*'Pasture Insurance'!$G$26))*'Pasture Insurance'!$E$12)</f>
        <v>13936.5</v>
      </c>
      <c r="E80" s="58">
        <f>B80+'Pasture Insurance'!$E$10</f>
        <v>44784</v>
      </c>
      <c r="F80" s="59">
        <f>'Pasture Insurance'!$E$38</f>
        <v>969.26220000000001</v>
      </c>
      <c r="G80" s="30">
        <f t="shared" si="3"/>
        <v>73</v>
      </c>
      <c r="H80" s="59">
        <f>IF(('Pasture Insurance'!$E$30-(G80*'Pasture Insurance'!$G$26))*'Pasture Insurance'!$E$12&lt;0,0,('Pasture Insurance'!$E$30-(G80*'Pasture Insurance'!$G$26))*'Pasture Insurance'!$E$12)</f>
        <v>20349</v>
      </c>
    </row>
    <row r="81" spans="2:8" x14ac:dyDescent="0.25">
      <c r="B81">
        <f t="shared" si="2"/>
        <v>89</v>
      </c>
      <c r="D81" s="57">
        <f>IF(('Pasture Insurance'!$E$30-(B81*'Pasture Insurance'!$G$26))*'Pasture Insurance'!$E$12&lt;0,0,('Pasture Insurance'!$E$30-(B81*'Pasture Insurance'!$G$26))*'Pasture Insurance'!$E$12)</f>
        <v>13509</v>
      </c>
      <c r="E81" s="58">
        <f>B81+'Pasture Insurance'!$E$10</f>
        <v>44785</v>
      </c>
      <c r="F81" s="59">
        <f>'Pasture Insurance'!$E$38</f>
        <v>969.26220000000001</v>
      </c>
      <c r="G81" s="30">
        <f t="shared" si="3"/>
        <v>72</v>
      </c>
      <c r="H81" s="59">
        <f>IF(('Pasture Insurance'!$E$30-(G81*'Pasture Insurance'!$G$26))*'Pasture Insurance'!$E$12&lt;0,0,('Pasture Insurance'!$E$30-(G81*'Pasture Insurance'!$G$26))*'Pasture Insurance'!$E$12)</f>
        <v>20776.5</v>
      </c>
    </row>
    <row r="82" spans="2:8" x14ac:dyDescent="0.25">
      <c r="B82">
        <f t="shared" si="2"/>
        <v>90</v>
      </c>
      <c r="D82" s="57">
        <f>IF(('Pasture Insurance'!$E$30-(B82*'Pasture Insurance'!$G$26))*'Pasture Insurance'!$E$12&lt;0,0,('Pasture Insurance'!$E$30-(B82*'Pasture Insurance'!$G$26))*'Pasture Insurance'!$E$12)</f>
        <v>13081.5</v>
      </c>
      <c r="E82" s="58">
        <f>B82+'Pasture Insurance'!$E$10</f>
        <v>44786</v>
      </c>
      <c r="F82" s="59">
        <f>'Pasture Insurance'!$E$38</f>
        <v>969.26220000000001</v>
      </c>
      <c r="G82" s="30">
        <f t="shared" si="3"/>
        <v>71</v>
      </c>
      <c r="H82" s="59">
        <f>IF(('Pasture Insurance'!$E$30-(G82*'Pasture Insurance'!$G$26))*'Pasture Insurance'!$E$12&lt;0,0,('Pasture Insurance'!$E$30-(G82*'Pasture Insurance'!$G$26))*'Pasture Insurance'!$E$12)</f>
        <v>21204</v>
      </c>
    </row>
    <row r="83" spans="2:8" x14ac:dyDescent="0.25">
      <c r="B83">
        <f t="shared" si="2"/>
        <v>91</v>
      </c>
      <c r="D83" s="57">
        <f>IF(('Pasture Insurance'!$E$30-(B83*'Pasture Insurance'!$G$26))*'Pasture Insurance'!$E$12&lt;0,0,('Pasture Insurance'!$E$30-(B83*'Pasture Insurance'!$G$26))*'Pasture Insurance'!$E$12)</f>
        <v>12654</v>
      </c>
      <c r="E83" s="58">
        <f>B83+'Pasture Insurance'!$E$10</f>
        <v>44787</v>
      </c>
      <c r="F83" s="59">
        <f>'Pasture Insurance'!$E$38</f>
        <v>969.26220000000001</v>
      </c>
      <c r="G83" s="30">
        <f t="shared" si="3"/>
        <v>70</v>
      </c>
      <c r="H83" s="59">
        <f>IF(('Pasture Insurance'!$E$30-(G83*'Pasture Insurance'!$G$26))*'Pasture Insurance'!$E$12&lt;0,0,('Pasture Insurance'!$E$30-(G83*'Pasture Insurance'!$G$26))*'Pasture Insurance'!$E$12)</f>
        <v>21631.5</v>
      </c>
    </row>
    <row r="84" spans="2:8" x14ac:dyDescent="0.25">
      <c r="B84">
        <f t="shared" si="2"/>
        <v>92</v>
      </c>
      <c r="D84" s="57">
        <f>IF(('Pasture Insurance'!$E$30-(B84*'Pasture Insurance'!$G$26))*'Pasture Insurance'!$E$12&lt;0,0,('Pasture Insurance'!$E$30-(B84*'Pasture Insurance'!$G$26))*'Pasture Insurance'!$E$12)</f>
        <v>12226.5</v>
      </c>
      <c r="E84" s="58">
        <f>B84+'Pasture Insurance'!$E$10</f>
        <v>44788</v>
      </c>
      <c r="F84" s="59">
        <f>'Pasture Insurance'!$E$38</f>
        <v>969.26220000000001</v>
      </c>
      <c r="G84" s="30">
        <f t="shared" si="3"/>
        <v>69</v>
      </c>
      <c r="H84" s="59">
        <f>IF(('Pasture Insurance'!$E$30-(G84*'Pasture Insurance'!$G$26))*'Pasture Insurance'!$E$12&lt;0,0,('Pasture Insurance'!$E$30-(G84*'Pasture Insurance'!$G$26))*'Pasture Insurance'!$E$12)</f>
        <v>22059</v>
      </c>
    </row>
    <row r="85" spans="2:8" x14ac:dyDescent="0.25">
      <c r="B85">
        <f t="shared" si="2"/>
        <v>93</v>
      </c>
      <c r="D85" s="57">
        <f>IF(('Pasture Insurance'!$E$30-(B85*'Pasture Insurance'!$G$26))*'Pasture Insurance'!$E$12&lt;0,0,('Pasture Insurance'!$E$30-(B85*'Pasture Insurance'!$G$26))*'Pasture Insurance'!$E$12)</f>
        <v>11799</v>
      </c>
      <c r="E85" s="58">
        <f>B85+'Pasture Insurance'!$E$10</f>
        <v>44789</v>
      </c>
      <c r="F85" s="59">
        <f>'Pasture Insurance'!$E$38</f>
        <v>969.26220000000001</v>
      </c>
      <c r="G85" s="30">
        <f t="shared" si="3"/>
        <v>68</v>
      </c>
      <c r="H85" s="59">
        <f>IF(('Pasture Insurance'!$E$30-(G85*'Pasture Insurance'!$G$26))*'Pasture Insurance'!$E$12&lt;0,0,('Pasture Insurance'!$E$30-(G85*'Pasture Insurance'!$G$26))*'Pasture Insurance'!$E$12)</f>
        <v>22486.5</v>
      </c>
    </row>
    <row r="86" spans="2:8" x14ac:dyDescent="0.25">
      <c r="B86">
        <f t="shared" si="2"/>
        <v>94</v>
      </c>
      <c r="D86" s="57">
        <f>IF(('Pasture Insurance'!$E$30-(B86*'Pasture Insurance'!$G$26))*'Pasture Insurance'!$E$12&lt;0,0,('Pasture Insurance'!$E$30-(B86*'Pasture Insurance'!$G$26))*'Pasture Insurance'!$E$12)</f>
        <v>11371.5</v>
      </c>
      <c r="E86" s="58">
        <f>B86+'Pasture Insurance'!$E$10</f>
        <v>44790</v>
      </c>
      <c r="F86" s="59">
        <f>'Pasture Insurance'!$E$38</f>
        <v>969.26220000000001</v>
      </c>
      <c r="G86" s="30">
        <f t="shared" si="3"/>
        <v>67</v>
      </c>
      <c r="H86" s="59">
        <f>IF(('Pasture Insurance'!$E$30-(G86*'Pasture Insurance'!$G$26))*'Pasture Insurance'!$E$12&lt;0,0,('Pasture Insurance'!$E$30-(G86*'Pasture Insurance'!$G$26))*'Pasture Insurance'!$E$12)</f>
        <v>22914</v>
      </c>
    </row>
    <row r="87" spans="2:8" x14ac:dyDescent="0.25">
      <c r="B87">
        <f t="shared" si="2"/>
        <v>95</v>
      </c>
      <c r="D87" s="57">
        <f>IF(('Pasture Insurance'!$E$30-(B87*'Pasture Insurance'!$G$26))*'Pasture Insurance'!$E$12&lt;0,0,('Pasture Insurance'!$E$30-(B87*'Pasture Insurance'!$G$26))*'Pasture Insurance'!$E$12)</f>
        <v>10944</v>
      </c>
      <c r="E87" s="58">
        <f>B87+'Pasture Insurance'!$E$10</f>
        <v>44791</v>
      </c>
      <c r="F87" s="59">
        <f>'Pasture Insurance'!$E$38</f>
        <v>969.26220000000001</v>
      </c>
      <c r="G87" s="30">
        <f t="shared" si="3"/>
        <v>66</v>
      </c>
      <c r="H87" s="59">
        <f>IF(('Pasture Insurance'!$E$30-(G87*'Pasture Insurance'!$G$26))*'Pasture Insurance'!$E$12&lt;0,0,('Pasture Insurance'!$E$30-(G87*'Pasture Insurance'!$G$26))*'Pasture Insurance'!$E$12)</f>
        <v>23341.5</v>
      </c>
    </row>
    <row r="88" spans="2:8" x14ac:dyDescent="0.25">
      <c r="B88">
        <f t="shared" si="2"/>
        <v>96</v>
      </c>
      <c r="D88" s="57">
        <f>IF(('Pasture Insurance'!$E$30-(B88*'Pasture Insurance'!$G$26))*'Pasture Insurance'!$E$12&lt;0,0,('Pasture Insurance'!$E$30-(B88*'Pasture Insurance'!$G$26))*'Pasture Insurance'!$E$12)</f>
        <v>10516.5</v>
      </c>
      <c r="E88" s="58">
        <f>B88+'Pasture Insurance'!$E$10</f>
        <v>44792</v>
      </c>
      <c r="F88" s="59">
        <f>'Pasture Insurance'!$E$38</f>
        <v>969.26220000000001</v>
      </c>
      <c r="G88" s="30">
        <f t="shared" si="3"/>
        <v>65</v>
      </c>
      <c r="H88" s="59">
        <f>IF(('Pasture Insurance'!$E$30-(G88*'Pasture Insurance'!$G$26))*'Pasture Insurance'!$E$12&lt;0,0,('Pasture Insurance'!$E$30-(G88*'Pasture Insurance'!$G$26))*'Pasture Insurance'!$E$12)</f>
        <v>23769</v>
      </c>
    </row>
    <row r="89" spans="2:8" x14ac:dyDescent="0.25">
      <c r="B89">
        <f t="shared" si="2"/>
        <v>97</v>
      </c>
      <c r="D89" s="57">
        <f>IF(('Pasture Insurance'!$E$30-(B89*'Pasture Insurance'!$G$26))*'Pasture Insurance'!$E$12&lt;0,0,('Pasture Insurance'!$E$30-(B89*'Pasture Insurance'!$G$26))*'Pasture Insurance'!$E$12)</f>
        <v>10089</v>
      </c>
      <c r="E89" s="58">
        <f>B89+'Pasture Insurance'!$E$10</f>
        <v>44793</v>
      </c>
      <c r="F89" s="59">
        <f>'Pasture Insurance'!$E$38</f>
        <v>969.26220000000001</v>
      </c>
      <c r="G89" s="30">
        <f t="shared" si="3"/>
        <v>64</v>
      </c>
      <c r="H89" s="59">
        <f>IF(('Pasture Insurance'!$E$30-(G89*'Pasture Insurance'!$G$26))*'Pasture Insurance'!$E$12&lt;0,0,('Pasture Insurance'!$E$30-(G89*'Pasture Insurance'!$G$26))*'Pasture Insurance'!$E$12)</f>
        <v>24196.5</v>
      </c>
    </row>
    <row r="90" spans="2:8" x14ac:dyDescent="0.25">
      <c r="B90">
        <f t="shared" si="2"/>
        <v>98</v>
      </c>
      <c r="D90" s="57">
        <f>IF(('Pasture Insurance'!$E$30-(B90*'Pasture Insurance'!$G$26))*'Pasture Insurance'!$E$12&lt;0,0,('Pasture Insurance'!$E$30-(B90*'Pasture Insurance'!$G$26))*'Pasture Insurance'!$E$12)</f>
        <v>9661.5</v>
      </c>
      <c r="E90" s="58">
        <f>B90+'Pasture Insurance'!$E$10</f>
        <v>44794</v>
      </c>
      <c r="F90" s="59">
        <f>'Pasture Insurance'!$E$38</f>
        <v>969.26220000000001</v>
      </c>
      <c r="G90" s="30">
        <f t="shared" si="3"/>
        <v>63</v>
      </c>
      <c r="H90" s="59">
        <f>IF(('Pasture Insurance'!$E$30-(G90*'Pasture Insurance'!$G$26))*'Pasture Insurance'!$E$12&lt;0,0,('Pasture Insurance'!$E$30-(G90*'Pasture Insurance'!$G$26))*'Pasture Insurance'!$E$12)</f>
        <v>24624</v>
      </c>
    </row>
    <row r="91" spans="2:8" x14ac:dyDescent="0.25">
      <c r="B91">
        <f t="shared" si="2"/>
        <v>99</v>
      </c>
      <c r="D91" s="57">
        <f>IF(('Pasture Insurance'!$E$30-(B91*'Pasture Insurance'!$G$26))*'Pasture Insurance'!$E$12&lt;0,0,('Pasture Insurance'!$E$30-(B91*'Pasture Insurance'!$G$26))*'Pasture Insurance'!$E$12)</f>
        <v>9234</v>
      </c>
      <c r="E91" s="58">
        <f>B91+'Pasture Insurance'!$E$10</f>
        <v>44795</v>
      </c>
      <c r="F91" s="59">
        <f>'Pasture Insurance'!$E$38</f>
        <v>969.26220000000001</v>
      </c>
      <c r="G91" s="30">
        <f t="shared" si="3"/>
        <v>62</v>
      </c>
      <c r="H91" s="59">
        <f>IF(('Pasture Insurance'!$E$30-(G91*'Pasture Insurance'!$G$26))*'Pasture Insurance'!$E$12&lt;0,0,('Pasture Insurance'!$E$30-(G91*'Pasture Insurance'!$G$26))*'Pasture Insurance'!$E$12)</f>
        <v>25051.5</v>
      </c>
    </row>
    <row r="92" spans="2:8" x14ac:dyDescent="0.25">
      <c r="B92">
        <f t="shared" si="2"/>
        <v>100</v>
      </c>
      <c r="D92" s="57">
        <f>IF(('Pasture Insurance'!$E$30-(B92*'Pasture Insurance'!$G$26))*'Pasture Insurance'!$E$12&lt;0,0,('Pasture Insurance'!$E$30-(B92*'Pasture Insurance'!$G$26))*'Pasture Insurance'!$E$12)</f>
        <v>8806.5</v>
      </c>
      <c r="E92" s="58">
        <f>B92+'Pasture Insurance'!$E$10</f>
        <v>44796</v>
      </c>
      <c r="F92" s="59">
        <f>'Pasture Insurance'!$E$38</f>
        <v>969.26220000000001</v>
      </c>
      <c r="G92" s="30">
        <f t="shared" si="3"/>
        <v>61</v>
      </c>
      <c r="H92" s="59">
        <f>IF(('Pasture Insurance'!$E$30-(G92*'Pasture Insurance'!$G$26))*'Pasture Insurance'!$E$12&lt;0,0,('Pasture Insurance'!$E$30-(G92*'Pasture Insurance'!$G$26))*'Pasture Insurance'!$E$12)</f>
        <v>25479</v>
      </c>
    </row>
    <row r="93" spans="2:8" x14ac:dyDescent="0.25">
      <c r="B93">
        <f t="shared" si="2"/>
        <v>101</v>
      </c>
      <c r="D93" s="57">
        <f>IF(('Pasture Insurance'!$E$30-(B93*'Pasture Insurance'!$G$26))*'Pasture Insurance'!$E$12&lt;0,0,('Pasture Insurance'!$E$30-(B93*'Pasture Insurance'!$G$26))*'Pasture Insurance'!$E$12)</f>
        <v>8379</v>
      </c>
      <c r="E93" s="58">
        <f>B93+'Pasture Insurance'!$E$10</f>
        <v>44797</v>
      </c>
      <c r="F93" s="59">
        <f>'Pasture Insurance'!$E$38</f>
        <v>969.26220000000001</v>
      </c>
      <c r="G93" s="30">
        <f t="shared" si="3"/>
        <v>60</v>
      </c>
      <c r="H93" s="59">
        <f>IF(('Pasture Insurance'!$E$30-(G93*'Pasture Insurance'!$G$26))*'Pasture Insurance'!$E$12&lt;0,0,('Pasture Insurance'!$E$30-(G93*'Pasture Insurance'!$G$26))*'Pasture Insurance'!$E$12)</f>
        <v>25906.5</v>
      </c>
    </row>
    <row r="94" spans="2:8" x14ac:dyDescent="0.25">
      <c r="B94">
        <f t="shared" si="2"/>
        <v>102</v>
      </c>
      <c r="D94" s="57">
        <f>IF(('Pasture Insurance'!$E$30-(B94*'Pasture Insurance'!$G$26))*'Pasture Insurance'!$E$12&lt;0,0,('Pasture Insurance'!$E$30-(B94*'Pasture Insurance'!$G$26))*'Pasture Insurance'!$E$12)</f>
        <v>7951.5</v>
      </c>
      <c r="E94" s="58">
        <f>B94+'Pasture Insurance'!$E$10</f>
        <v>44798</v>
      </c>
      <c r="F94" s="59">
        <f>'Pasture Insurance'!$E$38</f>
        <v>969.26220000000001</v>
      </c>
      <c r="G94" s="30">
        <f t="shared" si="3"/>
        <v>59</v>
      </c>
      <c r="H94" s="59">
        <f>IF(('Pasture Insurance'!$E$30-(G94*'Pasture Insurance'!$G$26))*'Pasture Insurance'!$E$12&lt;0,0,('Pasture Insurance'!$E$30-(G94*'Pasture Insurance'!$G$26))*'Pasture Insurance'!$E$12)</f>
        <v>26334</v>
      </c>
    </row>
    <row r="95" spans="2:8" x14ac:dyDescent="0.25">
      <c r="B95">
        <f t="shared" si="2"/>
        <v>103</v>
      </c>
      <c r="D95" s="57">
        <f>IF(('Pasture Insurance'!$E$30-(B95*'Pasture Insurance'!$G$26))*'Pasture Insurance'!$E$12&lt;0,0,('Pasture Insurance'!$E$30-(B95*'Pasture Insurance'!$G$26))*'Pasture Insurance'!$E$12)</f>
        <v>7524</v>
      </c>
      <c r="E95" s="58">
        <f>B95+'Pasture Insurance'!$E$10</f>
        <v>44799</v>
      </c>
      <c r="F95" s="59">
        <f>'Pasture Insurance'!$E$38</f>
        <v>969.26220000000001</v>
      </c>
      <c r="G95" s="30">
        <f t="shared" si="3"/>
        <v>58</v>
      </c>
      <c r="H95" s="59">
        <f>IF(('Pasture Insurance'!$E$30-(G95*'Pasture Insurance'!$G$26))*'Pasture Insurance'!$E$12&lt;0,0,('Pasture Insurance'!$E$30-(G95*'Pasture Insurance'!$G$26))*'Pasture Insurance'!$E$12)</f>
        <v>26761.5</v>
      </c>
    </row>
    <row r="96" spans="2:8" x14ac:dyDescent="0.25">
      <c r="B96">
        <f t="shared" ref="B96:B112" si="4">B97-1</f>
        <v>104</v>
      </c>
      <c r="D96" s="57">
        <f>IF(('Pasture Insurance'!$E$30-(B96*'Pasture Insurance'!$G$26))*'Pasture Insurance'!$E$12&lt;0,0,('Pasture Insurance'!$E$30-(B96*'Pasture Insurance'!$G$26))*'Pasture Insurance'!$E$12)</f>
        <v>7096.5</v>
      </c>
      <c r="E96" s="58">
        <f>B96+'Pasture Insurance'!$E$10</f>
        <v>44800</v>
      </c>
      <c r="F96" s="59">
        <f>'Pasture Insurance'!$E$38</f>
        <v>969.26220000000001</v>
      </c>
      <c r="G96" s="30">
        <f t="shared" si="3"/>
        <v>57</v>
      </c>
      <c r="H96" s="59">
        <f>IF(('Pasture Insurance'!$E$30-(G96*'Pasture Insurance'!$G$26))*'Pasture Insurance'!$E$12&lt;0,0,('Pasture Insurance'!$E$30-(G96*'Pasture Insurance'!$G$26))*'Pasture Insurance'!$E$12)</f>
        <v>27189</v>
      </c>
    </row>
    <row r="97" spans="2:8" x14ac:dyDescent="0.25">
      <c r="B97">
        <f t="shared" si="4"/>
        <v>105</v>
      </c>
      <c r="D97" s="57">
        <f>IF(('Pasture Insurance'!$E$30-(B97*'Pasture Insurance'!$G$26))*'Pasture Insurance'!$E$12&lt;0,0,('Pasture Insurance'!$E$30-(B97*'Pasture Insurance'!$G$26))*'Pasture Insurance'!$E$12)</f>
        <v>6669</v>
      </c>
      <c r="E97" s="58">
        <f>B97+'Pasture Insurance'!$E$10</f>
        <v>44801</v>
      </c>
      <c r="F97" s="59">
        <f>'Pasture Insurance'!$E$38</f>
        <v>969.26220000000001</v>
      </c>
      <c r="G97" s="30">
        <f t="shared" ref="G97:G113" si="5">G96-1</f>
        <v>56</v>
      </c>
      <c r="H97" s="59">
        <f>IF(('Pasture Insurance'!$E$30-(G97*'Pasture Insurance'!$G$26))*'Pasture Insurance'!$E$12&lt;0,0,('Pasture Insurance'!$E$30-(G97*'Pasture Insurance'!$G$26))*'Pasture Insurance'!$E$12)</f>
        <v>27616.5</v>
      </c>
    </row>
    <row r="98" spans="2:8" x14ac:dyDescent="0.25">
      <c r="B98">
        <f t="shared" si="4"/>
        <v>106</v>
      </c>
      <c r="D98" s="57">
        <f>IF(('Pasture Insurance'!$E$30-(B98*'Pasture Insurance'!$G$26))*'Pasture Insurance'!$E$12&lt;0,0,('Pasture Insurance'!$E$30-(B98*'Pasture Insurance'!$G$26))*'Pasture Insurance'!$E$12)</f>
        <v>6241.5</v>
      </c>
      <c r="E98" s="58">
        <f>B98+'Pasture Insurance'!$E$10</f>
        <v>44802</v>
      </c>
      <c r="F98" s="59">
        <f>'Pasture Insurance'!$E$38</f>
        <v>969.26220000000001</v>
      </c>
      <c r="G98" s="30">
        <f t="shared" si="5"/>
        <v>55</v>
      </c>
      <c r="H98" s="59">
        <f>IF(('Pasture Insurance'!$E$30-(G98*'Pasture Insurance'!$G$26))*'Pasture Insurance'!$E$12&lt;0,0,('Pasture Insurance'!$E$30-(G98*'Pasture Insurance'!$G$26))*'Pasture Insurance'!$E$12)</f>
        <v>28044</v>
      </c>
    </row>
    <row r="99" spans="2:8" x14ac:dyDescent="0.25">
      <c r="B99">
        <f t="shared" si="4"/>
        <v>107</v>
      </c>
      <c r="D99" s="57">
        <f>IF(('Pasture Insurance'!$E$30-(B99*'Pasture Insurance'!$G$26))*'Pasture Insurance'!$E$12&lt;0,0,('Pasture Insurance'!$E$30-(B99*'Pasture Insurance'!$G$26))*'Pasture Insurance'!$E$12)</f>
        <v>5814</v>
      </c>
      <c r="E99" s="58">
        <f>B99+'Pasture Insurance'!$E$10</f>
        <v>44803</v>
      </c>
      <c r="F99" s="59">
        <f>'Pasture Insurance'!$E$38</f>
        <v>969.26220000000001</v>
      </c>
      <c r="G99" s="30">
        <f t="shared" si="5"/>
        <v>54</v>
      </c>
      <c r="H99" s="59">
        <f>IF(('Pasture Insurance'!$E$30-(G99*'Pasture Insurance'!$G$26))*'Pasture Insurance'!$E$12&lt;0,0,('Pasture Insurance'!$E$30-(G99*'Pasture Insurance'!$G$26))*'Pasture Insurance'!$E$12)</f>
        <v>28471.5</v>
      </c>
    </row>
    <row r="100" spans="2:8" x14ac:dyDescent="0.25">
      <c r="B100">
        <f t="shared" si="4"/>
        <v>108</v>
      </c>
      <c r="D100" s="57">
        <f>IF(('Pasture Insurance'!$E$30-(B100*'Pasture Insurance'!$G$26))*'Pasture Insurance'!$E$12&lt;0,0,('Pasture Insurance'!$E$30-(B100*'Pasture Insurance'!$G$26))*'Pasture Insurance'!$E$12)</f>
        <v>5386.5</v>
      </c>
      <c r="E100" s="58">
        <f>B100+'Pasture Insurance'!$E$10</f>
        <v>44804</v>
      </c>
      <c r="F100" s="59">
        <f>'Pasture Insurance'!$E$38</f>
        <v>969.26220000000001</v>
      </c>
      <c r="G100" s="30">
        <f t="shared" si="5"/>
        <v>53</v>
      </c>
      <c r="H100" s="59">
        <f>IF(('Pasture Insurance'!$E$30-(G100*'Pasture Insurance'!$G$26))*'Pasture Insurance'!$E$12&lt;0,0,('Pasture Insurance'!$E$30-(G100*'Pasture Insurance'!$G$26))*'Pasture Insurance'!$E$12)</f>
        <v>28899</v>
      </c>
    </row>
    <row r="101" spans="2:8" x14ac:dyDescent="0.25">
      <c r="B101">
        <f t="shared" si="4"/>
        <v>109</v>
      </c>
      <c r="D101" s="57">
        <f>IF(('Pasture Insurance'!$E$30-(B101*'Pasture Insurance'!$G$26))*'Pasture Insurance'!$E$12&lt;0,0,('Pasture Insurance'!$E$30-(B101*'Pasture Insurance'!$G$26))*'Pasture Insurance'!$E$12)</f>
        <v>4959</v>
      </c>
      <c r="E101" s="58">
        <f>B101+'Pasture Insurance'!$E$10</f>
        <v>44805</v>
      </c>
      <c r="F101" s="59">
        <f>'Pasture Insurance'!$E$38</f>
        <v>969.26220000000001</v>
      </c>
      <c r="G101" s="30">
        <f t="shared" si="5"/>
        <v>52</v>
      </c>
      <c r="H101" s="59">
        <f>IF(('Pasture Insurance'!$E$30-(G101*'Pasture Insurance'!$G$26))*'Pasture Insurance'!$E$12&lt;0,0,('Pasture Insurance'!$E$30-(G101*'Pasture Insurance'!$G$26))*'Pasture Insurance'!$E$12)</f>
        <v>29326.5</v>
      </c>
    </row>
    <row r="102" spans="2:8" x14ac:dyDescent="0.25">
      <c r="B102">
        <f t="shared" si="4"/>
        <v>110</v>
      </c>
      <c r="D102" s="57">
        <f>IF(('Pasture Insurance'!$E$30-(B102*'Pasture Insurance'!$G$26))*'Pasture Insurance'!$E$12&lt;0,0,('Pasture Insurance'!$E$30-(B102*'Pasture Insurance'!$G$26))*'Pasture Insurance'!$E$12)</f>
        <v>4531.5</v>
      </c>
      <c r="E102" s="58">
        <f>B102+'Pasture Insurance'!$E$10</f>
        <v>44806</v>
      </c>
      <c r="F102" s="59">
        <f>'Pasture Insurance'!$E$38</f>
        <v>969.26220000000001</v>
      </c>
      <c r="G102" s="30">
        <f t="shared" si="5"/>
        <v>51</v>
      </c>
      <c r="H102" s="59">
        <f>IF(('Pasture Insurance'!$E$30-(G102*'Pasture Insurance'!$G$26))*'Pasture Insurance'!$E$12&lt;0,0,('Pasture Insurance'!$E$30-(G102*'Pasture Insurance'!$G$26))*'Pasture Insurance'!$E$12)</f>
        <v>29754</v>
      </c>
    </row>
    <row r="103" spans="2:8" x14ac:dyDescent="0.25">
      <c r="B103">
        <f t="shared" si="4"/>
        <v>111</v>
      </c>
      <c r="D103" s="57">
        <f>IF(('Pasture Insurance'!$E$30-(B103*'Pasture Insurance'!$G$26))*'Pasture Insurance'!$E$12&lt;0,0,('Pasture Insurance'!$E$30-(B103*'Pasture Insurance'!$G$26))*'Pasture Insurance'!$E$12)</f>
        <v>4104</v>
      </c>
      <c r="E103" s="58">
        <f>B103+'Pasture Insurance'!$E$10</f>
        <v>44807</v>
      </c>
      <c r="F103" s="59">
        <f>'Pasture Insurance'!$E$38</f>
        <v>969.26220000000001</v>
      </c>
      <c r="G103" s="30">
        <f t="shared" si="5"/>
        <v>50</v>
      </c>
      <c r="H103" s="59">
        <f>IF(('Pasture Insurance'!$E$30-(G103*'Pasture Insurance'!$G$26))*'Pasture Insurance'!$E$12&lt;0,0,('Pasture Insurance'!$E$30-(G103*'Pasture Insurance'!$G$26))*'Pasture Insurance'!$E$12)</f>
        <v>30181.5</v>
      </c>
    </row>
    <row r="104" spans="2:8" x14ac:dyDescent="0.25">
      <c r="B104">
        <f t="shared" si="4"/>
        <v>112</v>
      </c>
      <c r="D104" s="57">
        <f>IF(('Pasture Insurance'!$E$30-(B104*'Pasture Insurance'!$G$26))*'Pasture Insurance'!$E$12&lt;0,0,('Pasture Insurance'!$E$30-(B104*'Pasture Insurance'!$G$26))*'Pasture Insurance'!$E$12)</f>
        <v>3676.5</v>
      </c>
      <c r="E104" s="58">
        <f>B104+'Pasture Insurance'!$E$10</f>
        <v>44808</v>
      </c>
      <c r="F104" s="59">
        <f>'Pasture Insurance'!$E$38</f>
        <v>969.26220000000001</v>
      </c>
      <c r="G104" s="30">
        <f t="shared" si="5"/>
        <v>49</v>
      </c>
      <c r="H104" s="59">
        <f>IF(('Pasture Insurance'!$E$30-(G104*'Pasture Insurance'!$G$26))*'Pasture Insurance'!$E$12&lt;0,0,('Pasture Insurance'!$E$30-(G104*'Pasture Insurance'!$G$26))*'Pasture Insurance'!$E$12)</f>
        <v>30609</v>
      </c>
    </row>
    <row r="105" spans="2:8" x14ac:dyDescent="0.25">
      <c r="B105">
        <f t="shared" si="4"/>
        <v>113</v>
      </c>
      <c r="D105" s="57">
        <f>IF(('Pasture Insurance'!$E$30-(B105*'Pasture Insurance'!$G$26))*'Pasture Insurance'!$E$12&lt;0,0,('Pasture Insurance'!$E$30-(B105*'Pasture Insurance'!$G$26))*'Pasture Insurance'!$E$12)</f>
        <v>3249</v>
      </c>
      <c r="E105" s="58">
        <f>B105+'Pasture Insurance'!$E$10</f>
        <v>44809</v>
      </c>
      <c r="F105" s="59">
        <f>'Pasture Insurance'!$E$38</f>
        <v>969.26220000000001</v>
      </c>
      <c r="G105" s="30">
        <f t="shared" si="5"/>
        <v>48</v>
      </c>
      <c r="H105" s="59">
        <f>IF(('Pasture Insurance'!$E$30-(G105*'Pasture Insurance'!$G$26))*'Pasture Insurance'!$E$12&lt;0,0,('Pasture Insurance'!$E$30-(G105*'Pasture Insurance'!$G$26))*'Pasture Insurance'!$E$12)</f>
        <v>31036.5</v>
      </c>
    </row>
    <row r="106" spans="2:8" x14ac:dyDescent="0.25">
      <c r="B106">
        <f t="shared" si="4"/>
        <v>114</v>
      </c>
      <c r="D106" s="57">
        <f>IF(('Pasture Insurance'!$E$30-(B106*'Pasture Insurance'!$G$26))*'Pasture Insurance'!$E$12&lt;0,0,('Pasture Insurance'!$E$30-(B106*'Pasture Insurance'!$G$26))*'Pasture Insurance'!$E$12)</f>
        <v>2821.5</v>
      </c>
      <c r="E106" s="58">
        <f>B106+'Pasture Insurance'!$E$10</f>
        <v>44810</v>
      </c>
      <c r="F106" s="59">
        <f>'Pasture Insurance'!$E$38</f>
        <v>969.26220000000001</v>
      </c>
      <c r="G106" s="30">
        <f t="shared" si="5"/>
        <v>47</v>
      </c>
      <c r="H106" s="59">
        <f>IF(('Pasture Insurance'!$E$30-(G106*'Pasture Insurance'!$G$26))*'Pasture Insurance'!$E$12&lt;0,0,('Pasture Insurance'!$E$30-(G106*'Pasture Insurance'!$G$26))*'Pasture Insurance'!$E$12)</f>
        <v>31464</v>
      </c>
    </row>
    <row r="107" spans="2:8" x14ac:dyDescent="0.25">
      <c r="B107">
        <f t="shared" si="4"/>
        <v>115</v>
      </c>
      <c r="D107" s="57">
        <f>IF(('Pasture Insurance'!$E$30-(B107*'Pasture Insurance'!$G$26))*'Pasture Insurance'!$E$12&lt;0,0,('Pasture Insurance'!$E$30-(B107*'Pasture Insurance'!$G$26))*'Pasture Insurance'!$E$12)</f>
        <v>2394</v>
      </c>
      <c r="E107" s="58">
        <f>B107+'Pasture Insurance'!$E$10</f>
        <v>44811</v>
      </c>
      <c r="F107" s="59">
        <f>'Pasture Insurance'!$E$38</f>
        <v>969.26220000000001</v>
      </c>
      <c r="G107" s="30">
        <f t="shared" si="5"/>
        <v>46</v>
      </c>
      <c r="H107" s="59">
        <f>IF(('Pasture Insurance'!$E$30-(G107*'Pasture Insurance'!$G$26))*'Pasture Insurance'!$E$12&lt;0,0,('Pasture Insurance'!$E$30-(G107*'Pasture Insurance'!$G$26))*'Pasture Insurance'!$E$12)</f>
        <v>31891.5</v>
      </c>
    </row>
    <row r="108" spans="2:8" x14ac:dyDescent="0.25">
      <c r="B108">
        <f t="shared" si="4"/>
        <v>116</v>
      </c>
      <c r="D108" s="57">
        <f>IF(('Pasture Insurance'!$E$30-(B108*'Pasture Insurance'!$G$26))*'Pasture Insurance'!$E$12&lt;0,0,('Pasture Insurance'!$E$30-(B108*'Pasture Insurance'!$G$26))*'Pasture Insurance'!$E$12)</f>
        <v>1966.5</v>
      </c>
      <c r="E108" s="58">
        <f>B108+'Pasture Insurance'!$E$10</f>
        <v>44812</v>
      </c>
      <c r="F108" s="59">
        <f>'Pasture Insurance'!$E$38</f>
        <v>969.26220000000001</v>
      </c>
      <c r="G108" s="30">
        <f t="shared" si="5"/>
        <v>45</v>
      </c>
      <c r="H108" s="59">
        <f>IF(('Pasture Insurance'!$E$30-(G108*'Pasture Insurance'!$G$26))*'Pasture Insurance'!$E$12&lt;0,0,('Pasture Insurance'!$E$30-(G108*'Pasture Insurance'!$G$26))*'Pasture Insurance'!$E$12)</f>
        <v>32319</v>
      </c>
    </row>
    <row r="109" spans="2:8" x14ac:dyDescent="0.25">
      <c r="B109">
        <f t="shared" si="4"/>
        <v>117</v>
      </c>
      <c r="D109" s="57">
        <f>IF(('Pasture Insurance'!$E$30-(B109*'Pasture Insurance'!$G$26))*'Pasture Insurance'!$E$12&lt;0,0,('Pasture Insurance'!$E$30-(B109*'Pasture Insurance'!$G$26))*'Pasture Insurance'!$E$12)</f>
        <v>1539</v>
      </c>
      <c r="E109" s="58">
        <f>B109+'Pasture Insurance'!$E$10</f>
        <v>44813</v>
      </c>
      <c r="F109" s="59">
        <f>'Pasture Insurance'!$E$38</f>
        <v>969.26220000000001</v>
      </c>
      <c r="G109" s="30">
        <f t="shared" si="5"/>
        <v>44</v>
      </c>
      <c r="H109" s="59">
        <f>IF(('Pasture Insurance'!$E$30-(G109*'Pasture Insurance'!$G$26))*'Pasture Insurance'!$E$12&lt;0,0,('Pasture Insurance'!$E$30-(G109*'Pasture Insurance'!$G$26))*'Pasture Insurance'!$E$12)</f>
        <v>32746.5</v>
      </c>
    </row>
    <row r="110" spans="2:8" x14ac:dyDescent="0.25">
      <c r="B110">
        <f t="shared" si="4"/>
        <v>118</v>
      </c>
      <c r="D110" s="57">
        <f>IF(('Pasture Insurance'!$E$30-(B110*'Pasture Insurance'!$G$26))*'Pasture Insurance'!$E$12&lt;0,0,('Pasture Insurance'!$E$30-(B110*'Pasture Insurance'!$G$26))*'Pasture Insurance'!$E$12)</f>
        <v>1111.5</v>
      </c>
      <c r="E110" s="58">
        <f>B110+'Pasture Insurance'!$E$10</f>
        <v>44814</v>
      </c>
      <c r="F110" s="59">
        <f>'Pasture Insurance'!$E$38</f>
        <v>969.26220000000001</v>
      </c>
      <c r="G110" s="30">
        <f t="shared" si="5"/>
        <v>43</v>
      </c>
      <c r="H110" s="59">
        <f>IF(('Pasture Insurance'!$E$30-(G110*'Pasture Insurance'!$G$26))*'Pasture Insurance'!$E$12&lt;0,0,('Pasture Insurance'!$E$30-(G110*'Pasture Insurance'!$G$26))*'Pasture Insurance'!$E$12)</f>
        <v>33174</v>
      </c>
    </row>
    <row r="111" spans="2:8" x14ac:dyDescent="0.25">
      <c r="B111">
        <f t="shared" si="4"/>
        <v>119</v>
      </c>
      <c r="D111" s="57">
        <f>IF(('Pasture Insurance'!$E$30-(B111*'Pasture Insurance'!$G$26))*'Pasture Insurance'!$E$12&lt;0,0,('Pasture Insurance'!$E$30-(B111*'Pasture Insurance'!$G$26))*'Pasture Insurance'!$E$12)</f>
        <v>684</v>
      </c>
      <c r="E111" s="58">
        <f>B111+'Pasture Insurance'!$E$10</f>
        <v>44815</v>
      </c>
      <c r="F111" s="59">
        <f>'Pasture Insurance'!$E$38</f>
        <v>969.26220000000001</v>
      </c>
      <c r="G111" s="30">
        <f t="shared" si="5"/>
        <v>42</v>
      </c>
      <c r="H111" s="59">
        <f>IF(('Pasture Insurance'!$E$30-(G111*'Pasture Insurance'!$G$26))*'Pasture Insurance'!$E$12&lt;0,0,('Pasture Insurance'!$E$30-(G111*'Pasture Insurance'!$G$26))*'Pasture Insurance'!$E$12)</f>
        <v>33601.5</v>
      </c>
    </row>
    <row r="112" spans="2:8" x14ac:dyDescent="0.25">
      <c r="B112">
        <f t="shared" si="4"/>
        <v>120</v>
      </c>
      <c r="D112" s="57">
        <f>IF(('Pasture Insurance'!$E$30-(B112*'Pasture Insurance'!$G$26))*'Pasture Insurance'!$E$12&lt;0,0,('Pasture Insurance'!$E$30-(B112*'Pasture Insurance'!$G$26))*'Pasture Insurance'!$E$12)</f>
        <v>256.5</v>
      </c>
      <c r="E112" s="58">
        <f>B112+'Pasture Insurance'!$E$10</f>
        <v>44816</v>
      </c>
      <c r="F112" s="59">
        <f>'Pasture Insurance'!$E$38</f>
        <v>969.26220000000001</v>
      </c>
      <c r="G112" s="30">
        <f t="shared" si="5"/>
        <v>41</v>
      </c>
      <c r="H112" s="59">
        <f>IF(('Pasture Insurance'!$E$30-(G112*'Pasture Insurance'!$G$26))*'Pasture Insurance'!$E$12&lt;0,0,('Pasture Insurance'!$E$30-(G112*'Pasture Insurance'!$G$26))*'Pasture Insurance'!$E$12)</f>
        <v>34029</v>
      </c>
    </row>
    <row r="113" spans="2:9" x14ac:dyDescent="0.25">
      <c r="B113" s="12">
        <f>ROUND('Pasture Insurance'!E30/'Pasture Insurance'!G26,0)</f>
        <v>121</v>
      </c>
      <c r="C113" s="12"/>
      <c r="D113" s="57">
        <f>IF(('Pasture Insurance'!$E$30-(B113*'Pasture Insurance'!$G$26))*'Pasture Insurance'!$E$12&lt;0,0,('Pasture Insurance'!$E$30-(B113*'Pasture Insurance'!$G$26))*'Pasture Insurance'!$E$12)</f>
        <v>0</v>
      </c>
      <c r="E113" s="58">
        <f>B113+'Pasture Insurance'!$E$10</f>
        <v>44817</v>
      </c>
      <c r="F113" s="59">
        <f>'Pasture Insurance'!$E$38</f>
        <v>969.26220000000001</v>
      </c>
      <c r="G113" s="30">
        <f t="shared" si="5"/>
        <v>40</v>
      </c>
      <c r="H113" s="59">
        <f>IF(('Pasture Insurance'!$E$30-(G113*'Pasture Insurance'!$G$26))*'Pasture Insurance'!$E$12&lt;0,0,('Pasture Insurance'!$E$30-(G113*'Pasture Insurance'!$G$26))*'Pasture Insurance'!$E$12)</f>
        <v>34456.5</v>
      </c>
    </row>
    <row r="115" spans="2:9" ht="15" x14ac:dyDescent="0.25">
      <c r="B115" s="1" t="str">
        <f>"Premium = $"&amp;TEXT('Pasture Insurance'!E38,"#,###")</f>
        <v>Premium = $969</v>
      </c>
      <c r="C115" s="1"/>
      <c r="D115" s="62"/>
      <c r="E115" s="62"/>
      <c r="F115" s="62"/>
      <c r="G115" s="62"/>
      <c r="H115" s="63" t="str">
        <f>"Indemnity = $"&amp;TEXT('Pasture Insurance'!E48,"#,###")&amp;" or $"&amp;ROUND('Pasture Insurance'!E50,0)&amp;"/head"</f>
        <v>Indemnity = $8,379 or $57/head</v>
      </c>
      <c r="I115" s="62"/>
    </row>
    <row r="116" spans="2:9" x14ac:dyDescent="0.25">
      <c r="B116" s="62"/>
      <c r="C116" s="62"/>
      <c r="D116" s="62"/>
      <c r="E116" s="62"/>
      <c r="F116" s="62" t="s">
        <v>41</v>
      </c>
      <c r="G116" s="62" t="s">
        <v>42</v>
      </c>
      <c r="H116" s="62" t="str">
        <f>'Pasture Insurance'!E45&amp;" Actual Grazing Days "</f>
        <v xml:space="preserve">101 Actual Grazing Days </v>
      </c>
      <c r="I116" s="62"/>
    </row>
    <row r="117" spans="2:9" x14ac:dyDescent="0.25">
      <c r="B117" s="62">
        <v>1</v>
      </c>
      <c r="C117" s="62"/>
      <c r="D117" s="62"/>
      <c r="E117" s="64">
        <f>'Pasture Insurance'!$E$48</f>
        <v>8379</v>
      </c>
      <c r="F117" s="62"/>
      <c r="G117" s="62"/>
      <c r="H117" s="63">
        <f>'Pasture Insurance'!$E$45</f>
        <v>101</v>
      </c>
      <c r="I117" s="62"/>
    </row>
    <row r="118" spans="2:9" x14ac:dyDescent="0.25">
      <c r="B118" s="65">
        <v>2</v>
      </c>
      <c r="C118" s="65"/>
      <c r="D118" s="62"/>
      <c r="E118" s="64">
        <f>'Pasture Insurance'!$E$48</f>
        <v>8379</v>
      </c>
      <c r="F118" s="63">
        <f>ROUND('Pasture Insurance'!E8,0)</f>
        <v>134</v>
      </c>
      <c r="G118" s="63">
        <f>ROUND('Pasture Insurance'!E8*'Pasture Insurance'!E9,0)</f>
        <v>121</v>
      </c>
      <c r="H118" s="63">
        <f>'Pasture Insurance'!$E$45</f>
        <v>101</v>
      </c>
      <c r="I118" s="62"/>
    </row>
    <row r="119" spans="2:9" x14ac:dyDescent="0.25">
      <c r="B119" s="62">
        <v>3</v>
      </c>
      <c r="C119" s="62"/>
      <c r="D119" s="62"/>
      <c r="E119" s="62"/>
      <c r="F119" s="62"/>
      <c r="G119" s="62"/>
      <c r="H119" s="63">
        <f>'Pasture Insurance'!$E$45</f>
        <v>101</v>
      </c>
      <c r="I119" s="62"/>
    </row>
    <row r="121" spans="2:9" x14ac:dyDescent="0.25">
      <c r="D121" t="str">
        <f>"Pasture Insurance Indemnity (based on "&amp;'Pasture Insurance'!E26&amp;" Head @ "&amp;'Pasture Insurance'!E8&amp;" days historic grazing period)"</f>
        <v>Pasture Insurance Indemnity (based on 146 Head @ 134 days historic grazing period)</v>
      </c>
    </row>
    <row r="122" spans="2:9" x14ac:dyDescent="0.25">
      <c r="D122" t="str">
        <f>"Pasture Insurance Indemnity = $"&amp;TEXT('Pasture Insurance'!E48,"#,###")&amp;" (based on "&amp;'Pasture Insurance'!E26&amp;" Head @ "&amp;'Pasture Insurance'!E8&amp;" days historic grazing period)"</f>
        <v>Pasture Insurance Indemnity = $8,379 (based on 146 Head @ 134 days historic grazing period)</v>
      </c>
    </row>
    <row r="123" spans="2:9" x14ac:dyDescent="0.25">
      <c r="F123" s="12" t="str">
        <f>F126&amp;" Pasture Days Covered by AgriInsurance"</f>
        <v>121 Pasture Days Covered by AgriInsurance</v>
      </c>
      <c r="G123" s="12" t="str">
        <f>G126&amp;" Pasture Days Uncovered by AgriInsurance"</f>
        <v>13 Pasture Days Uncovered by AgriInsurance</v>
      </c>
    </row>
    <row r="124" spans="2:9" x14ac:dyDescent="0.25">
      <c r="E124" s="12" t="s">
        <v>38</v>
      </c>
      <c r="F124" s="12" t="s">
        <v>39</v>
      </c>
      <c r="G124" s="12" t="s">
        <v>40</v>
      </c>
      <c r="H124" s="12" t="str">
        <f>'Pasture Insurance'!E45&amp;" Actual Grazing Days (Indemnity = $"&amp;TEXT('Pasture Insurance'!E48,"#,###")&amp;" or $"&amp;ROUND('Pasture Insurance'!E50,0)&amp;"/hd)"</f>
        <v>101 Actual Grazing Days (Indemnity = $8,379 or $57/hd)</v>
      </c>
    </row>
    <row r="125" spans="2:9" x14ac:dyDescent="0.25">
      <c r="B125">
        <v>1</v>
      </c>
      <c r="E125" s="61">
        <f>'Pasture Insurance'!$E$48</f>
        <v>8379</v>
      </c>
      <c r="H125" s="60">
        <f>'Pasture Insurance'!$E$45</f>
        <v>101</v>
      </c>
    </row>
    <row r="126" spans="2:9" x14ac:dyDescent="0.25">
      <c r="B126" s="12">
        <v>2</v>
      </c>
      <c r="C126" s="12"/>
      <c r="E126" s="61">
        <f>'Pasture Insurance'!$E$48</f>
        <v>8379</v>
      </c>
      <c r="F126">
        <f>ROUND('Pasture Insurance'!E8*'Pasture Insurance'!E9,0)</f>
        <v>121</v>
      </c>
      <c r="G126" s="60">
        <f>'Pasture Insurance'!E8-(ROUND('Pasture Insurance'!E8*'Pasture Insurance'!E9,0))</f>
        <v>13</v>
      </c>
      <c r="H126" s="60">
        <f>'Pasture Insurance'!$E$45</f>
        <v>101</v>
      </c>
    </row>
    <row r="127" spans="2:9" x14ac:dyDescent="0.25">
      <c r="B127">
        <v>3</v>
      </c>
      <c r="H127" s="60">
        <f>'Pasture Insurance'!$E$45</f>
        <v>101</v>
      </c>
    </row>
    <row r="128" spans="2:9" x14ac:dyDescent="0.25">
      <c r="F128" t="s">
        <v>41</v>
      </c>
      <c r="G128" t="s">
        <v>42</v>
      </c>
      <c r="H128" t="str">
        <f>'Pasture Insurance'!E45&amp;" Actual Grazing Days (Indemnity = $"&amp;TEXT('Pasture Insurance'!E48,"#,###")&amp;" or $"&amp;ROUND('Pasture Insurance'!E50,0)&amp;"/hd)"</f>
        <v>101 Actual Grazing Days (Indemnity = $8,379 or $57/hd)</v>
      </c>
    </row>
    <row r="129" spans="2:8" x14ac:dyDescent="0.25">
      <c r="B129">
        <v>1</v>
      </c>
      <c r="E129" s="61">
        <f>'Pasture Insurance'!$E$48</f>
        <v>8379</v>
      </c>
      <c r="H129" s="60">
        <f>'Pasture Insurance'!$E$45</f>
        <v>101</v>
      </c>
    </row>
    <row r="130" spans="2:8" x14ac:dyDescent="0.25">
      <c r="B130" s="12">
        <v>2</v>
      </c>
      <c r="C130" s="12"/>
      <c r="E130" s="61">
        <f>'Pasture Insurance'!$E$48</f>
        <v>8379</v>
      </c>
      <c r="F130" s="60">
        <f>ROUND('Pasture Insurance'!E8,0)</f>
        <v>134</v>
      </c>
      <c r="G130" s="60">
        <f>ROUND('Pasture Insurance'!E8*'Pasture Insurance'!E9,0)</f>
        <v>121</v>
      </c>
      <c r="H130" s="60">
        <f>'Pasture Insurance'!$E$45</f>
        <v>101</v>
      </c>
    </row>
    <row r="131" spans="2:8" x14ac:dyDescent="0.25">
      <c r="B131">
        <v>3</v>
      </c>
      <c r="H131" s="60">
        <f>'Pasture Insurance'!$E$45</f>
        <v>101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F5567-0267-42DF-A3C9-954ED5EE0960}">
  <ds:schemaRefs>
    <ds:schemaRef ds:uri="http://schemas.microsoft.com/office/2006/metadata/longProperties"/>
  </ds:schemaRefs>
</ds:datastoreItem>
</file>

<file path=customXml/itemProps2.xml><?xml version="1.0" encoding="utf-8"?>
<ds:datastoreItem xmlns:ds="http://schemas.openxmlformats.org/officeDocument/2006/customXml" ds:itemID="{44E2BBF8-2668-4705-8444-5924F0100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FA598A-4AE8-46F7-85BC-92D5CADE338C}">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6A72A769-07F8-420D-B87E-7F95A1D797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Pasture Insurance</vt:lpstr>
      <vt:lpstr>Chart DATA (hide)</vt:lpstr>
      <vt:lpstr>Animal</vt:lpstr>
      <vt:lpstr>Bison</vt:lpstr>
      <vt:lpstr>Cows</vt:lpstr>
      <vt:lpstr>Deer</vt:lpstr>
      <vt:lpstr>Donkeys_and_Ponies</vt:lpstr>
      <vt:lpstr>Elk</vt:lpstr>
      <vt:lpstr>Goats</vt:lpstr>
      <vt:lpstr>Horses</vt:lpstr>
      <vt:lpstr>Llamas_and_Alpacas</vt:lpstr>
      <vt:lpstr>'Pasture Insurance'!Print_Area</vt:lpstr>
      <vt:lpstr>Sheep</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Pasture Days Insurance Calculator</dc:title>
  <dc:creator>Roy Arnott</dc:creator>
  <cp:lastModifiedBy>Mashinini, Khosi (ARD)</cp:lastModifiedBy>
  <cp:lastPrinted>2022-04-29T14:15:25Z</cp:lastPrinted>
  <dcterms:created xsi:type="dcterms:W3CDTF">1999-05-11T14:54:42Z</dcterms:created>
  <dcterms:modified xsi:type="dcterms:W3CDTF">2024-02-02T16:18:21Z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0x01010007C3257931C4EB4CBE667AF33D71167E</vt:lpwstr>
  </property>
  <property fmtid="{D5CDD505-2E9C-101B-9397-08002B2CF9AE}" pid="6" name="_SourceUrl">
    <vt:lpwstr/>
  </property>
  <property fmtid="{D5CDD505-2E9C-101B-9397-08002B2CF9AE}" pid="7" name="_SharedFileIndex">
    <vt:lpwstr/>
  </property>
</Properties>
</file>