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05" yWindow="360" windowWidth="5940" windowHeight="4575" activeTab="0"/>
  </bookViews>
  <sheets>
    <sheet name="Introduction" sheetId="1" r:id="rId1"/>
    <sheet name="Input" sheetId="2" r:id="rId2"/>
    <sheet name="Summary" sheetId="3" r:id="rId3"/>
    <sheet name="Details" sheetId="4" r:id="rId4"/>
    <sheet name="Breakeven" sheetId="5" r:id="rId5"/>
    <sheet name="Facilities" sheetId="6" r:id="rId6"/>
  </sheets>
  <definedNames>
    <definedName name="\A">$K$205:$K$205</definedName>
    <definedName name="\C">$K$215:$K$215</definedName>
    <definedName name="\D">$K$203:$K$203</definedName>
    <definedName name="\H">$K$197:$K$197</definedName>
    <definedName name="\I">$K$199:$K$199</definedName>
    <definedName name="\K">$K$207:$K$207</definedName>
    <definedName name="\N">$K$217:$K$217</definedName>
    <definedName name="\P">$K$171:$K$171</definedName>
    <definedName name="\S">$K$201:$K$201</definedName>
    <definedName name="\W">$K$209:$K$209</definedName>
    <definedName name="\X">$K$220:$K$220</definedName>
    <definedName name="ALL">$K$181:$K$181</definedName>
    <definedName name="_xlnm.Print_Area" localSheetId="1">'Input'!$A$1:$H$132</definedName>
    <definedName name="_xlnm.Print_Area" localSheetId="0">'Introduction'!$A$1:$I$33</definedName>
  </definedNames>
  <calcPr fullCalcOnLoad="1"/>
</workbook>
</file>

<file path=xl/sharedStrings.xml><?xml version="1.0" encoding="utf-8"?>
<sst xmlns="http://schemas.openxmlformats.org/spreadsheetml/2006/main" count="685" uniqueCount="302">
  <si>
    <t/>
  </si>
  <si>
    <t xml:space="preserve">   3.  All feed is purchased.</t>
  </si>
  <si>
    <t>-</t>
  </si>
  <si>
    <t>Days On Feed</t>
  </si>
  <si>
    <t>(lbs/day )</t>
  </si>
  <si>
    <t>Canola</t>
  </si>
  <si>
    <t>Other Feed #1</t>
  </si>
  <si>
    <t>Other Feed #2</t>
  </si>
  <si>
    <t xml:space="preserve">  Feeder Purchase Costs</t>
  </si>
  <si>
    <t xml:space="preserve">     Tons/feeder</t>
  </si>
  <si>
    <t xml:space="preserve">     Vitamin A-D</t>
  </si>
  <si>
    <t xml:space="preserve">     External &amp; Internal Parasites</t>
  </si>
  <si>
    <t xml:space="preserve">     Blackleg</t>
  </si>
  <si>
    <t xml:space="preserve">     Growth Implants</t>
  </si>
  <si>
    <t xml:space="preserve">     Antibiotics</t>
  </si>
  <si>
    <t>Operating Costs</t>
  </si>
  <si>
    <t>Total Costs</t>
  </si>
  <si>
    <t xml:space="preserve">       Total Yearly Hours</t>
  </si>
  <si>
    <t xml:space="preserve">       Total Kilometres (round trip)</t>
  </si>
  <si>
    <t xml:space="preserve">       Charge per km</t>
  </si>
  <si>
    <t xml:space="preserve">       Number of Yearly Visits</t>
  </si>
  <si>
    <t xml:space="preserve">     Fuel Costs</t>
  </si>
  <si>
    <t xml:space="preserve">     Number of head per load</t>
  </si>
  <si>
    <t xml:space="preserve">     Cost per $100 Capital Invested in:</t>
  </si>
  <si>
    <t xml:space="preserve">     Additional Coverage for Liability</t>
  </si>
  <si>
    <t xml:space="preserve">     Windbreak fence</t>
  </si>
  <si>
    <t xml:space="preserve">     Pens</t>
  </si>
  <si>
    <t xml:space="preserve">     Grain Bin</t>
  </si>
  <si>
    <t xml:space="preserve">     Handling Facilities</t>
  </si>
  <si>
    <t xml:space="preserve">     Waterers</t>
  </si>
  <si>
    <t xml:space="preserve">     Gates</t>
  </si>
  <si>
    <t xml:space="preserve">     Feeders</t>
  </si>
  <si>
    <t xml:space="preserve">     Bunk Feeders</t>
  </si>
  <si>
    <t xml:space="preserve">     Well &amp; Pressure System</t>
  </si>
  <si>
    <t xml:space="preserve">     Landscaping</t>
  </si>
  <si>
    <t xml:space="preserve">  Machinery &amp; Equipment</t>
  </si>
  <si>
    <t xml:space="preserve">     Tractor &amp; Loader</t>
  </si>
  <si>
    <t xml:space="preserve">     Miscellaneous</t>
  </si>
  <si>
    <t xml:space="preserve">  Total Investment</t>
  </si>
  <si>
    <t xml:space="preserve">    1.01  Ground Barley</t>
  </si>
  <si>
    <t xml:space="preserve">    1.02  Barley Silage</t>
  </si>
  <si>
    <t xml:space="preserve">    Total Feed Costs</t>
  </si>
  <si>
    <t xml:space="preserve">    2.01  Feeder Cost</t>
  </si>
  <si>
    <t xml:space="preserve">    2.02  Straw</t>
  </si>
  <si>
    <t xml:space="preserve">    2.03  Veterinary Medicine &amp; Supplies</t>
  </si>
  <si>
    <t xml:space="preserve">    2.05  Utilities</t>
  </si>
  <si>
    <t xml:space="preserve">    2.07  Insurance</t>
  </si>
  <si>
    <t xml:space="preserve">    2.08  Manure Removal</t>
  </si>
  <si>
    <t xml:space="preserve">    2.09  Barn &amp; Office Supplies</t>
  </si>
  <si>
    <t xml:space="preserve">    2.10  Death Loss</t>
  </si>
  <si>
    <t xml:space="preserve">    2.11  Operating Interest</t>
  </si>
  <si>
    <t>3.  Depreciation</t>
  </si>
  <si>
    <t xml:space="preserve">    3.01  Buildings</t>
  </si>
  <si>
    <t xml:space="preserve">    3.02  Machinery &amp; Equipment</t>
  </si>
  <si>
    <t>4.  Investment</t>
  </si>
  <si>
    <t xml:space="preserve">    4.01  Buildings</t>
  </si>
  <si>
    <t xml:space="preserve">    4.02  Machinery &amp; Equipment</t>
  </si>
  <si>
    <t>Feed Costs</t>
  </si>
  <si>
    <t>feed cost</t>
  </si>
  <si>
    <t>÷</t>
  </si>
  <si>
    <t>weight gain</t>
  </si>
  <si>
    <t>=</t>
  </si>
  <si>
    <t>/lb gain sold</t>
  </si>
  <si>
    <t>operating costs</t>
  </si>
  <si>
    <t>feeder cost</t>
  </si>
  <si>
    <t>operating &amp; fixed costs</t>
  </si>
  <si>
    <t>Breakeven Selling Price</t>
  </si>
  <si>
    <t>lbs shrunk weight</t>
  </si>
  <si>
    <t xml:space="preserve">/lb </t>
  </si>
  <si>
    <t>x</t>
  </si>
  <si>
    <t>lbs/feeder/day</t>
  </si>
  <si>
    <t>/feeder</t>
  </si>
  <si>
    <t xml:space="preserve">    1.02  Silage</t>
  </si>
  <si>
    <t>days on silage</t>
  </si>
  <si>
    <t xml:space="preserve">    2.01  Feeder Cattle Cost</t>
  </si>
  <si>
    <t>Buying Commission</t>
  </si>
  <si>
    <t>Trucking-in</t>
  </si>
  <si>
    <t>lbs/feeder</t>
  </si>
  <si>
    <t>Feeder</t>
  </si>
  <si>
    <t xml:space="preserve">Total </t>
  </si>
  <si>
    <t xml:space="preserve">    2.02 Straw</t>
  </si>
  <si>
    <t>tons/feeder</t>
  </si>
  <si>
    <t>/ton</t>
  </si>
  <si>
    <t xml:space="preserve">    2.03 Veterinary Medicine &amp; Supplies</t>
  </si>
  <si>
    <t>+</t>
  </si>
  <si>
    <t>feeder cattle</t>
  </si>
  <si>
    <t>Total</t>
  </si>
  <si>
    <t xml:space="preserve">    2.06  Marketing &amp; Transportation</t>
  </si>
  <si>
    <t>miles</t>
  </si>
  <si>
    <t>head/load</t>
  </si>
  <si>
    <t>herd investment</t>
  </si>
  <si>
    <t>total barn expenses</t>
  </si>
  <si>
    <t>feeder cattle cost</t>
  </si>
  <si>
    <t>maximum value</t>
  </si>
  <si>
    <t>average</t>
  </si>
  <si>
    <t>½ of feed &amp; other costs</t>
  </si>
  <si>
    <t>days on feed</t>
  </si>
  <si>
    <t>salvage value</t>
  </si>
  <si>
    <t>years useful life</t>
  </si>
  <si>
    <t>/hour</t>
  </si>
  <si>
    <t xml:space="preserve">  Assumptions</t>
  </si>
  <si>
    <t>FOOTNOTE:  1 kilogram (kg) = 2.2046 pounds (lbs)</t>
  </si>
  <si>
    <t>Feeder Cattle</t>
  </si>
  <si>
    <t xml:space="preserve">  Straw</t>
  </si>
  <si>
    <t xml:space="preserve">  Veterinary Medicine &amp; Supplies</t>
  </si>
  <si>
    <t xml:space="preserve">   Cattle Medication</t>
  </si>
  <si>
    <t xml:space="preserve">   Herd health program</t>
  </si>
  <si>
    <t xml:space="preserve">     Professional Services</t>
  </si>
  <si>
    <t xml:space="preserve">     Transportation</t>
  </si>
  <si>
    <t xml:space="preserve">  Utilities</t>
  </si>
  <si>
    <t xml:space="preserve">  Trucking Cost</t>
  </si>
  <si>
    <t xml:space="preserve">  Manure Removal</t>
  </si>
  <si>
    <t xml:space="preserve">  Insurance</t>
  </si>
  <si>
    <t xml:space="preserve">  Barn &amp; Office Supplies</t>
  </si>
  <si>
    <t>FOOTNOTE:  cwt = hundred-weight = 100 lbs</t>
  </si>
  <si>
    <t>Original</t>
  </si>
  <si>
    <t>Value</t>
  </si>
  <si>
    <t>Salvage</t>
  </si>
  <si>
    <t>Useful</t>
  </si>
  <si>
    <t>Life</t>
  </si>
  <si>
    <t xml:space="preserve">     Total</t>
  </si>
  <si>
    <t>Your Cost</t>
  </si>
  <si>
    <t>Cost/Head</t>
  </si>
  <si>
    <t>A.  Operating Costs</t>
  </si>
  <si>
    <t>1.  Feed Costs</t>
  </si>
  <si>
    <t>2.  Other Operating Costs</t>
  </si>
  <si>
    <t>B.  Fixed Costs</t>
  </si>
  <si>
    <t xml:space="preserve">    Total Fixed Costs</t>
  </si>
  <si>
    <t>Total Operating and Fixed Costs</t>
  </si>
  <si>
    <t>Total Cost of Production</t>
  </si>
  <si>
    <t xml:space="preserve">    Shortkeep Cattle Production Cost Worksheet</t>
  </si>
  <si>
    <t>Cattle Medication</t>
  </si>
  <si>
    <t>Shortkeep Cattle Production Costs - Input</t>
  </si>
  <si>
    <t>Shortkeep Feeder Costs</t>
  </si>
  <si>
    <t>Cost per lb of gain sold</t>
  </si>
  <si>
    <t xml:space="preserve">    Operating Costs</t>
  </si>
  <si>
    <t xml:space="preserve">     Feed Costs</t>
  </si>
  <si>
    <t xml:space="preserve">    Total costs</t>
  </si>
  <si>
    <t>Prepared by:</t>
  </si>
  <si>
    <t>Peter Blawat</t>
  </si>
  <si>
    <t>Bob Gwyer</t>
  </si>
  <si>
    <t>John Popp</t>
  </si>
  <si>
    <t>Breakeven Calculations</t>
  </si>
  <si>
    <t>days on grain</t>
  </si>
  <si>
    <t>lbs/cwt</t>
  </si>
  <si>
    <t>Blackleg</t>
  </si>
  <si>
    <t>Growth Implants</t>
  </si>
  <si>
    <t>Antibiotics</t>
  </si>
  <si>
    <t>repairs</t>
  </si>
  <si>
    <t>fuel costs</t>
  </si>
  <si>
    <t>/$100</t>
  </si>
  <si>
    <t>days/year</t>
  </si>
  <si>
    <t>Capital Costs</t>
  </si>
  <si>
    <t>Original Cost - Salvage Value</t>
  </si>
  <si>
    <t>Useful Life</t>
  </si>
  <si>
    <t>original cost</t>
  </si>
  <si>
    <t>Assumptions</t>
  </si>
  <si>
    <t>$/unit</t>
  </si>
  <si>
    <t>Days on</t>
  </si>
  <si>
    <t>Feed</t>
  </si>
  <si>
    <t>Vitamins</t>
  </si>
  <si>
    <t>Parasite control</t>
  </si>
  <si>
    <t>Breakeven selling price</t>
  </si>
  <si>
    <t>4.  Investment in feedlot facilities and equipment was assumed to handle</t>
  </si>
  <si>
    <t>Short Keep Feedlot Facilities</t>
  </si>
  <si>
    <t>days on supplement</t>
  </si>
  <si>
    <t xml:space="preserve">    1.03  Supplement</t>
  </si>
  <si>
    <t xml:space="preserve">    Operating &amp; fixed</t>
  </si>
  <si>
    <t>Herd Profile</t>
  </si>
  <si>
    <t>Other Operating Costs</t>
  </si>
  <si>
    <t xml:space="preserve">  Operating Interest Rate</t>
  </si>
  <si>
    <t xml:space="preserve">  Investment Interest Rate</t>
  </si>
  <si>
    <t>%</t>
  </si>
  <si>
    <t>years</t>
  </si>
  <si>
    <t xml:space="preserve">  Buildings,Corrals</t>
  </si>
  <si>
    <t xml:space="preserve">   &amp; Water System</t>
  </si>
  <si>
    <t>head</t>
  </si>
  <si>
    <t>lbs</t>
  </si>
  <si>
    <t>/cwt</t>
  </si>
  <si>
    <t>lbs/day</t>
  </si>
  <si>
    <t>days</t>
  </si>
  <si>
    <t>/bu</t>
  </si>
  <si>
    <t>Rolled Barley</t>
  </si>
  <si>
    <t>Barley Silage</t>
  </si>
  <si>
    <t>/head</t>
  </si>
  <si>
    <t>tons</t>
  </si>
  <si>
    <t xml:space="preserve">     Cost</t>
  </si>
  <si>
    <t>hours</t>
  </si>
  <si>
    <t xml:space="preserve">       Charge </t>
  </si>
  <si>
    <t>km</t>
  </si>
  <si>
    <t>/km</t>
  </si>
  <si>
    <t xml:space="preserve">     Repairs (Machinery, Equipment &amp; Facilities)</t>
  </si>
  <si>
    <t xml:space="preserve">     Distance</t>
  </si>
  <si>
    <t xml:space="preserve">     Rate</t>
  </si>
  <si>
    <t>/loaded mile</t>
  </si>
  <si>
    <t xml:space="preserve">  Labour Hours</t>
  </si>
  <si>
    <t xml:space="preserve">  Labour Rate</t>
  </si>
  <si>
    <t>hours/head/year</t>
  </si>
  <si>
    <t>lbs/bushel</t>
  </si>
  <si>
    <t>/bushel</t>
  </si>
  <si>
    <t>lbs/ton</t>
  </si>
  <si>
    <t>/$100 capital</t>
  </si>
  <si>
    <t>additional coverage for liability</t>
  </si>
  <si>
    <t>(Operating interest is charged on one half the subtotal operating costs)</t>
  </si>
  <si>
    <r>
      <t>Original Cost + Salvage Value</t>
    </r>
    <r>
      <rPr>
        <b/>
        <sz val="12"/>
        <rFont val="Arial"/>
        <family val="2"/>
      </rPr>
      <t xml:space="preserve"> x Investment Rate</t>
    </r>
  </si>
  <si>
    <t>/year</t>
  </si>
  <si>
    <t xml:space="preserve">   1.  This budget outlines the cost of production for shortkeep cattle.</t>
  </si>
  <si>
    <t xml:space="preserve">   2.  Buildings and equipment are valued at new cost.</t>
  </si>
  <si>
    <t>Feeder Cattle Mortality Rate</t>
  </si>
  <si>
    <t>Feeder Purchased Weight</t>
  </si>
  <si>
    <t>Feeder Cattle Price</t>
  </si>
  <si>
    <t>Finish Weight</t>
  </si>
  <si>
    <t>Finish Selling Price</t>
  </si>
  <si>
    <t>Percent Shrink - finished</t>
  </si>
  <si>
    <t>Percent Shrink - feeder</t>
  </si>
  <si>
    <t>Average Daily Gain</t>
  </si>
  <si>
    <t xml:space="preserve">       a) Livestock</t>
  </si>
  <si>
    <t xml:space="preserve">                        1 kilogram (kg) = 2.2046 pounds (lbs)</t>
  </si>
  <si>
    <t xml:space="preserve">                        1 tonne (t) = 1,000 kg</t>
  </si>
  <si>
    <t>FOOTNOTE: 1 bushel (bu) barley = 48 lbs = 21.8 kg</t>
  </si>
  <si>
    <t xml:space="preserve">       b) Building &amp; Equipment</t>
  </si>
  <si>
    <t>Labour Costs</t>
  </si>
  <si>
    <t>Total Operating</t>
  </si>
  <si>
    <t xml:space="preserve"> &amp; Fixed Costs</t>
  </si>
  <si>
    <t>Requirement</t>
  </si>
  <si>
    <t xml:space="preserve">     Buying Commission</t>
  </si>
  <si>
    <t xml:space="preserve">     Trucking-in</t>
  </si>
  <si>
    <t>Subtotal Operating Costs</t>
  </si>
  <si>
    <t>Total Operating Costs</t>
  </si>
  <si>
    <r>
      <t xml:space="preserve">            </t>
    </r>
    <r>
      <rPr>
        <b/>
        <u val="single"/>
        <sz val="12"/>
        <color indexed="18"/>
        <rFont val="Arial"/>
        <family val="2"/>
      </rPr>
      <t>$/cwt</t>
    </r>
  </si>
  <si>
    <r>
      <t xml:space="preserve">    1.03  Supplement </t>
    </r>
    <r>
      <rPr>
        <sz val="12"/>
        <rFont val="Arial"/>
        <family val="2"/>
      </rPr>
      <t>(Salt, Vitamins, Minerals, Ionophore)</t>
    </r>
  </si>
  <si>
    <t xml:space="preserve">2  </t>
  </si>
  <si>
    <t>% mortality rate</t>
  </si>
  <si>
    <t>% operating interest</t>
  </si>
  <si>
    <t>% investment rate</t>
  </si>
  <si>
    <t xml:space="preserve">    2.06  Marketing Costs</t>
  </si>
  <si>
    <t>Michael Buchen</t>
  </si>
  <si>
    <t>Professional Services</t>
  </si>
  <si>
    <t>/hour charge</t>
  </si>
  <si>
    <t>Transportation</t>
  </si>
  <si>
    <t>/km charge</t>
  </si>
  <si>
    <t>kilometers</t>
  </si>
  <si>
    <t>visits</t>
  </si>
  <si>
    <t>Total Cost</t>
  </si>
  <si>
    <t>C.  Labour</t>
  </si>
  <si>
    <t>C. Labour</t>
  </si>
  <si>
    <t xml:space="preserve">  Buildings, Corrals &amp; Water System</t>
  </si>
  <si>
    <t>bldg &amp; equip investment</t>
  </si>
  <si>
    <t>total costs</t>
  </si>
  <si>
    <t>$/cwt selling price</t>
  </si>
  <si>
    <t>income</t>
  </si>
  <si>
    <t>operating less feeder cost</t>
  </si>
  <si>
    <t>lbs purchase weight</t>
  </si>
  <si>
    <t>/lb</t>
  </si>
  <si>
    <t>Breakeven purchase price</t>
  </si>
  <si>
    <t>op &amp; fixed less feeder cost</t>
  </si>
  <si>
    <t>total less feeder cost</t>
  </si>
  <si>
    <t>Operating &amp; fixed cocsts</t>
  </si>
  <si>
    <t>Total costs</t>
  </si>
  <si>
    <t>The following budget is an estimate of the costs of production encountered in finishing beef cattle in a farm feedlot situation. The purpose of this budget is to assist Manitoba livestock producers to calculate their own cost of production and take into consideration the factors that should be included when budgeting to determine breakeven prices.</t>
  </si>
  <si>
    <t>Date:</t>
  </si>
  <si>
    <t>Guidelines For Estimating</t>
  </si>
  <si>
    <t>Trucking</t>
  </si>
  <si>
    <r>
      <t>Disclaimer:</t>
    </r>
    <r>
      <rPr>
        <sz val="10"/>
        <rFont val="Arial"/>
        <family val="2"/>
      </rPr>
      <t xml:space="preserve"> This budget is only a guide and is not intended as an in-depth study of the cost of production of this industry. Interpretation and utilization of this information is the responsibility of the user. No liability for decisions based on this publication is assumed. </t>
    </r>
  </si>
  <si>
    <t>hours/feeder</t>
  </si>
  <si>
    <t xml:space="preserve">Number Purchased </t>
  </si>
  <si>
    <t>Supplement 32%</t>
  </si>
  <si>
    <t xml:space="preserve">     Truck Capacity</t>
  </si>
  <si>
    <t>lbs/load</t>
  </si>
  <si>
    <t>Other Costs</t>
  </si>
  <si>
    <t>marketing costs</t>
  </si>
  <si>
    <t>/tonne</t>
  </si>
  <si>
    <t>lbs/tonne</t>
  </si>
  <si>
    <t>/tonnne</t>
  </si>
  <si>
    <t xml:space="preserve">For more information contact your local MAFRI Office. </t>
  </si>
  <si>
    <t>Policy Analyst</t>
  </si>
  <si>
    <t>Business Development Specialist</t>
  </si>
  <si>
    <t>Finished Beef</t>
  </si>
  <si>
    <t xml:space="preserve">Farm Production Extension Specialist </t>
  </si>
  <si>
    <t>Beef</t>
  </si>
  <si>
    <t>The assumptions on which costs are calculated are clearly defined in the supporting pages. When interpreting these costs for an individual situation, adjustments may be required. Note that on farm feed costs are based on market prices at the farm. It is assumed that all feed is grown on the farm, except for supplements. Each assumption must be examined and adjustments made where necessary, to apply to the producer's own situation.</t>
  </si>
  <si>
    <t>Cattle feeding is a high risk business requiring large amounts of short term capital to buy feeder cattle and feed. With cyclical price variations for both livestock and feed, successful management involves careful consideration of costs, projection of markets and sound judgement.</t>
  </si>
  <si>
    <r>
      <t>Disclaimer</t>
    </r>
    <r>
      <rPr>
        <sz val="12"/>
        <rFont val="Tahoma"/>
        <family val="2"/>
      </rPr>
      <t>: This budget is only a guide and is not intended as an in depth study of the cost of production of the Manitoba cattle industry. Interpretation and utilization of this information is the responsibility of the user. If you require assistance with developing your individual budget, please contact your local MAFRI Business Development Specialist or Livestock Farm Production Extension Specialist.</t>
    </r>
  </si>
  <si>
    <t xml:space="preserve">   Fuel &amp; Repair Costs</t>
  </si>
  <si>
    <t xml:space="preserve">     Telephone &amp; Hydro</t>
  </si>
  <si>
    <t xml:space="preserve">     Cost for Removal</t>
  </si>
  <si>
    <t xml:space="preserve">     Total expense relating to barn</t>
  </si>
  <si>
    <t xml:space="preserve">    2.04  Fuel &amp; Repair Costs</t>
  </si>
  <si>
    <t>removal cost</t>
  </si>
  <si>
    <t>utilities</t>
  </si>
  <si>
    <t>Number of turns per year</t>
  </si>
  <si>
    <t>turns/year</t>
  </si>
  <si>
    <t xml:space="preserve">     Marketing costs to US</t>
  </si>
  <si>
    <t xml:space="preserve">     Insurance</t>
  </si>
  <si>
    <t>Insurance</t>
  </si>
  <si>
    <t xml:space="preserve">     MCEC Fee</t>
  </si>
  <si>
    <t xml:space="preserve">     MCPA Levy</t>
  </si>
  <si>
    <t>MCEC Fee</t>
  </si>
  <si>
    <t>MCPA levy</t>
  </si>
  <si>
    <t>Other Costs (US)</t>
  </si>
  <si>
    <t>Lesley Bond</t>
  </si>
  <si>
    <t>September, 2007</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</si>
</sst>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quot;#,##0"/>
    <numFmt numFmtId="174" formatCode="&quot;$&quot;#,##0.0_);\(&quot;$&quot;#,##0.0\)"/>
    <numFmt numFmtId="175" formatCode="&quot;$&quot;#,##0.00"/>
    <numFmt numFmtId="176" formatCode="0.0"/>
    <numFmt numFmtId="177" formatCode="&quot;$&quot;#,##0.0"/>
    <numFmt numFmtId="178" formatCode="#,##0.000"/>
    <numFmt numFmtId="179" formatCode="#,##0.0000"/>
    <numFmt numFmtId="180" formatCode="#,##0.0_);[Red]\(#,##0.0\)"/>
    <numFmt numFmtId="181" formatCode="_-&quot;£&quot;* #,##0_-;\-&quot;£&quot;* #,##0_-;_-&quot;£&quot;* &quot;-&quot;_-;_-@_-"/>
    <numFmt numFmtId="182" formatCode="_-* #,##0\ &quot;DM&quot;_-;\-* #,##0\ &quot;DM&quot;_-;_-* &quot;-&quot;\ &quot;DM&quot;_-;_-@_-"/>
    <numFmt numFmtId="183" formatCode="_-&quot;£&quot;* #,##0.00_-;\-&quot;£&quot;* #,##0.00_-;_-&quot;£&quot;* &quot;-&quot;??_-;_-@_-"/>
    <numFmt numFmtId="184" formatCode="_-* #,##0.00\ &quot;DM&quot;_-;\-* #,##0.00\ &quot;DM&quot;_-;_-* &quot;-&quot;??\ &quot;DM&quot;_-;_-@_-"/>
    <numFmt numFmtId="185" formatCode="#,##0.000_);[Red]\(#,##0.000\)"/>
    <numFmt numFmtId="186" formatCode="#,##0.0;[Red]\-#,##0.0"/>
    <numFmt numFmtId="187" formatCode="&quot;$&quot;#,##0.0_);[Red]\(&quot;$&quot;#,##0.0\)"/>
    <numFmt numFmtId="188" formatCode="&quot;$&quot;#,##0.000_);\(&quot;$&quot;#,##0.000\)"/>
  </numFmts>
  <fonts count="29">
    <font>
      <sz val="12"/>
      <name val="Arial"/>
      <family val="0"/>
    </font>
    <font>
      <b/>
      <sz val="12"/>
      <name val="Arial"/>
      <family val="0"/>
    </font>
    <font>
      <b/>
      <sz val="14"/>
      <name val="Arial"/>
      <family val="0"/>
    </font>
    <font>
      <sz val="10"/>
      <name val="Arial"/>
      <family val="0"/>
    </font>
    <font>
      <b/>
      <sz val="14"/>
      <color indexed="18"/>
      <name val="Arial"/>
      <family val="2"/>
    </font>
    <font>
      <b/>
      <u val="single"/>
      <sz val="12"/>
      <name val="Arial"/>
      <family val="2"/>
    </font>
    <font>
      <b/>
      <sz val="12"/>
      <color indexed="12"/>
      <name val="Arial"/>
      <family val="2"/>
    </font>
    <font>
      <b/>
      <u val="single"/>
      <sz val="12"/>
      <color indexed="12"/>
      <name val="Arial"/>
      <family val="2"/>
    </font>
    <font>
      <u val="single"/>
      <sz val="12"/>
      <name val="Arial"/>
      <family val="2"/>
    </font>
    <font>
      <sz val="14"/>
      <name val="Arial"/>
      <family val="2"/>
    </font>
    <font>
      <b/>
      <sz val="10"/>
      <color indexed="12"/>
      <name val="Arial"/>
      <family val="2"/>
    </font>
    <font>
      <b/>
      <i/>
      <sz val="12"/>
      <name val="Arial"/>
      <family val="2"/>
    </font>
    <font>
      <b/>
      <i/>
      <u val="single"/>
      <sz val="12"/>
      <name val="Arial"/>
      <family val="2"/>
    </font>
    <font>
      <u val="single"/>
      <sz val="10"/>
      <color indexed="36"/>
      <name val="Arial"/>
      <family val="0"/>
    </font>
    <font>
      <u val="single"/>
      <sz val="10"/>
      <color indexed="12"/>
      <name val="Arial"/>
      <family val="2"/>
    </font>
    <font>
      <sz val="10"/>
      <color indexed="12"/>
      <name val="Arial"/>
      <family val="2"/>
    </font>
    <font>
      <sz val="14"/>
      <color indexed="18"/>
      <name val="Arial"/>
      <family val="2"/>
    </font>
    <font>
      <b/>
      <sz val="12"/>
      <color indexed="18"/>
      <name val="Arial"/>
      <family val="2"/>
    </font>
    <font>
      <b/>
      <u val="single"/>
      <sz val="12"/>
      <color indexed="18"/>
      <name val="Arial"/>
      <family val="2"/>
    </font>
    <font>
      <b/>
      <sz val="10"/>
      <name val="Arial"/>
      <family val="2"/>
    </font>
    <font>
      <sz val="12"/>
      <color indexed="10"/>
      <name val="Arial"/>
      <family val="2"/>
    </font>
    <font>
      <sz val="8"/>
      <name val="Arial"/>
      <family val="0"/>
    </font>
    <font>
      <b/>
      <sz val="12"/>
      <color indexed="10"/>
      <name val="Arial"/>
      <family val="2"/>
    </font>
    <font>
      <sz val="12"/>
      <name val="Tahoma"/>
      <family val="2"/>
    </font>
    <font>
      <b/>
      <sz val="12"/>
      <name val="Tahoma"/>
      <family val="2"/>
    </font>
    <font>
      <sz val="18"/>
      <color indexed="18"/>
      <name val="Tahoma"/>
      <family val="2"/>
    </font>
    <font>
      <b/>
      <sz val="24"/>
      <color indexed="18"/>
      <name val="Tahoma"/>
      <family val="2"/>
    </font>
    <font>
      <sz val="16"/>
      <color indexed="18"/>
      <name val="Tahoma"/>
      <family val="2"/>
    </font>
    <font>
      <sz val="16"/>
      <name val="Tahoma"/>
      <family val="2"/>
    </font>
  </fonts>
  <fills count="6">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s>
  <borders count="5">
    <border>
      <left/>
      <right/>
      <top/>
      <bottom/>
      <diagonal/>
    </border>
    <border>
      <left style="hair"/>
      <right style="hair"/>
      <top style="hair"/>
      <bottom style="hair"/>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4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5" fontId="0" fillId="0" borderId="0">
      <alignment/>
      <protection/>
    </xf>
    <xf numFmtId="165" fontId="6" fillId="0" borderId="0">
      <alignment/>
      <protection locked="0"/>
    </xf>
    <xf numFmtId="167" fontId="0" fillId="0" borderId="0">
      <alignment/>
      <protection/>
    </xf>
    <xf numFmtId="167" fontId="6" fillId="0" borderId="0">
      <alignment/>
      <protection locked="0"/>
    </xf>
    <xf numFmtId="38" fontId="0" fillId="0" borderId="0">
      <alignment/>
      <protection/>
    </xf>
    <xf numFmtId="38" fontId="6" fillId="0" borderId="0">
      <alignment/>
      <protection locked="0"/>
    </xf>
    <xf numFmtId="180" fontId="0" fillId="0" borderId="0">
      <alignment/>
      <protection/>
    </xf>
    <xf numFmtId="180" fontId="6" fillId="0" borderId="0">
      <alignment/>
      <protection locked="0"/>
    </xf>
    <xf numFmtId="40" fontId="0" fillId="0" borderId="0">
      <alignment/>
      <protection/>
    </xf>
    <xf numFmtId="40" fontId="6" fillId="0" borderId="0">
      <alignment/>
      <protection locked="0"/>
    </xf>
    <xf numFmtId="0" fontId="13" fillId="0" borderId="0" applyNumberFormat="0" applyFill="0" applyBorder="0" applyAlignment="0" applyProtection="0"/>
    <xf numFmtId="0" fontId="14" fillId="2" borderId="0" applyNumberFormat="0" applyBorder="0" applyAlignment="0" applyProtection="0"/>
    <xf numFmtId="175" fontId="0" fillId="0" borderId="0">
      <alignment vertical="top"/>
      <protection/>
    </xf>
    <xf numFmtId="38" fontId="3" fillId="2" borderId="1">
      <alignment/>
      <protection/>
    </xf>
    <xf numFmtId="38" fontId="15" fillId="0" borderId="1">
      <alignment/>
      <protection locked="0"/>
    </xf>
    <xf numFmtId="180" fontId="3" fillId="3" borderId="1">
      <alignment/>
      <protection/>
    </xf>
    <xf numFmtId="180" fontId="15" fillId="0" borderId="1">
      <alignment/>
      <protection locked="0"/>
    </xf>
    <xf numFmtId="40" fontId="3" fillId="3" borderId="1">
      <alignment/>
      <protection/>
    </xf>
    <xf numFmtId="40" fontId="15" fillId="0" borderId="1">
      <alignment/>
      <protection locked="0"/>
    </xf>
    <xf numFmtId="9" fontId="3" fillId="0" borderId="0" applyFont="0" applyFill="0" applyBorder="0" applyAlignment="0" applyProtection="0"/>
    <xf numFmtId="10" fontId="3" fillId="2" borderId="1">
      <alignment/>
      <protection/>
    </xf>
    <xf numFmtId="10" fontId="15" fillId="4" borderId="1">
      <alignment/>
      <protection locked="0"/>
    </xf>
    <xf numFmtId="0" fontId="3" fillId="5" borderId="0">
      <alignment/>
      <protection/>
    </xf>
    <xf numFmtId="181" fontId="3" fillId="0" borderId="0" applyFont="0" applyFill="0" applyBorder="0" applyAlignment="0" applyProtection="0"/>
    <xf numFmtId="183" fontId="3" fillId="0" borderId="0" applyFont="0" applyFill="0" applyBorder="0" applyAlignment="0" applyProtection="0"/>
  </cellStyleXfs>
  <cellXfs count="183">
    <xf numFmtId="164" fontId="0" fillId="0" borderId="0" xfId="0" applyAlignment="1">
      <alignment/>
    </xf>
    <xf numFmtId="164" fontId="1" fillId="0" borderId="0" xfId="0" applyFont="1" applyAlignment="1">
      <alignment/>
    </xf>
    <xf numFmtId="164" fontId="0" fillId="0" borderId="0" xfId="0" applyBorder="1" applyAlignment="1">
      <alignment/>
    </xf>
    <xf numFmtId="164" fontId="1" fillId="0" borderId="0" xfId="0" applyFont="1" applyBorder="1" applyAlignment="1">
      <alignment/>
    </xf>
    <xf numFmtId="164" fontId="0" fillId="0" borderId="2" xfId="0" applyBorder="1" applyAlignment="1">
      <alignment/>
    </xf>
    <xf numFmtId="164" fontId="1" fillId="0" borderId="0" xfId="0" applyFont="1" applyBorder="1" applyAlignment="1">
      <alignment/>
    </xf>
    <xf numFmtId="164" fontId="8" fillId="0" borderId="0" xfId="0" applyFont="1" applyBorder="1" applyAlignment="1">
      <alignment/>
    </xf>
    <xf numFmtId="164" fontId="1" fillId="0" borderId="0" xfId="0" applyNumberFormat="1" applyFont="1" applyFill="1" applyBorder="1" applyAlignment="1" applyProtection="1">
      <alignment/>
      <protection/>
    </xf>
    <xf numFmtId="173" fontId="1"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protection/>
    </xf>
    <xf numFmtId="164" fontId="1" fillId="0" borderId="2" xfId="0" applyFont="1" applyBorder="1" applyAlignment="1">
      <alignment/>
    </xf>
    <xf numFmtId="38" fontId="6" fillId="0" borderId="0" xfId="20">
      <alignment/>
      <protection locked="0"/>
    </xf>
    <xf numFmtId="40" fontId="6" fillId="0" borderId="0" xfId="24">
      <alignment/>
      <protection locked="0"/>
    </xf>
    <xf numFmtId="167" fontId="6" fillId="0" borderId="0" xfId="18">
      <alignment/>
      <protection locked="0"/>
    </xf>
    <xf numFmtId="180" fontId="6" fillId="0" borderId="0" xfId="22">
      <alignment/>
      <protection locked="0"/>
    </xf>
    <xf numFmtId="165" fontId="6" fillId="0" borderId="0" xfId="16">
      <alignment/>
      <protection locked="0"/>
    </xf>
    <xf numFmtId="165" fontId="7" fillId="0" borderId="0" xfId="16" applyFont="1">
      <alignment/>
      <protection locked="0"/>
    </xf>
    <xf numFmtId="164" fontId="0" fillId="0" borderId="0" xfId="0" applyFont="1" applyBorder="1" applyAlignment="1" applyProtection="1">
      <alignment/>
      <protection/>
    </xf>
    <xf numFmtId="164" fontId="0" fillId="0" borderId="0" xfId="0" applyFont="1" applyAlignment="1" applyProtection="1">
      <alignment/>
      <protection/>
    </xf>
    <xf numFmtId="164" fontId="0" fillId="0" borderId="0" xfId="0" applyFont="1" applyBorder="1" applyAlignment="1" applyProtection="1">
      <alignment horizontal="right"/>
      <protection/>
    </xf>
    <xf numFmtId="164" fontId="1" fillId="0" borderId="2" xfId="0" applyFont="1" applyBorder="1" applyAlignment="1" applyProtection="1">
      <alignment horizontal="right"/>
      <protection/>
    </xf>
    <xf numFmtId="166" fontId="0" fillId="0" borderId="0" xfId="0" applyNumberFormat="1" applyFont="1" applyBorder="1" applyAlignment="1" applyProtection="1">
      <alignment/>
      <protection/>
    </xf>
    <xf numFmtId="40" fontId="0" fillId="0" borderId="0" xfId="23" applyProtection="1">
      <alignment/>
      <protection/>
    </xf>
    <xf numFmtId="38" fontId="0" fillId="0" borderId="0" xfId="19" applyProtection="1">
      <alignment/>
      <protection/>
    </xf>
    <xf numFmtId="164" fontId="0" fillId="0" borderId="2" xfId="0" applyFont="1" applyBorder="1" applyAlignment="1" applyProtection="1">
      <alignment/>
      <protection/>
    </xf>
    <xf numFmtId="164" fontId="1" fillId="0" borderId="0" xfId="0" applyFont="1" applyBorder="1" applyAlignment="1" applyProtection="1">
      <alignment/>
      <protection/>
    </xf>
    <xf numFmtId="167" fontId="1" fillId="0" borderId="0" xfId="17" applyFont="1" applyProtection="1">
      <alignment/>
      <protection/>
    </xf>
    <xf numFmtId="165" fontId="1" fillId="0" borderId="0" xfId="15" applyFont="1" applyProtection="1">
      <alignment/>
      <protection/>
    </xf>
    <xf numFmtId="175" fontId="1" fillId="0" borderId="0" xfId="0" applyNumberFormat="1" applyFont="1" applyBorder="1" applyAlignment="1" applyProtection="1">
      <alignment/>
      <protection/>
    </xf>
    <xf numFmtId="173" fontId="0" fillId="0" borderId="0" xfId="0" applyNumberFormat="1" applyFont="1" applyBorder="1" applyAlignment="1" applyProtection="1">
      <alignment/>
      <protection/>
    </xf>
    <xf numFmtId="175" fontId="0" fillId="0" borderId="0" xfId="0" applyNumberFormat="1" applyFont="1" applyBorder="1" applyAlignment="1" applyProtection="1">
      <alignment/>
      <protection/>
    </xf>
    <xf numFmtId="164" fontId="0" fillId="0" borderId="3" xfId="0" applyFont="1" applyBorder="1" applyAlignment="1" applyProtection="1">
      <alignment/>
      <protection/>
    </xf>
    <xf numFmtId="167" fontId="0" fillId="0" borderId="0" xfId="17" applyProtection="1">
      <alignment/>
      <protection/>
    </xf>
    <xf numFmtId="164" fontId="0" fillId="0" borderId="4" xfId="0" applyFont="1" applyBorder="1" applyAlignment="1" applyProtection="1">
      <alignment/>
      <protection/>
    </xf>
    <xf numFmtId="164" fontId="1" fillId="0" borderId="0" xfId="0" applyFont="1" applyAlignment="1" applyProtection="1">
      <alignment/>
      <protection/>
    </xf>
    <xf numFmtId="175" fontId="0" fillId="0" borderId="0" xfId="0" applyNumberFormat="1" applyFont="1" applyAlignment="1" applyProtection="1">
      <alignment/>
      <protection/>
    </xf>
    <xf numFmtId="164" fontId="9" fillId="0" borderId="0" xfId="0" applyFont="1" applyBorder="1" applyAlignment="1" applyProtection="1">
      <alignment/>
      <protection/>
    </xf>
    <xf numFmtId="164" fontId="0" fillId="0" borderId="0" xfId="0" applyAlignment="1" applyProtection="1">
      <alignment/>
      <protection/>
    </xf>
    <xf numFmtId="176" fontId="0" fillId="0" borderId="0" xfId="0" applyNumberFormat="1" applyFont="1" applyBorder="1" applyAlignment="1" applyProtection="1" quotePrefix="1">
      <alignment/>
      <protection/>
    </xf>
    <xf numFmtId="1" fontId="0" fillId="0" borderId="0" xfId="0" applyNumberFormat="1" applyFont="1" applyBorder="1" applyAlignment="1" applyProtection="1" quotePrefix="1">
      <alignment/>
      <protection/>
    </xf>
    <xf numFmtId="1" fontId="0" fillId="0" borderId="0" xfId="0" applyNumberFormat="1" applyFont="1" applyBorder="1" applyAlignment="1" applyProtection="1">
      <alignment/>
      <protection/>
    </xf>
    <xf numFmtId="164" fontId="0" fillId="0" borderId="0" xfId="0" applyFont="1" applyBorder="1" applyAlignment="1" applyProtection="1" quotePrefix="1">
      <alignment/>
      <protection/>
    </xf>
    <xf numFmtId="3" fontId="0" fillId="0" borderId="0" xfId="0" applyNumberFormat="1" applyFont="1" applyBorder="1" applyAlignment="1" applyProtection="1">
      <alignment/>
      <protection/>
    </xf>
    <xf numFmtId="0" fontId="1" fillId="0" borderId="0" xfId="0" applyFont="1" applyBorder="1" applyAlignment="1" applyProtection="1">
      <alignment/>
      <protection/>
    </xf>
    <xf numFmtId="164" fontId="5" fillId="0" borderId="0" xfId="0" applyFont="1" applyBorder="1" applyAlignment="1" applyProtection="1">
      <alignment/>
      <protection/>
    </xf>
    <xf numFmtId="0" fontId="0" fillId="0" borderId="0" xfId="0" applyFont="1" applyBorder="1" applyAlignment="1" applyProtection="1">
      <alignment/>
      <protection/>
    </xf>
    <xf numFmtId="0" fontId="0" fillId="0" borderId="4" xfId="0" applyFont="1" applyBorder="1" applyAlignment="1" applyProtection="1">
      <alignment/>
      <protection/>
    </xf>
    <xf numFmtId="0" fontId="9" fillId="0" borderId="0" xfId="0" applyFont="1" applyBorder="1" applyAlignment="1" applyProtection="1">
      <alignment/>
      <protection/>
    </xf>
    <xf numFmtId="0" fontId="8" fillId="0" borderId="0" xfId="0" applyFont="1" applyBorder="1" applyAlignment="1" applyProtection="1">
      <alignment/>
      <protection/>
    </xf>
    <xf numFmtId="0" fontId="1" fillId="0" borderId="4" xfId="0" applyFont="1" applyBorder="1" applyAlignment="1" applyProtection="1">
      <alignment/>
      <protection/>
    </xf>
    <xf numFmtId="164" fontId="8" fillId="0" borderId="0" xfId="0" applyFont="1" applyAlignment="1" applyProtection="1">
      <alignment/>
      <protection/>
    </xf>
    <xf numFmtId="164" fontId="8" fillId="0" borderId="0" xfId="0" applyFont="1" applyBorder="1" applyAlignment="1" applyProtection="1">
      <alignment/>
      <protection/>
    </xf>
    <xf numFmtId="173" fontId="8" fillId="0" borderId="0" xfId="0" applyNumberFormat="1" applyFont="1" applyBorder="1" applyAlignment="1" applyProtection="1">
      <alignment/>
      <protection/>
    </xf>
    <xf numFmtId="164" fontId="12" fillId="0" borderId="0" xfId="0" applyFont="1" applyBorder="1" applyAlignment="1" applyProtection="1">
      <alignment horizontal="center"/>
      <protection/>
    </xf>
    <xf numFmtId="164" fontId="11" fillId="0" borderId="0" xfId="0" applyFont="1" applyBorder="1" applyAlignment="1" applyProtection="1">
      <alignment horizontal="center"/>
      <protection/>
    </xf>
    <xf numFmtId="164" fontId="1" fillId="0" borderId="0" xfId="0" applyFont="1" applyBorder="1" applyAlignment="1" applyProtection="1" quotePrefix="1">
      <alignment horizontal="right"/>
      <protection/>
    </xf>
    <xf numFmtId="164" fontId="11" fillId="0" borderId="0" xfId="0" applyFont="1" applyBorder="1" applyAlignment="1" applyProtection="1">
      <alignment/>
      <protection/>
    </xf>
    <xf numFmtId="0" fontId="0" fillId="0" borderId="0" xfId="0" applyAlignment="1" applyProtection="1">
      <alignment/>
      <protection/>
    </xf>
    <xf numFmtId="164" fontId="5" fillId="0" borderId="0" xfId="0" applyFont="1" applyAlignment="1" applyProtection="1">
      <alignment horizontal="right"/>
      <protection/>
    </xf>
    <xf numFmtId="166" fontId="0" fillId="0" borderId="0" xfId="0" applyNumberFormat="1" applyAlignment="1" applyProtection="1">
      <alignment/>
      <protection/>
    </xf>
    <xf numFmtId="164" fontId="1" fillId="0" borderId="0" xfId="0" applyFont="1" applyAlignment="1" applyProtection="1">
      <alignment horizontal="right"/>
      <protection/>
    </xf>
    <xf numFmtId="164" fontId="0" fillId="0" borderId="0" xfId="0" applyAlignment="1" applyProtection="1">
      <alignment horizontal="center"/>
      <protection/>
    </xf>
    <xf numFmtId="175" fontId="0" fillId="0" borderId="0" xfId="0" applyNumberFormat="1" applyAlignment="1" applyProtection="1">
      <alignment/>
      <protection/>
    </xf>
    <xf numFmtId="166" fontId="5" fillId="0" borderId="0" xfId="0" applyNumberFormat="1" applyFont="1" applyAlignment="1" applyProtection="1">
      <alignment horizontal="right"/>
      <protection/>
    </xf>
    <xf numFmtId="3" fontId="0" fillId="0" borderId="0" xfId="0" applyNumberFormat="1" applyAlignment="1" applyProtection="1">
      <alignment/>
      <protection/>
    </xf>
    <xf numFmtId="4" fontId="0" fillId="0" borderId="0" xfId="0" applyNumberFormat="1" applyFont="1" applyAlignment="1" applyProtection="1">
      <alignment/>
      <protection/>
    </xf>
    <xf numFmtId="1" fontId="0" fillId="0" borderId="0" xfId="0" applyNumberFormat="1" applyFont="1" applyAlignment="1" applyProtection="1">
      <alignment/>
      <protection/>
    </xf>
    <xf numFmtId="166" fontId="0" fillId="0" borderId="0" xfId="0" applyNumberFormat="1" applyFont="1" applyAlignment="1" applyProtection="1">
      <alignment/>
      <protection/>
    </xf>
    <xf numFmtId="3" fontId="0" fillId="0" borderId="0" xfId="0" applyNumberFormat="1" applyFont="1" applyAlignment="1" applyProtection="1">
      <alignment/>
      <protection/>
    </xf>
    <xf numFmtId="1" fontId="6" fillId="0" borderId="0" xfId="0" applyNumberFormat="1" applyFont="1" applyAlignment="1" applyProtection="1">
      <alignment/>
      <protection/>
    </xf>
    <xf numFmtId="3" fontId="5" fillId="0" borderId="0" xfId="0" applyNumberFormat="1" applyFont="1" applyAlignment="1" applyProtection="1">
      <alignment horizontal="right"/>
      <protection/>
    </xf>
    <xf numFmtId="166" fontId="1" fillId="0" borderId="0" xfId="0" applyNumberFormat="1" applyFont="1" applyAlignment="1" applyProtection="1">
      <alignment horizontal="right"/>
      <protection/>
    </xf>
    <xf numFmtId="3" fontId="1" fillId="0" borderId="0" xfId="0" applyNumberFormat="1" applyFont="1" applyAlignment="1" applyProtection="1">
      <alignment horizontal="right"/>
      <protection/>
    </xf>
    <xf numFmtId="172" fontId="0" fillId="0" borderId="0" xfId="0" applyNumberFormat="1" applyAlignment="1" applyProtection="1">
      <alignment/>
      <protection/>
    </xf>
    <xf numFmtId="172" fontId="0" fillId="0" borderId="0" xfId="0" applyNumberFormat="1" applyFont="1" applyAlignment="1" applyProtection="1">
      <alignment/>
      <protection/>
    </xf>
    <xf numFmtId="164" fontId="0" fillId="0" borderId="0" xfId="0" applyAlignment="1" applyProtection="1">
      <alignment horizontal="left"/>
      <protection/>
    </xf>
    <xf numFmtId="164" fontId="5" fillId="0" borderId="0" xfId="0" applyFont="1" applyAlignment="1" applyProtection="1" quotePrefix="1">
      <alignment horizontal="right"/>
      <protection/>
    </xf>
    <xf numFmtId="164" fontId="0" fillId="0" borderId="0" xfId="0" applyAlignment="1" applyProtection="1">
      <alignment horizontal="right"/>
      <protection/>
    </xf>
    <xf numFmtId="164" fontId="17" fillId="0" borderId="0" xfId="0" applyFont="1" applyBorder="1" applyAlignment="1" applyProtection="1" quotePrefix="1">
      <alignment horizontal="left"/>
      <protection/>
    </xf>
    <xf numFmtId="38" fontId="0" fillId="0" borderId="0" xfId="19">
      <alignment/>
      <protection/>
    </xf>
    <xf numFmtId="0" fontId="1" fillId="0" borderId="0" xfId="0" applyFont="1" applyBorder="1" applyAlignment="1" applyProtection="1" quotePrefix="1">
      <alignment/>
      <protection/>
    </xf>
    <xf numFmtId="175" fontId="1" fillId="0" borderId="0" xfId="17" applyNumberFormat="1" applyFont="1" applyProtection="1">
      <alignment/>
      <protection/>
    </xf>
    <xf numFmtId="173" fontId="1" fillId="0" borderId="0" xfId="15" applyNumberFormat="1" applyFont="1" applyProtection="1">
      <alignment/>
      <protection/>
    </xf>
    <xf numFmtId="175" fontId="0" fillId="0" borderId="0" xfId="17" applyNumberFormat="1" applyProtection="1">
      <alignment/>
      <protection/>
    </xf>
    <xf numFmtId="175" fontId="8" fillId="0" borderId="0" xfId="17" applyNumberFormat="1" applyFont="1" applyProtection="1">
      <alignment/>
      <protection/>
    </xf>
    <xf numFmtId="175" fontId="0" fillId="0" borderId="0" xfId="17" applyNumberFormat="1" applyFont="1" applyProtection="1">
      <alignment/>
      <protection/>
    </xf>
    <xf numFmtId="173" fontId="0" fillId="0" borderId="0" xfId="15" applyNumberFormat="1" applyProtection="1">
      <alignment/>
      <protection/>
    </xf>
    <xf numFmtId="173" fontId="8" fillId="0" borderId="0" xfId="15" applyNumberFormat="1" applyFont="1" applyProtection="1">
      <alignment/>
      <protection/>
    </xf>
    <xf numFmtId="175" fontId="0" fillId="0" borderId="0" xfId="17" applyNumberFormat="1">
      <alignment/>
      <protection/>
    </xf>
    <xf numFmtId="175" fontId="1" fillId="0" borderId="0" xfId="17" applyNumberFormat="1" applyFont="1">
      <alignment/>
      <protection/>
    </xf>
    <xf numFmtId="4" fontId="0" fillId="0" borderId="0" xfId="0" applyFont="1" applyBorder="1" applyAlignment="1" applyProtection="1">
      <alignment/>
      <protection/>
    </xf>
    <xf numFmtId="164" fontId="1" fillId="0" borderId="0" xfId="0" applyFont="1" applyBorder="1" applyAlignment="1" applyProtection="1" quotePrefix="1">
      <alignment/>
      <protection/>
    </xf>
    <xf numFmtId="166" fontId="5" fillId="0" borderId="0" xfId="0" applyNumberFormat="1" applyFont="1" applyBorder="1" applyAlignment="1" applyProtection="1">
      <alignment horizontal="right"/>
      <protection/>
    </xf>
    <xf numFmtId="164" fontId="5" fillId="0" borderId="0" xfId="0" applyFont="1" applyBorder="1" applyAlignment="1" applyProtection="1">
      <alignment horizontal="right"/>
      <protection/>
    </xf>
    <xf numFmtId="164" fontId="5" fillId="0" borderId="0" xfId="0" applyNumberFormat="1" applyFont="1" applyFill="1" applyBorder="1" applyAlignment="1" applyProtection="1">
      <alignment horizontal="right"/>
      <protection/>
    </xf>
    <xf numFmtId="175" fontId="5" fillId="0" borderId="0" xfId="17" applyNumberFormat="1" applyFont="1" applyBorder="1" applyProtection="1">
      <alignment/>
      <protection/>
    </xf>
    <xf numFmtId="173" fontId="5" fillId="0" borderId="0" xfId="15" applyNumberFormat="1" applyFont="1" applyBorder="1" applyProtection="1">
      <alignment/>
      <protection/>
    </xf>
    <xf numFmtId="173" fontId="0" fillId="0" borderId="0" xfId="17" applyNumberFormat="1" applyProtection="1">
      <alignment/>
      <protection/>
    </xf>
    <xf numFmtId="5" fontId="0" fillId="0" borderId="0" xfId="0" applyFont="1" applyBorder="1" applyAlignment="1">
      <alignment/>
    </xf>
    <xf numFmtId="5" fontId="0" fillId="0" borderId="0" xfId="0" applyFont="1" applyBorder="1" applyAlignment="1">
      <alignment horizontal="left"/>
    </xf>
    <xf numFmtId="5" fontId="8" fillId="0" borderId="0" xfId="0" applyFont="1" applyBorder="1" applyAlignment="1">
      <alignment horizontal="left"/>
    </xf>
    <xf numFmtId="5" fontId="1" fillId="0" borderId="0" xfId="0" applyFont="1" applyBorder="1" applyAlignment="1">
      <alignment horizontal="left"/>
    </xf>
    <xf numFmtId="175" fontId="0" fillId="0" borderId="0" xfId="17" applyNumberFormat="1" applyFont="1">
      <alignment/>
      <protection/>
    </xf>
    <xf numFmtId="164" fontId="0" fillId="0" borderId="0" xfId="0" applyFont="1" applyBorder="1" applyAlignment="1">
      <alignment horizontal="center"/>
    </xf>
    <xf numFmtId="164" fontId="8" fillId="0" borderId="0" xfId="0" applyFont="1" applyBorder="1" applyAlignment="1">
      <alignment horizontal="center"/>
    </xf>
    <xf numFmtId="164" fontId="1" fillId="0" borderId="0" xfId="0" applyFont="1" applyBorder="1" applyAlignment="1">
      <alignment horizontal="center"/>
    </xf>
    <xf numFmtId="164" fontId="0" fillId="0" borderId="4" xfId="0" applyBorder="1" applyAlignment="1">
      <alignment/>
    </xf>
    <xf numFmtId="40" fontId="6" fillId="0" borderId="0" xfId="22" applyNumberFormat="1">
      <alignment/>
      <protection locked="0"/>
    </xf>
    <xf numFmtId="165" fontId="6" fillId="0" borderId="0" xfId="18" applyNumberFormat="1">
      <alignment/>
      <protection locked="0"/>
    </xf>
    <xf numFmtId="38" fontId="6" fillId="0" borderId="0" xfId="18" applyNumberFormat="1">
      <alignment/>
      <protection locked="0"/>
    </xf>
    <xf numFmtId="175" fontId="0" fillId="0" borderId="0" xfId="23" applyNumberFormat="1" applyProtection="1">
      <alignment/>
      <protection/>
    </xf>
    <xf numFmtId="175" fontId="8" fillId="0" borderId="0" xfId="23" applyNumberFormat="1" applyFont="1" applyBorder="1" applyProtection="1">
      <alignment/>
      <protection/>
    </xf>
    <xf numFmtId="175" fontId="0" fillId="0" borderId="0" xfId="23" applyNumberFormat="1">
      <alignment/>
      <protection/>
    </xf>
    <xf numFmtId="173" fontId="0" fillId="0" borderId="0" xfId="19" applyNumberFormat="1" applyProtection="1">
      <alignment/>
      <protection/>
    </xf>
    <xf numFmtId="173" fontId="8" fillId="0" borderId="0" xfId="19" applyNumberFormat="1" applyFont="1" applyBorder="1" applyProtection="1">
      <alignment/>
      <protection/>
    </xf>
    <xf numFmtId="173" fontId="0" fillId="0" borderId="0" xfId="19" applyNumberFormat="1">
      <alignment/>
      <protection/>
    </xf>
    <xf numFmtId="4" fontId="0" fillId="0" borderId="0" xfId="19" applyNumberFormat="1" applyProtection="1">
      <alignment/>
      <protection/>
    </xf>
    <xf numFmtId="4" fontId="0" fillId="0" borderId="0" xfId="21" applyNumberFormat="1" applyProtection="1">
      <alignment/>
      <protection/>
    </xf>
    <xf numFmtId="4" fontId="0" fillId="4" borderId="0" xfId="23" applyNumberFormat="1" applyFill="1" applyProtection="1">
      <alignment/>
      <protection/>
    </xf>
    <xf numFmtId="4" fontId="0" fillId="0" borderId="0" xfId="23" applyNumberFormat="1" applyProtection="1">
      <alignment/>
      <protection/>
    </xf>
    <xf numFmtId="4" fontId="8" fillId="0" borderId="0" xfId="19" applyNumberFormat="1" applyFont="1" applyProtection="1">
      <alignment/>
      <protection/>
    </xf>
    <xf numFmtId="4" fontId="0" fillId="0" borderId="0" xfId="0" applyNumberFormat="1" applyFont="1" applyBorder="1" applyAlignment="1" applyProtection="1">
      <alignment/>
      <protection/>
    </xf>
    <xf numFmtId="4" fontId="8" fillId="0" borderId="0" xfId="23" applyNumberFormat="1" applyFont="1">
      <alignment/>
      <protection/>
    </xf>
    <xf numFmtId="4" fontId="0" fillId="0" borderId="0" xfId="23" applyNumberFormat="1">
      <alignment/>
      <protection/>
    </xf>
    <xf numFmtId="4" fontId="0" fillId="0" borderId="0" xfId="0" applyNumberFormat="1" applyBorder="1" applyAlignment="1">
      <alignment/>
    </xf>
    <xf numFmtId="4" fontId="1" fillId="0" borderId="0" xfId="0" applyNumberFormat="1" applyFont="1" applyBorder="1" applyAlignment="1">
      <alignment/>
    </xf>
    <xf numFmtId="4" fontId="0" fillId="0" borderId="0" xfId="0" applyNumberFormat="1" applyFont="1" applyBorder="1" applyAlignment="1">
      <alignment horizontal="center"/>
    </xf>
    <xf numFmtId="4" fontId="8" fillId="0" borderId="0" xfId="0" applyNumberFormat="1" applyFont="1" applyBorder="1" applyAlignment="1">
      <alignment horizontal="center"/>
    </xf>
    <xf numFmtId="4" fontId="0" fillId="0" borderId="0" xfId="0" applyNumberFormat="1" applyAlignment="1">
      <alignment/>
    </xf>
    <xf numFmtId="4" fontId="8" fillId="0" borderId="0" xfId="19" applyNumberFormat="1" applyFont="1">
      <alignment/>
      <protection/>
    </xf>
    <xf numFmtId="4" fontId="0" fillId="0" borderId="0" xfId="19" applyNumberFormat="1" applyFont="1">
      <alignment/>
      <protection/>
    </xf>
    <xf numFmtId="4" fontId="8" fillId="0" borderId="0" xfId="17" applyNumberFormat="1" applyFont="1">
      <alignment/>
      <protection/>
    </xf>
    <xf numFmtId="4" fontId="1" fillId="0" borderId="0" xfId="0" applyNumberFormat="1" applyFont="1" applyBorder="1" applyAlignment="1" applyProtection="1">
      <alignment/>
      <protection/>
    </xf>
    <xf numFmtId="164" fontId="0" fillId="0" borderId="0" xfId="0" applyFont="1" applyFill="1" applyBorder="1" applyAlignment="1" applyProtection="1">
      <alignment/>
      <protection/>
    </xf>
    <xf numFmtId="164" fontId="8" fillId="0" borderId="0" xfId="0" applyFont="1" applyBorder="1" applyAlignment="1">
      <alignment/>
    </xf>
    <xf numFmtId="4" fontId="8" fillId="0" borderId="0" xfId="0" applyNumberFormat="1" applyFont="1" applyBorder="1" applyAlignment="1">
      <alignment/>
    </xf>
    <xf numFmtId="164" fontId="22" fillId="0" borderId="0" xfId="0" applyFont="1" applyAlignment="1" applyProtection="1">
      <alignment/>
      <protection/>
    </xf>
    <xf numFmtId="175" fontId="20" fillId="0" borderId="0" xfId="27" applyFont="1" applyAlignment="1">
      <alignment vertical="top"/>
      <protection/>
    </xf>
    <xf numFmtId="164" fontId="0" fillId="0" borderId="0" xfId="0" applyAlignment="1">
      <alignment vertical="top"/>
    </xf>
    <xf numFmtId="38" fontId="1" fillId="0" borderId="0" xfId="20" applyFont="1" applyProtection="1">
      <alignment/>
      <protection/>
    </xf>
    <xf numFmtId="164" fontId="23" fillId="0" borderId="0" xfId="0" applyFont="1" applyAlignment="1">
      <alignment vertical="top" wrapText="1"/>
    </xf>
    <xf numFmtId="3" fontId="8" fillId="0" borderId="0" xfId="19" applyNumberFormat="1" applyFont="1" applyProtection="1">
      <alignment/>
      <protection/>
    </xf>
    <xf numFmtId="3" fontId="8" fillId="0" borderId="0" xfId="0" applyNumberFormat="1" applyFont="1" applyBorder="1" applyAlignment="1" applyProtection="1">
      <alignment/>
      <protection/>
    </xf>
    <xf numFmtId="164" fontId="24" fillId="0" borderId="0" xfId="0" applyFont="1" applyAlignment="1">
      <alignment horizontal="right"/>
    </xf>
    <xf numFmtId="3" fontId="0" fillId="0" borderId="0" xfId="19" applyNumberFormat="1" applyFont="1" applyProtection="1">
      <alignment/>
      <protection/>
    </xf>
    <xf numFmtId="164" fontId="20" fillId="0" borderId="0" xfId="0" applyFont="1" applyAlignment="1" applyProtection="1">
      <alignment/>
      <protection/>
    </xf>
    <xf numFmtId="5" fontId="24" fillId="0" borderId="0" xfId="0" applyFont="1" applyAlignment="1">
      <alignment vertical="top" wrapText="1"/>
    </xf>
    <xf numFmtId="5" fontId="23" fillId="0" borderId="0" xfId="0" applyFont="1" applyAlignment="1">
      <alignment vertical="top" wrapText="1"/>
    </xf>
    <xf numFmtId="164" fontId="25" fillId="0" borderId="0" xfId="0" applyFont="1" applyAlignment="1">
      <alignment horizontal="left" vertical="top" wrapText="1"/>
    </xf>
    <xf numFmtId="164" fontId="23" fillId="0" borderId="0" xfId="0" applyFont="1" applyAlignment="1">
      <alignment horizontal="left" vertical="top" wrapText="1"/>
    </xf>
    <xf numFmtId="164" fontId="26" fillId="0" borderId="0" xfId="0" applyFont="1" applyAlignment="1">
      <alignment horizontal="left" vertical="top" wrapText="1"/>
    </xf>
    <xf numFmtId="3" fontId="25" fillId="0" borderId="0" xfId="0" applyNumberFormat="1" applyFont="1" applyAlignment="1">
      <alignment horizontal="left" vertical="top" wrapText="1"/>
    </xf>
    <xf numFmtId="3" fontId="27" fillId="0" borderId="0" xfId="0" applyNumberFormat="1" applyFont="1" applyAlignment="1">
      <alignment horizontal="left" vertical="top" wrapText="1"/>
    </xf>
    <xf numFmtId="164" fontId="28" fillId="0" borderId="0" xfId="0" applyFont="1" applyAlignment="1">
      <alignment horizontal="left" vertical="top" wrapText="1"/>
    </xf>
    <xf numFmtId="164" fontId="23" fillId="0" borderId="0" xfId="0" applyFont="1" applyAlignment="1">
      <alignment vertical="top" wrapText="1"/>
    </xf>
    <xf numFmtId="164" fontId="0" fillId="0" borderId="0" xfId="0" applyAlignment="1">
      <alignment vertical="top" wrapText="1"/>
    </xf>
    <xf numFmtId="3" fontId="5" fillId="0" borderId="0" xfId="0" applyFont="1" applyAlignment="1" applyProtection="1">
      <alignment horizontal="center"/>
      <protection/>
    </xf>
    <xf numFmtId="3" fontId="8" fillId="0" borderId="0" xfId="0" applyFont="1" applyAlignment="1" applyProtection="1">
      <alignment horizontal="center"/>
      <protection/>
    </xf>
    <xf numFmtId="164" fontId="4" fillId="0" borderId="0" xfId="0" applyFont="1" applyAlignment="1" applyProtection="1">
      <alignment horizontal="center"/>
      <protection/>
    </xf>
    <xf numFmtId="164" fontId="1" fillId="0" borderId="0" xfId="0" applyFont="1" applyAlignment="1" applyProtection="1">
      <alignment horizontal="left"/>
      <protection/>
    </xf>
    <xf numFmtId="164" fontId="5" fillId="0" borderId="0" xfId="0" applyFont="1" applyAlignment="1" applyProtection="1">
      <alignment horizontal="left"/>
      <protection/>
    </xf>
    <xf numFmtId="164" fontId="2" fillId="0" borderId="0" xfId="0" applyFont="1" applyAlignment="1" applyProtection="1">
      <alignment horizontal="center"/>
      <protection/>
    </xf>
    <xf numFmtId="164" fontId="9" fillId="0" borderId="0" xfId="0" applyFont="1" applyAlignment="1">
      <alignment horizontal="center"/>
    </xf>
    <xf numFmtId="164" fontId="4" fillId="0" borderId="0" xfId="0" applyNumberFormat="1" applyFont="1" applyFill="1" applyBorder="1" applyAlignment="1" applyProtection="1">
      <alignment horizontal="center"/>
      <protection/>
    </xf>
    <xf numFmtId="164" fontId="16" fillId="0" borderId="0" xfId="0" applyFont="1" applyAlignment="1" applyProtection="1">
      <alignment horizontal="center"/>
      <protection/>
    </xf>
    <xf numFmtId="164" fontId="19" fillId="0" borderId="0" xfId="0" applyFont="1" applyAlignment="1" applyProtection="1">
      <alignment horizontal="left" vertical="top" wrapText="1"/>
      <protection/>
    </xf>
    <xf numFmtId="164" fontId="0" fillId="0" borderId="0" xfId="0" applyFont="1" applyAlignment="1" applyProtection="1">
      <alignment horizontal="left" vertical="top" wrapText="1"/>
      <protection/>
    </xf>
    <xf numFmtId="164" fontId="4" fillId="0" borderId="0" xfId="0" applyFont="1" applyBorder="1" applyAlignment="1" applyProtection="1">
      <alignment horizontal="center" wrapText="1"/>
      <protection/>
    </xf>
    <xf numFmtId="164" fontId="0" fillId="0" borderId="0" xfId="0" applyFont="1" applyAlignment="1">
      <alignment wrapText="1"/>
    </xf>
    <xf numFmtId="164" fontId="5" fillId="0" borderId="0" xfId="0" applyFont="1" applyBorder="1" applyAlignment="1" applyProtection="1">
      <alignment horizontal="left"/>
      <protection/>
    </xf>
    <xf numFmtId="164" fontId="0" fillId="0" borderId="0" xfId="0" applyAlignment="1" applyProtection="1">
      <alignment horizontal="left"/>
      <protection/>
    </xf>
    <xf numFmtId="164" fontId="0" fillId="0" borderId="0" xfId="0" applyAlignment="1">
      <alignment/>
    </xf>
    <xf numFmtId="0" fontId="4" fillId="0" borderId="0" xfId="0" applyFont="1" applyBorder="1" applyAlignment="1" applyProtection="1">
      <alignment horizontal="center" vertical="center"/>
      <protection/>
    </xf>
    <xf numFmtId="164" fontId="9" fillId="0" borderId="0" xfId="0" applyFont="1" applyAlignment="1" applyProtection="1">
      <alignment vertical="center"/>
      <protection/>
    </xf>
    <xf numFmtId="4" fontId="9" fillId="0" borderId="0" xfId="0" applyNumberFormat="1" applyFont="1" applyAlignment="1" applyProtection="1">
      <alignment vertical="center"/>
      <protection/>
    </xf>
    <xf numFmtId="164" fontId="1" fillId="0" borderId="0" xfId="0" applyFont="1" applyBorder="1" applyAlignment="1" applyProtection="1">
      <alignment horizontal="center"/>
      <protection/>
    </xf>
    <xf numFmtId="164" fontId="0" fillId="0" borderId="0" xfId="0" applyAlignment="1" applyProtection="1">
      <alignment/>
      <protection/>
    </xf>
    <xf numFmtId="164" fontId="2" fillId="0" borderId="0" xfId="0" applyFont="1" applyBorder="1" applyAlignment="1" applyProtection="1">
      <alignment horizontal="center"/>
      <protection/>
    </xf>
    <xf numFmtId="164" fontId="4" fillId="0" borderId="0" xfId="0" applyFont="1" applyAlignment="1">
      <alignment horizontal="center" wrapText="1"/>
    </xf>
    <xf numFmtId="164" fontId="0" fillId="0" borderId="0" xfId="0" applyAlignment="1">
      <alignment wrapText="1"/>
    </xf>
    <xf numFmtId="164" fontId="4" fillId="0" borderId="0" xfId="0" applyFont="1" applyAlignment="1">
      <alignment horizontal="center"/>
    </xf>
    <xf numFmtId="164" fontId="0" fillId="0" borderId="0" xfId="0" applyFont="1" applyAlignment="1">
      <alignment horizontal="center"/>
    </xf>
  </cellXfs>
  <cellStyles count="26">
    <cellStyle name="Normal" xfId="0"/>
    <cellStyle name="Curr ($1,234) L Black" xfId="15"/>
    <cellStyle name="Curr ($1,234) U Blue" xfId="16"/>
    <cellStyle name="Curr ($1,234.00) L Black" xfId="17"/>
    <cellStyle name="Curr ($1,234.00) U Blue" xfId="18"/>
    <cellStyle name="Curr (1,234) L Black" xfId="19"/>
    <cellStyle name="Curr (1,234) U Blue" xfId="20"/>
    <cellStyle name="Curr (1,234.0) L Black" xfId="21"/>
    <cellStyle name="Curr (1,234.0) U Blue" xfId="22"/>
    <cellStyle name="Curr (1,234.00) L Black" xfId="23"/>
    <cellStyle name="Curr (1,234.00) U Blue" xfId="24"/>
    <cellStyle name="Followed Hyperlink" xfId="25"/>
    <cellStyle name="Hyperlink" xfId="26"/>
    <cellStyle name="Normal_Farrow-Wean 500" xfId="27"/>
    <cellStyle name="Num (1,234) L Black" xfId="28"/>
    <cellStyle name="Num (1,234) U Blue" xfId="29"/>
    <cellStyle name="Num (1,234.0) L Black" xfId="30"/>
    <cellStyle name="Num (1,234.0) U Blue" xfId="31"/>
    <cellStyle name="Num (1,234.10) L Black" xfId="32"/>
    <cellStyle name="Num (1,234.10) U Blue" xfId="33"/>
    <cellStyle name="Percent" xfId="34"/>
    <cellStyle name="Percent 00.00% L Black" xfId="35"/>
    <cellStyle name="Percent 00.00% U Blue" xfId="36"/>
    <cellStyle name="Standard_Anpassen der Amortisation" xfId="37"/>
    <cellStyle name="Währung [0]_Compiling Utility Macros" xfId="38"/>
    <cellStyle name="Währung_Compiling Utility Macros"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7</xdr:col>
      <xdr:colOff>638175</xdr:colOff>
      <xdr:row>41</xdr:row>
      <xdr:rowOff>66675</xdr:rowOff>
    </xdr:to>
    <xdr:pic>
      <xdr:nvPicPr>
        <xdr:cNvPr id="1" name="Picture 2"/>
        <xdr:cNvPicPr preferRelativeResize="1">
          <a:picLocks noChangeAspect="1"/>
        </xdr:cNvPicPr>
      </xdr:nvPicPr>
      <xdr:blipFill>
        <a:blip r:embed="rId1"/>
        <a:stretch>
          <a:fillRect/>
        </a:stretch>
      </xdr:blipFill>
      <xdr:spPr>
        <a:xfrm>
          <a:off x="0" y="609600"/>
          <a:ext cx="5972175" cy="7305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1:J33"/>
  <sheetViews>
    <sheetView showGridLines="0" tabSelected="1" workbookViewId="0" topLeftCell="A1">
      <selection activeCell="A1" sqref="A1"/>
    </sheetView>
  </sheetViews>
  <sheetFormatPr defaultColWidth="8.88671875" defaultRowHeight="15"/>
  <cols>
    <col min="1" max="1" width="5.88671875" style="0" customWidth="1"/>
  </cols>
  <sheetData>
    <row r="1" spans="3:10" ht="24" customHeight="1">
      <c r="C1" s="149" t="s">
        <v>261</v>
      </c>
      <c r="D1" s="150"/>
      <c r="E1" s="150"/>
      <c r="F1" s="150"/>
      <c r="G1" s="150"/>
      <c r="H1" s="150"/>
      <c r="I1" s="150"/>
      <c r="J1" s="150"/>
    </row>
    <row r="2" spans="3:10" ht="28.5" customHeight="1">
      <c r="C2" s="151" t="s">
        <v>133</v>
      </c>
      <c r="D2" s="150"/>
      <c r="E2" s="150"/>
      <c r="F2" s="150"/>
      <c r="G2" s="150"/>
      <c r="H2" s="150"/>
      <c r="I2" s="150"/>
      <c r="J2" s="150"/>
    </row>
    <row r="3" spans="3:10" ht="22.5" customHeight="1">
      <c r="C3" s="152" t="str">
        <f>"For Weight Range of "&amp;Input!E16&amp;" - "&amp;Input!E18&amp;" lbs"</f>
        <v>For Weight Range of 850 - 1450 lbs</v>
      </c>
      <c r="D3" s="150"/>
      <c r="E3" s="150"/>
      <c r="F3" s="150"/>
      <c r="G3" s="150"/>
      <c r="H3" s="150"/>
      <c r="I3" s="150"/>
      <c r="J3" s="150"/>
    </row>
    <row r="4" spans="3:10" ht="24.75" customHeight="1">
      <c r="C4" s="153" t="str">
        <f>"Based on winter feeding "&amp;Input!E14&amp;" steers &amp; selling in spring"</f>
        <v>Based on winter feeding 500 steers &amp; selling in spring</v>
      </c>
      <c r="D4" s="154"/>
      <c r="E4" s="154"/>
      <c r="F4" s="154"/>
      <c r="G4" s="154"/>
      <c r="H4" s="154"/>
      <c r="I4" s="154"/>
      <c r="J4" s="154"/>
    </row>
    <row r="5" ht="22.5" customHeight="1"/>
    <row r="6" spans="7:9" ht="22.5" customHeight="1">
      <c r="G6" s="144" t="s">
        <v>260</v>
      </c>
      <c r="I6" s="144" t="s">
        <v>301</v>
      </c>
    </row>
    <row r="8" spans="2:9" ht="15" customHeight="1">
      <c r="B8" s="138"/>
      <c r="C8" s="139"/>
      <c r="D8" s="139"/>
      <c r="E8" s="139"/>
      <c r="F8" s="139"/>
      <c r="G8" s="139"/>
      <c r="H8" s="139"/>
      <c r="I8" s="139"/>
    </row>
    <row r="9" spans="2:9" ht="15">
      <c r="B9" s="139"/>
      <c r="C9" s="139"/>
      <c r="D9" s="139"/>
      <c r="E9" s="139"/>
      <c r="F9" s="139"/>
      <c r="G9" s="139"/>
      <c r="H9" s="139"/>
      <c r="I9" s="139"/>
    </row>
    <row r="10" spans="2:9" ht="15">
      <c r="B10" s="139"/>
      <c r="C10" s="139"/>
      <c r="D10" s="139"/>
      <c r="E10" s="139"/>
      <c r="F10" s="139"/>
      <c r="G10" s="139"/>
      <c r="H10" s="139"/>
      <c r="I10" s="139"/>
    </row>
    <row r="12" spans="2:9" ht="15" customHeight="1">
      <c r="B12" s="148" t="s">
        <v>281</v>
      </c>
      <c r="C12" s="148"/>
      <c r="D12" s="148"/>
      <c r="E12" s="148"/>
      <c r="F12" s="148"/>
      <c r="G12" s="148"/>
      <c r="H12" s="148"/>
      <c r="I12" s="148"/>
    </row>
    <row r="13" spans="2:9" ht="15" customHeight="1">
      <c r="B13" s="148"/>
      <c r="C13" s="148"/>
      <c r="D13" s="148"/>
      <c r="E13" s="148"/>
      <c r="F13" s="148"/>
      <c r="G13" s="148"/>
      <c r="H13" s="148"/>
      <c r="I13" s="148"/>
    </row>
    <row r="14" spans="2:9" ht="15" customHeight="1">
      <c r="B14" s="148"/>
      <c r="C14" s="148"/>
      <c r="D14" s="148"/>
      <c r="E14" s="148"/>
      <c r="F14" s="148"/>
      <c r="G14" s="148"/>
      <c r="H14" s="148"/>
      <c r="I14" s="148"/>
    </row>
    <row r="15" spans="2:9" ht="18" customHeight="1">
      <c r="B15" s="148"/>
      <c r="C15" s="148"/>
      <c r="D15" s="148"/>
      <c r="E15" s="148"/>
      <c r="F15" s="148"/>
      <c r="G15" s="148"/>
      <c r="H15" s="148"/>
      <c r="I15" s="148"/>
    </row>
    <row r="16" ht="15" customHeight="1"/>
    <row r="17" spans="2:9" ht="15" customHeight="1">
      <c r="B17" s="155" t="s">
        <v>259</v>
      </c>
      <c r="C17" s="155"/>
      <c r="D17" s="155"/>
      <c r="E17" s="155"/>
      <c r="F17" s="155"/>
      <c r="G17" s="155"/>
      <c r="H17" s="155"/>
      <c r="I17" s="155"/>
    </row>
    <row r="18" spans="2:9" ht="15" customHeight="1">
      <c r="B18" s="155"/>
      <c r="C18" s="155"/>
      <c r="D18" s="155"/>
      <c r="E18" s="155"/>
      <c r="F18" s="155"/>
      <c r="G18" s="155"/>
      <c r="H18" s="155"/>
      <c r="I18" s="155"/>
    </row>
    <row r="19" spans="2:9" ht="15" customHeight="1">
      <c r="B19" s="155"/>
      <c r="C19" s="155"/>
      <c r="D19" s="155"/>
      <c r="E19" s="155"/>
      <c r="F19" s="155"/>
      <c r="G19" s="155"/>
      <c r="H19" s="155"/>
      <c r="I19" s="155"/>
    </row>
    <row r="20" spans="2:9" ht="20.25" customHeight="1">
      <c r="B20" s="155"/>
      <c r="C20" s="155"/>
      <c r="D20" s="155"/>
      <c r="E20" s="155"/>
      <c r="F20" s="155"/>
      <c r="G20" s="155"/>
      <c r="H20" s="155"/>
      <c r="I20" s="155"/>
    </row>
    <row r="21" spans="2:9" ht="16.5" customHeight="1">
      <c r="B21" s="141"/>
      <c r="C21" s="141"/>
      <c r="D21" s="141"/>
      <c r="E21" s="141"/>
      <c r="F21" s="141"/>
      <c r="G21" s="141"/>
      <c r="H21" s="141"/>
      <c r="I21" s="141"/>
    </row>
    <row r="22" spans="2:9" ht="16.5" customHeight="1">
      <c r="B22" s="155" t="s">
        <v>280</v>
      </c>
      <c r="C22" s="155"/>
      <c r="D22" s="155"/>
      <c r="E22" s="155"/>
      <c r="F22" s="155"/>
      <c r="G22" s="155"/>
      <c r="H22" s="155"/>
      <c r="I22" s="155"/>
    </row>
    <row r="23" spans="2:9" ht="16.5" customHeight="1">
      <c r="B23" s="155"/>
      <c r="C23" s="155"/>
      <c r="D23" s="155"/>
      <c r="E23" s="155"/>
      <c r="F23" s="155"/>
      <c r="G23" s="155"/>
      <c r="H23" s="155"/>
      <c r="I23" s="155"/>
    </row>
    <row r="24" spans="2:9" ht="16.5" customHeight="1">
      <c r="B24" s="155"/>
      <c r="C24" s="155"/>
      <c r="D24" s="155"/>
      <c r="E24" s="155"/>
      <c r="F24" s="155"/>
      <c r="G24" s="155"/>
      <c r="H24" s="155"/>
      <c r="I24" s="155"/>
    </row>
    <row r="25" spans="2:9" ht="16.5" customHeight="1">
      <c r="B25" s="155"/>
      <c r="C25" s="155"/>
      <c r="D25" s="155"/>
      <c r="E25" s="155"/>
      <c r="F25" s="155"/>
      <c r="G25" s="155"/>
      <c r="H25" s="155"/>
      <c r="I25" s="155"/>
    </row>
    <row r="26" spans="2:9" ht="16.5" customHeight="1">
      <c r="B26" s="156"/>
      <c r="C26" s="156"/>
      <c r="D26" s="156"/>
      <c r="E26" s="156"/>
      <c r="F26" s="156"/>
      <c r="G26" s="156"/>
      <c r="H26" s="156"/>
      <c r="I26" s="156"/>
    </row>
    <row r="27" spans="2:9" ht="14.25" customHeight="1">
      <c r="B27" s="156"/>
      <c r="C27" s="156"/>
      <c r="D27" s="156"/>
      <c r="E27" s="156"/>
      <c r="F27" s="156"/>
      <c r="G27" s="156"/>
      <c r="H27" s="156"/>
      <c r="I27" s="156"/>
    </row>
    <row r="28" ht="15" customHeight="1"/>
    <row r="29" spans="2:9" ht="15">
      <c r="B29" s="147" t="s">
        <v>282</v>
      </c>
      <c r="C29" s="148"/>
      <c r="D29" s="148"/>
      <c r="E29" s="148"/>
      <c r="F29" s="148"/>
      <c r="G29" s="148"/>
      <c r="H29" s="148"/>
      <c r="I29" s="148"/>
    </row>
    <row r="30" spans="2:9" ht="15">
      <c r="B30" s="148"/>
      <c r="C30" s="148"/>
      <c r="D30" s="148"/>
      <c r="E30" s="148"/>
      <c r="F30" s="148"/>
      <c r="G30" s="148"/>
      <c r="H30" s="148"/>
      <c r="I30" s="148"/>
    </row>
    <row r="31" spans="2:9" ht="15" customHeight="1">
      <c r="B31" s="148"/>
      <c r="C31" s="148"/>
      <c r="D31" s="148"/>
      <c r="E31" s="148"/>
      <c r="F31" s="148"/>
      <c r="G31" s="148"/>
      <c r="H31" s="148"/>
      <c r="I31" s="148"/>
    </row>
    <row r="32" spans="2:9" ht="15" customHeight="1">
      <c r="B32" s="148"/>
      <c r="C32" s="148"/>
      <c r="D32" s="148"/>
      <c r="E32" s="148"/>
      <c r="F32" s="148"/>
      <c r="G32" s="148"/>
      <c r="H32" s="148"/>
      <c r="I32" s="148"/>
    </row>
    <row r="33" spans="2:9" ht="24" customHeight="1">
      <c r="B33" s="148"/>
      <c r="C33" s="148"/>
      <c r="D33" s="148"/>
      <c r="E33" s="148"/>
      <c r="F33" s="148"/>
      <c r="G33" s="148"/>
      <c r="H33" s="148"/>
      <c r="I33" s="148"/>
    </row>
    <row r="34" ht="15" customHeight="1"/>
    <row r="35" ht="15" customHeight="1"/>
    <row r="36" ht="15" customHeight="1"/>
    <row r="37" ht="15" customHeight="1"/>
    <row r="38" ht="15" customHeight="1"/>
    <row r="39" ht="15" customHeight="1"/>
    <row r="40" ht="15" customHeight="1"/>
    <row r="41" ht="15" customHeight="1"/>
  </sheetData>
  <sheetProtection password="C7C6" sheet="1" objects="1" scenarios="1"/>
  <mergeCells count="8">
    <mergeCell ref="B29:I33"/>
    <mergeCell ref="C1:J1"/>
    <mergeCell ref="C2:J2"/>
    <mergeCell ref="C3:J3"/>
    <mergeCell ref="C4:J4"/>
    <mergeCell ref="B12:I15"/>
    <mergeCell ref="B17:I20"/>
    <mergeCell ref="B22:I27"/>
  </mergeCells>
  <printOptions/>
  <pageMargins left="0.75" right="0.75" top="0.62" bottom="1" header="0.35" footer="0.5"/>
  <pageSetup horizontalDpi="180" verticalDpi="180" orientation="portrait" scale="97" r:id="rId2"/>
  <legacyDrawing r:id="rId1"/>
</worksheet>
</file>

<file path=xl/worksheets/sheet2.xml><?xml version="1.0" encoding="utf-8"?>
<worksheet xmlns="http://schemas.openxmlformats.org/spreadsheetml/2006/main" xmlns:r="http://schemas.openxmlformats.org/officeDocument/2006/relationships">
  <sheetPr codeName="Sheet1"/>
  <dimension ref="A2:L174"/>
  <sheetViews>
    <sheetView showGridLines="0" workbookViewId="0" topLeftCell="A1">
      <selection activeCell="A1" sqref="A1"/>
    </sheetView>
  </sheetViews>
  <sheetFormatPr defaultColWidth="8.88671875" defaultRowHeight="15"/>
  <cols>
    <col min="1" max="1" width="10.21484375" style="38" customWidth="1"/>
    <col min="2" max="3" width="10.6640625" style="38" customWidth="1"/>
    <col min="4" max="4" width="10.88671875" style="38" customWidth="1"/>
    <col min="5" max="5" width="12.3359375" style="38" customWidth="1"/>
    <col min="6" max="6" width="2.77734375" style="38" customWidth="1"/>
    <col min="7" max="7" width="7.10546875" style="38" customWidth="1"/>
    <col min="8" max="8" width="8.6640625" style="38" customWidth="1"/>
    <col min="9" max="9" width="8.99609375" style="38" customWidth="1"/>
    <col min="10" max="10" width="9.3359375" style="38" customWidth="1"/>
    <col min="11" max="11" width="7.6640625" style="38" customWidth="1"/>
    <col min="12" max="16384" width="9.77734375" style="38" customWidth="1"/>
  </cols>
  <sheetData>
    <row r="2" spans="1:9" ht="18">
      <c r="A2" s="159" t="s">
        <v>132</v>
      </c>
      <c r="B2" s="159"/>
      <c r="C2" s="159"/>
      <c r="D2" s="159"/>
      <c r="E2" s="159"/>
      <c r="F2" s="159"/>
      <c r="G2" s="159"/>
      <c r="H2" s="159"/>
      <c r="I2" s="159"/>
    </row>
    <row r="4" ht="15.75">
      <c r="A4" s="35" t="s">
        <v>100</v>
      </c>
    </row>
    <row r="6" ht="15">
      <c r="A6" s="38" t="s">
        <v>206</v>
      </c>
    </row>
    <row r="7" ht="15">
      <c r="A7" s="38" t="s">
        <v>207</v>
      </c>
    </row>
    <row r="8" ht="15">
      <c r="A8" s="38" t="s">
        <v>1</v>
      </c>
    </row>
    <row r="11" ht="15">
      <c r="K11" s="58"/>
    </row>
    <row r="12" spans="1:11" ht="15.75">
      <c r="A12" s="35" t="s">
        <v>168</v>
      </c>
      <c r="E12" s="59" t="s">
        <v>86</v>
      </c>
      <c r="K12" s="58"/>
    </row>
    <row r="13" ht="15">
      <c r="K13" s="58"/>
    </row>
    <row r="14" spans="1:11" ht="15.75">
      <c r="A14" s="38" t="s">
        <v>265</v>
      </c>
      <c r="E14" s="12">
        <v>500</v>
      </c>
      <c r="F14" s="60" t="s">
        <v>176</v>
      </c>
      <c r="K14" s="58"/>
    </row>
    <row r="15" spans="1:11" ht="15.75">
      <c r="A15" s="38" t="s">
        <v>208</v>
      </c>
      <c r="E15" s="13">
        <v>1</v>
      </c>
      <c r="F15" s="60" t="s">
        <v>172</v>
      </c>
      <c r="K15" s="58"/>
    </row>
    <row r="16" spans="1:11" ht="15.75">
      <c r="A16" s="38" t="s">
        <v>209</v>
      </c>
      <c r="E16" s="12">
        <v>850</v>
      </c>
      <c r="F16" s="60" t="s">
        <v>177</v>
      </c>
      <c r="K16" s="58"/>
    </row>
    <row r="17" spans="1:11" ht="15.75">
      <c r="A17" s="38" t="s">
        <v>210</v>
      </c>
      <c r="E17" s="14">
        <v>98</v>
      </c>
      <c r="F17" s="60" t="s">
        <v>178</v>
      </c>
      <c r="K17" s="58"/>
    </row>
    <row r="18" spans="1:11" ht="15.75">
      <c r="A18" s="38" t="s">
        <v>211</v>
      </c>
      <c r="E18" s="12">
        <v>1450</v>
      </c>
      <c r="F18" s="60" t="s">
        <v>177</v>
      </c>
      <c r="K18" s="58"/>
    </row>
    <row r="19" spans="1:11" ht="15.75">
      <c r="A19" s="38" t="s">
        <v>212</v>
      </c>
      <c r="E19" s="14">
        <v>91</v>
      </c>
      <c r="F19" s="60" t="s">
        <v>178</v>
      </c>
      <c r="K19" s="58"/>
    </row>
    <row r="20" spans="1:11" ht="15.75">
      <c r="A20" s="38" t="s">
        <v>290</v>
      </c>
      <c r="E20" s="110">
        <v>2</v>
      </c>
      <c r="F20" s="60" t="s">
        <v>291</v>
      </c>
      <c r="K20" s="58"/>
    </row>
    <row r="21" spans="1:11" ht="15.75">
      <c r="A21" s="38" t="s">
        <v>213</v>
      </c>
      <c r="E21" s="13">
        <v>5</v>
      </c>
      <c r="F21" s="60" t="s">
        <v>172</v>
      </c>
      <c r="K21" s="58"/>
    </row>
    <row r="22" spans="1:11" ht="15.75">
      <c r="A22" s="38" t="s">
        <v>214</v>
      </c>
      <c r="E22" s="13">
        <v>0</v>
      </c>
      <c r="F22" s="60" t="s">
        <v>172</v>
      </c>
      <c r="K22" s="58"/>
    </row>
    <row r="23" spans="1:11" ht="15.75">
      <c r="A23" s="38" t="s">
        <v>215</v>
      </c>
      <c r="E23" s="15">
        <v>3.5</v>
      </c>
      <c r="F23" s="60" t="s">
        <v>179</v>
      </c>
      <c r="J23" s="58" t="s">
        <v>0</v>
      </c>
      <c r="K23" s="58"/>
    </row>
    <row r="24" ht="15">
      <c r="K24" s="58"/>
    </row>
    <row r="25" spans="1:11" ht="15">
      <c r="A25" s="38" t="s">
        <v>3</v>
      </c>
      <c r="E25" s="80">
        <f>ROUND((E18-(E16-(E16*E22/100)))/E23,0)</f>
        <v>171</v>
      </c>
      <c r="F25" s="60" t="s">
        <v>180</v>
      </c>
      <c r="K25" s="58"/>
    </row>
    <row r="26" ht="15">
      <c r="K26" s="58"/>
    </row>
    <row r="27" spans="1:11" ht="15">
      <c r="A27" s="38" t="s">
        <v>101</v>
      </c>
      <c r="J27" s="58" t="s">
        <v>0</v>
      </c>
      <c r="K27" s="58"/>
    </row>
    <row r="28" ht="15">
      <c r="K28" s="58"/>
    </row>
    <row r="29" spans="1:11" ht="15.75">
      <c r="A29" s="35" t="s">
        <v>57</v>
      </c>
      <c r="E29" s="160" t="s">
        <v>102</v>
      </c>
      <c r="F29" s="160"/>
      <c r="G29" s="160"/>
      <c r="H29" s="61" t="s">
        <v>158</v>
      </c>
      <c r="K29" s="58"/>
    </row>
    <row r="30" spans="3:11" ht="15.75">
      <c r="C30" s="77" t="s">
        <v>157</v>
      </c>
      <c r="D30" s="78"/>
      <c r="E30" s="161" t="s">
        <v>224</v>
      </c>
      <c r="F30" s="161"/>
      <c r="G30" s="161"/>
      <c r="H30" s="59" t="s">
        <v>159</v>
      </c>
      <c r="K30" s="58"/>
    </row>
    <row r="31" spans="1:11" ht="15.75">
      <c r="A31" s="38" t="s">
        <v>182</v>
      </c>
      <c r="C31" s="14">
        <v>3.4</v>
      </c>
      <c r="D31" s="36" t="s">
        <v>181</v>
      </c>
      <c r="E31" s="13">
        <v>24</v>
      </c>
      <c r="F31" s="60" t="s">
        <v>4</v>
      </c>
      <c r="H31" s="80">
        <f>E25</f>
        <v>171</v>
      </c>
      <c r="K31" s="58"/>
    </row>
    <row r="32" spans="1:11" ht="15.75">
      <c r="A32" s="38" t="s">
        <v>183</v>
      </c>
      <c r="C32" s="14">
        <v>32</v>
      </c>
      <c r="D32" s="36" t="s">
        <v>82</v>
      </c>
      <c r="E32" s="13">
        <v>12</v>
      </c>
      <c r="F32" s="60" t="s">
        <v>4</v>
      </c>
      <c r="H32" s="80">
        <f>E25</f>
        <v>171</v>
      </c>
      <c r="K32" s="58"/>
    </row>
    <row r="33" spans="1:11" ht="15.75">
      <c r="A33" s="38" t="s">
        <v>5</v>
      </c>
      <c r="C33" s="14">
        <v>0</v>
      </c>
      <c r="D33" s="36"/>
      <c r="E33" s="13">
        <v>0</v>
      </c>
      <c r="F33" s="60" t="s">
        <v>4</v>
      </c>
      <c r="H33" s="80"/>
      <c r="K33" s="58"/>
    </row>
    <row r="34" spans="1:11" ht="15.75">
      <c r="A34" s="58" t="s">
        <v>6</v>
      </c>
      <c r="C34" s="14">
        <v>0</v>
      </c>
      <c r="D34" s="36"/>
      <c r="E34" s="13">
        <v>0</v>
      </c>
      <c r="F34" s="60" t="s">
        <v>4</v>
      </c>
      <c r="H34" s="80"/>
      <c r="K34" s="58"/>
    </row>
    <row r="35" spans="1:11" ht="15.75">
      <c r="A35" s="58" t="s">
        <v>7</v>
      </c>
      <c r="C35" s="14">
        <v>0</v>
      </c>
      <c r="D35" s="36"/>
      <c r="E35" s="13">
        <v>0</v>
      </c>
      <c r="F35" s="60" t="s">
        <v>4</v>
      </c>
      <c r="H35" s="80"/>
      <c r="K35" s="58"/>
    </row>
    <row r="36" spans="1:11" ht="15.75">
      <c r="A36" s="38" t="s">
        <v>266</v>
      </c>
      <c r="C36" s="14">
        <v>285</v>
      </c>
      <c r="D36" s="36" t="s">
        <v>271</v>
      </c>
      <c r="E36" s="13">
        <v>1</v>
      </c>
      <c r="F36" s="60" t="s">
        <v>4</v>
      </c>
      <c r="H36" s="80">
        <f>E25</f>
        <v>171</v>
      </c>
      <c r="J36" s="58" t="s">
        <v>0</v>
      </c>
      <c r="K36" s="58"/>
    </row>
    <row r="37" spans="3:11" ht="15">
      <c r="C37" s="63"/>
      <c r="D37" s="63"/>
      <c r="K37" s="58"/>
    </row>
    <row r="38" spans="1:11" ht="15">
      <c r="A38" s="38" t="s">
        <v>219</v>
      </c>
      <c r="K38" s="58"/>
    </row>
    <row r="39" spans="1:11" ht="15">
      <c r="A39" s="38" t="s">
        <v>217</v>
      </c>
      <c r="K39" s="58"/>
    </row>
    <row r="40" spans="1:11" ht="15">
      <c r="A40" s="38" t="s">
        <v>218</v>
      </c>
      <c r="J40" s="58" t="s">
        <v>0</v>
      </c>
      <c r="K40" s="58"/>
    </row>
    <row r="41" spans="7:11" ht="15">
      <c r="G41" s="76"/>
      <c r="K41" s="58"/>
    </row>
    <row r="42" spans="1:11" ht="15.75">
      <c r="A42" s="35" t="s">
        <v>169</v>
      </c>
      <c r="E42" s="64" t="s">
        <v>86</v>
      </c>
      <c r="F42" s="64"/>
      <c r="I42" s="65" t="s">
        <v>0</v>
      </c>
      <c r="K42" s="58"/>
    </row>
    <row r="43" spans="5:11" ht="15">
      <c r="E43" s="60"/>
      <c r="F43" s="60"/>
      <c r="K43" s="58"/>
    </row>
    <row r="44" spans="1:11" ht="15.75">
      <c r="A44" s="35" t="s">
        <v>8</v>
      </c>
      <c r="K44" s="58"/>
    </row>
    <row r="45" spans="1:11" ht="15.75">
      <c r="A45" s="38" t="s">
        <v>225</v>
      </c>
      <c r="E45" s="14">
        <v>6.75</v>
      </c>
      <c r="F45" s="36" t="s">
        <v>184</v>
      </c>
      <c r="K45" s="58"/>
    </row>
    <row r="46" spans="1:11" ht="15.75">
      <c r="A46" s="38" t="s">
        <v>226</v>
      </c>
      <c r="E46" s="14">
        <v>1.5</v>
      </c>
      <c r="F46" s="36" t="s">
        <v>178</v>
      </c>
      <c r="K46" s="58"/>
    </row>
    <row r="47" spans="1:11" ht="15.75">
      <c r="A47" s="38" t="s">
        <v>293</v>
      </c>
      <c r="E47" s="14">
        <v>1</v>
      </c>
      <c r="F47" s="36" t="s">
        <v>184</v>
      </c>
      <c r="K47" s="58"/>
    </row>
    <row r="48" ht="15">
      <c r="K48" s="58"/>
    </row>
    <row r="49" spans="1:11" ht="15.75">
      <c r="A49" s="35" t="s">
        <v>103</v>
      </c>
      <c r="C49" s="38" t="s">
        <v>0</v>
      </c>
      <c r="I49" s="65" t="s">
        <v>0</v>
      </c>
      <c r="K49" s="58"/>
    </row>
    <row r="50" spans="1:11" ht="15.75">
      <c r="A50" s="38" t="s">
        <v>9</v>
      </c>
      <c r="E50" s="13">
        <v>0.25</v>
      </c>
      <c r="F50" s="66" t="s">
        <v>185</v>
      </c>
      <c r="I50" s="65" t="s">
        <v>0</v>
      </c>
      <c r="K50" s="58"/>
    </row>
    <row r="51" spans="1:11" ht="15.75">
      <c r="A51" s="38" t="s">
        <v>186</v>
      </c>
      <c r="C51" s="38" t="s">
        <v>0</v>
      </c>
      <c r="E51" s="14">
        <v>20</v>
      </c>
      <c r="F51" s="36" t="s">
        <v>82</v>
      </c>
      <c r="I51" s="65" t="s">
        <v>0</v>
      </c>
      <c r="K51" s="58"/>
    </row>
    <row r="52" spans="5:11" ht="15">
      <c r="E52" s="63"/>
      <c r="F52" s="63"/>
      <c r="K52" s="58"/>
    </row>
    <row r="53" spans="1:11" ht="15.75">
      <c r="A53" s="35" t="s">
        <v>104</v>
      </c>
      <c r="E53" s="63" t="s">
        <v>0</v>
      </c>
      <c r="F53" s="63"/>
      <c r="I53" s="65" t="s">
        <v>0</v>
      </c>
      <c r="K53" s="58"/>
    </row>
    <row r="54" spans="1:11" ht="15.75">
      <c r="A54" s="35" t="s">
        <v>105</v>
      </c>
      <c r="C54" s="38" t="s">
        <v>0</v>
      </c>
      <c r="E54" s="63"/>
      <c r="F54" s="63"/>
      <c r="I54" s="65" t="s">
        <v>0</v>
      </c>
      <c r="K54" s="58"/>
    </row>
    <row r="55" spans="1:11" ht="15.75">
      <c r="A55" s="38" t="s">
        <v>10</v>
      </c>
      <c r="C55" s="38" t="s">
        <v>0</v>
      </c>
      <c r="D55" s="146"/>
      <c r="E55" s="14">
        <v>0.65</v>
      </c>
      <c r="F55" s="36" t="s">
        <v>184</v>
      </c>
      <c r="H55" s="137"/>
      <c r="I55" s="65" t="s">
        <v>0</v>
      </c>
      <c r="K55" s="58"/>
    </row>
    <row r="56" spans="1:11" ht="15.75">
      <c r="A56" s="38" t="s">
        <v>11</v>
      </c>
      <c r="D56" s="146"/>
      <c r="E56" s="14">
        <v>3.255</v>
      </c>
      <c r="F56" s="36" t="s">
        <v>184</v>
      </c>
      <c r="I56" s="65" t="s">
        <v>0</v>
      </c>
      <c r="K56" s="58"/>
    </row>
    <row r="57" spans="1:11" ht="15.75">
      <c r="A57" s="38" t="s">
        <v>12</v>
      </c>
      <c r="C57" s="38" t="s">
        <v>0</v>
      </c>
      <c r="D57" s="146"/>
      <c r="E57" s="14">
        <v>0.533</v>
      </c>
      <c r="F57" s="36" t="s">
        <v>184</v>
      </c>
      <c r="I57" s="65" t="s">
        <v>0</v>
      </c>
      <c r="K57" s="58"/>
    </row>
    <row r="58" spans="1:11" ht="15.75">
      <c r="A58" s="38" t="s">
        <v>13</v>
      </c>
      <c r="C58" s="38" t="s">
        <v>0</v>
      </c>
      <c r="D58" s="146"/>
      <c r="E58" s="14">
        <v>1.71</v>
      </c>
      <c r="F58" s="36" t="s">
        <v>184</v>
      </c>
      <c r="I58" s="65" t="s">
        <v>0</v>
      </c>
      <c r="K58" s="58"/>
    </row>
    <row r="59" spans="1:11" ht="15.75">
      <c r="A59" s="38" t="s">
        <v>14</v>
      </c>
      <c r="D59" s="146"/>
      <c r="E59" s="14">
        <v>2.5</v>
      </c>
      <c r="F59" s="36" t="s">
        <v>184</v>
      </c>
      <c r="K59" s="58"/>
    </row>
    <row r="60" spans="4:11" ht="15">
      <c r="D60" s="146"/>
      <c r="K60" s="58"/>
    </row>
    <row r="61" spans="1:11" ht="15.75">
      <c r="A61" s="35" t="s">
        <v>106</v>
      </c>
      <c r="D61" s="146"/>
      <c r="E61" s="60" t="s">
        <v>0</v>
      </c>
      <c r="F61" s="60"/>
      <c r="I61" s="65" t="s">
        <v>0</v>
      </c>
      <c r="K61" s="58"/>
    </row>
    <row r="62" spans="1:11" ht="15.75">
      <c r="A62" s="35" t="s">
        <v>107</v>
      </c>
      <c r="D62" s="146"/>
      <c r="E62" s="60" t="s">
        <v>0</v>
      </c>
      <c r="F62" s="60"/>
      <c r="I62" s="65" t="s">
        <v>0</v>
      </c>
      <c r="K62" s="58"/>
    </row>
    <row r="63" spans="1:11" ht="15.75">
      <c r="A63" s="38" t="s">
        <v>17</v>
      </c>
      <c r="C63" s="38" t="s">
        <v>0</v>
      </c>
      <c r="D63" s="146"/>
      <c r="E63" s="13">
        <v>2</v>
      </c>
      <c r="F63" s="66" t="s">
        <v>187</v>
      </c>
      <c r="I63" s="65" t="s">
        <v>0</v>
      </c>
      <c r="K63" s="58"/>
    </row>
    <row r="64" spans="1:11" ht="15.75">
      <c r="A64" s="38" t="s">
        <v>188</v>
      </c>
      <c r="C64" s="38" t="s">
        <v>0</v>
      </c>
      <c r="D64" s="146"/>
      <c r="E64" s="14">
        <v>135</v>
      </c>
      <c r="F64" s="36" t="s">
        <v>99</v>
      </c>
      <c r="I64" s="65" t="s">
        <v>0</v>
      </c>
      <c r="K64" s="58"/>
    </row>
    <row r="65" spans="1:11" ht="15.75">
      <c r="A65" s="35" t="s">
        <v>108</v>
      </c>
      <c r="C65" s="38" t="s">
        <v>0</v>
      </c>
      <c r="D65" s="146"/>
      <c r="E65" s="60" t="s">
        <v>0</v>
      </c>
      <c r="F65" s="60"/>
      <c r="I65" s="65" t="s">
        <v>0</v>
      </c>
      <c r="K65" s="58"/>
    </row>
    <row r="66" spans="1:11" ht="15.75">
      <c r="A66" s="38" t="s">
        <v>18</v>
      </c>
      <c r="D66" s="146"/>
      <c r="E66" s="13">
        <v>80</v>
      </c>
      <c r="F66" s="66" t="s">
        <v>189</v>
      </c>
      <c r="I66" s="65" t="s">
        <v>0</v>
      </c>
      <c r="K66" s="58"/>
    </row>
    <row r="67" spans="1:11" ht="15.75">
      <c r="A67" s="38" t="s">
        <v>19</v>
      </c>
      <c r="C67" s="38" t="s">
        <v>0</v>
      </c>
      <c r="D67" s="146"/>
      <c r="E67" s="14">
        <v>1</v>
      </c>
      <c r="F67" s="36" t="s">
        <v>190</v>
      </c>
      <c r="I67" s="65" t="s">
        <v>0</v>
      </c>
      <c r="K67" s="58"/>
    </row>
    <row r="68" spans="1:11" ht="15.75">
      <c r="A68" s="38" t="s">
        <v>20</v>
      </c>
      <c r="D68" s="146"/>
      <c r="E68" s="12">
        <v>3</v>
      </c>
      <c r="F68" s="67"/>
      <c r="I68" s="65" t="s">
        <v>0</v>
      </c>
      <c r="K68" s="58"/>
    </row>
    <row r="69" spans="6:11" ht="15">
      <c r="F69" s="19"/>
      <c r="K69" s="58"/>
    </row>
    <row r="70" spans="1:11" ht="15.75">
      <c r="A70" s="35" t="s">
        <v>283</v>
      </c>
      <c r="F70" s="19"/>
      <c r="K70" s="58"/>
    </row>
    <row r="71" spans="1:11" ht="15.75">
      <c r="A71" s="38" t="s">
        <v>191</v>
      </c>
      <c r="E71" s="14">
        <v>900</v>
      </c>
      <c r="F71" s="36"/>
      <c r="K71" s="58"/>
    </row>
    <row r="72" spans="1:11" ht="15.75">
      <c r="A72" s="38" t="s">
        <v>21</v>
      </c>
      <c r="E72" s="14">
        <v>1950</v>
      </c>
      <c r="F72" s="36"/>
      <c r="K72" s="58"/>
    </row>
    <row r="73" spans="1:11" ht="15">
      <c r="A73" s="38" t="s">
        <v>0</v>
      </c>
      <c r="C73" s="58" t="s">
        <v>0</v>
      </c>
      <c r="D73" s="58"/>
      <c r="E73" s="63"/>
      <c r="F73" s="36"/>
      <c r="I73" s="65" t="s">
        <v>0</v>
      </c>
      <c r="K73" s="58"/>
    </row>
    <row r="74" spans="1:11" ht="15.75">
      <c r="A74" s="35" t="s">
        <v>109</v>
      </c>
      <c r="E74" s="63" t="s">
        <v>0</v>
      </c>
      <c r="F74" s="36"/>
      <c r="K74" s="58"/>
    </row>
    <row r="75" spans="1:11" ht="15.75">
      <c r="A75" s="38" t="s">
        <v>284</v>
      </c>
      <c r="E75" s="14">
        <v>2000</v>
      </c>
      <c r="F75" s="36"/>
      <c r="G75" s="137"/>
      <c r="K75" s="58"/>
    </row>
    <row r="76" spans="6:11" ht="15">
      <c r="F76" s="19"/>
      <c r="K76" s="58"/>
    </row>
    <row r="77" spans="1:11" ht="15.75">
      <c r="A77" s="35" t="s">
        <v>110</v>
      </c>
      <c r="E77" s="60" t="s">
        <v>0</v>
      </c>
      <c r="F77" s="68"/>
      <c r="K77" s="58"/>
    </row>
    <row r="78" spans="1:11" ht="15.75">
      <c r="A78" s="38" t="s">
        <v>192</v>
      </c>
      <c r="E78" s="12">
        <v>700</v>
      </c>
      <c r="F78" s="69" t="s">
        <v>88</v>
      </c>
      <c r="K78" s="58"/>
    </row>
    <row r="79" spans="1:11" ht="15.75">
      <c r="A79" s="38" t="s">
        <v>193</v>
      </c>
      <c r="E79" s="14">
        <v>4.25</v>
      </c>
      <c r="F79" s="36" t="s">
        <v>194</v>
      </c>
      <c r="K79" s="58"/>
    </row>
    <row r="80" spans="1:11" ht="15.75">
      <c r="A80" s="38" t="s">
        <v>267</v>
      </c>
      <c r="E80" s="110">
        <v>54000</v>
      </c>
      <c r="F80" s="36" t="s">
        <v>268</v>
      </c>
      <c r="K80" s="58"/>
    </row>
    <row r="81" spans="1:11" ht="15.75">
      <c r="A81" s="38" t="s">
        <v>22</v>
      </c>
      <c r="E81" s="140">
        <f>E80/E18</f>
        <v>37.241379310344826</v>
      </c>
      <c r="F81" s="67" t="s">
        <v>176</v>
      </c>
      <c r="K81" s="58"/>
    </row>
    <row r="82" spans="1:11" ht="15.75">
      <c r="A82" s="38" t="s">
        <v>292</v>
      </c>
      <c r="E82" s="14">
        <v>17</v>
      </c>
      <c r="F82" s="67" t="s">
        <v>176</v>
      </c>
      <c r="K82" s="58"/>
    </row>
    <row r="83" spans="5:11" ht="15.75">
      <c r="E83" s="70"/>
      <c r="F83" s="67"/>
      <c r="K83" s="58"/>
    </row>
    <row r="84" spans="1:11" ht="15.75">
      <c r="A84" s="35" t="s">
        <v>269</v>
      </c>
      <c r="E84" s="60" t="s">
        <v>0</v>
      </c>
      <c r="F84" s="68"/>
      <c r="K84" s="58"/>
    </row>
    <row r="85" spans="1:11" ht="15.75">
      <c r="A85" s="38" t="s">
        <v>295</v>
      </c>
      <c r="E85" s="14">
        <v>2</v>
      </c>
      <c r="F85" s="36" t="s">
        <v>184</v>
      </c>
      <c r="K85" s="58"/>
    </row>
    <row r="86" spans="1:11" ht="15.75">
      <c r="A86" s="38" t="s">
        <v>296</v>
      </c>
      <c r="C86" s="58" t="s">
        <v>0</v>
      </c>
      <c r="D86" s="58"/>
      <c r="E86" s="14">
        <v>3</v>
      </c>
      <c r="F86" s="36" t="s">
        <v>178</v>
      </c>
      <c r="K86" s="58"/>
    </row>
    <row r="87" spans="5:11" ht="15">
      <c r="E87" s="63"/>
      <c r="F87" s="36"/>
      <c r="K87" s="58"/>
    </row>
    <row r="88" spans="1:11" ht="15.75">
      <c r="A88" s="35" t="s">
        <v>111</v>
      </c>
      <c r="C88" s="58" t="s">
        <v>0</v>
      </c>
      <c r="D88" s="58"/>
      <c r="E88" s="63" t="s">
        <v>0</v>
      </c>
      <c r="F88" s="36"/>
      <c r="I88" s="65" t="s">
        <v>0</v>
      </c>
      <c r="K88" s="58"/>
    </row>
    <row r="89" spans="1:11" ht="15.75">
      <c r="A89" s="38" t="s">
        <v>285</v>
      </c>
      <c r="E89" s="109">
        <v>3200</v>
      </c>
      <c r="F89" s="36"/>
      <c r="K89" s="58"/>
    </row>
    <row r="90" spans="6:11" ht="15">
      <c r="F90" s="19"/>
      <c r="K90" s="58"/>
    </row>
    <row r="91" spans="1:11" ht="15.75">
      <c r="A91" s="35" t="s">
        <v>112</v>
      </c>
      <c r="F91" s="19"/>
      <c r="K91" s="58"/>
    </row>
    <row r="92" spans="1:11" ht="15">
      <c r="A92" s="38" t="s">
        <v>23</v>
      </c>
      <c r="F92" s="19"/>
      <c r="K92" s="58"/>
    </row>
    <row r="93" spans="1:11" ht="15.75">
      <c r="A93" s="38" t="s">
        <v>216</v>
      </c>
      <c r="E93" s="14">
        <v>0</v>
      </c>
      <c r="F93" s="36" t="s">
        <v>150</v>
      </c>
      <c r="K93" s="58"/>
    </row>
    <row r="94" spans="1:11" ht="15.75">
      <c r="A94" s="38" t="s">
        <v>220</v>
      </c>
      <c r="E94" s="14">
        <v>0.45</v>
      </c>
      <c r="F94" s="36" t="s">
        <v>150</v>
      </c>
      <c r="K94" s="58"/>
    </row>
    <row r="95" spans="1:11" ht="15.75">
      <c r="A95" s="38" t="s">
        <v>24</v>
      </c>
      <c r="E95" s="14">
        <v>49</v>
      </c>
      <c r="F95" s="36" t="s">
        <v>205</v>
      </c>
      <c r="K95" s="58"/>
    </row>
    <row r="96" spans="5:11" ht="15">
      <c r="E96" s="63"/>
      <c r="F96" s="36"/>
      <c r="K96" s="58"/>
    </row>
    <row r="97" spans="1:11" ht="15.75">
      <c r="A97" s="35" t="s">
        <v>113</v>
      </c>
      <c r="E97" s="63"/>
      <c r="F97" s="36"/>
      <c r="K97" s="58"/>
    </row>
    <row r="98" spans="1:11" ht="15.75">
      <c r="A98" s="38" t="s">
        <v>286</v>
      </c>
      <c r="E98" s="14">
        <v>1000</v>
      </c>
      <c r="F98" s="36"/>
      <c r="K98" s="58"/>
    </row>
    <row r="99" spans="5:11" ht="15">
      <c r="E99" s="63"/>
      <c r="F99" s="63"/>
      <c r="J99" s="58" t="s">
        <v>0</v>
      </c>
      <c r="K99" s="58"/>
    </row>
    <row r="100" spans="10:11" ht="15">
      <c r="J100" s="58" t="s">
        <v>0</v>
      </c>
      <c r="K100" s="58"/>
    </row>
    <row r="101" spans="1:11" ht="15.75">
      <c r="A101" s="19" t="s">
        <v>170</v>
      </c>
      <c r="E101" s="13">
        <v>6.5</v>
      </c>
      <c r="F101" s="38" t="s">
        <v>172</v>
      </c>
      <c r="K101" s="58"/>
    </row>
    <row r="102" spans="1:11" ht="15.75">
      <c r="A102" s="19" t="s">
        <v>171</v>
      </c>
      <c r="E102" s="13">
        <v>4</v>
      </c>
      <c r="F102" s="38" t="s">
        <v>172</v>
      </c>
      <c r="K102" s="58"/>
    </row>
    <row r="103" ht="15">
      <c r="K103" s="58"/>
    </row>
    <row r="104" spans="1:11" ht="15">
      <c r="A104" s="38" t="s">
        <v>114</v>
      </c>
      <c r="K104" s="58"/>
    </row>
    <row r="105" ht="15">
      <c r="K105" s="58"/>
    </row>
    <row r="106" spans="1:11" ht="18">
      <c r="A106" s="162" t="s">
        <v>152</v>
      </c>
      <c r="B106" s="163"/>
      <c r="C106" s="163"/>
      <c r="D106" s="163"/>
      <c r="E106" s="163"/>
      <c r="F106" s="163"/>
      <c r="G106" s="163"/>
      <c r="H106" s="163"/>
      <c r="K106" s="58"/>
    </row>
    <row r="107" spans="7:11" ht="15.75">
      <c r="G107" s="64"/>
      <c r="H107" s="64"/>
      <c r="I107" s="71"/>
      <c r="K107" s="58"/>
    </row>
    <row r="108" spans="1:11" ht="15.75">
      <c r="A108" s="35" t="s">
        <v>174</v>
      </c>
      <c r="D108" s="61" t="s">
        <v>115</v>
      </c>
      <c r="F108" s="72" t="s">
        <v>117</v>
      </c>
      <c r="G108" s="73" t="s">
        <v>118</v>
      </c>
      <c r="I108" s="62"/>
      <c r="K108" s="58"/>
    </row>
    <row r="109" spans="1:12" ht="15.75">
      <c r="A109" s="35" t="s">
        <v>175</v>
      </c>
      <c r="D109" s="59" t="s">
        <v>116</v>
      </c>
      <c r="F109" s="64" t="s">
        <v>116</v>
      </c>
      <c r="G109" s="71" t="s">
        <v>119</v>
      </c>
      <c r="I109" s="62"/>
      <c r="K109" s="157"/>
      <c r="L109" s="158"/>
    </row>
    <row r="110" spans="1:11" ht="15.75">
      <c r="A110" s="38" t="s">
        <v>25</v>
      </c>
      <c r="D110" s="16">
        <v>7350</v>
      </c>
      <c r="E110" s="12">
        <v>10</v>
      </c>
      <c r="F110" s="69" t="s">
        <v>172</v>
      </c>
      <c r="G110" s="12">
        <v>20</v>
      </c>
      <c r="H110" s="38" t="s">
        <v>173</v>
      </c>
      <c r="K110" s="58"/>
    </row>
    <row r="111" spans="1:11" ht="15.75">
      <c r="A111" s="38" t="s">
        <v>26</v>
      </c>
      <c r="D111" s="16">
        <v>4540</v>
      </c>
      <c r="E111" s="12">
        <v>10</v>
      </c>
      <c r="F111" s="69" t="s">
        <v>172</v>
      </c>
      <c r="G111" s="12">
        <v>20</v>
      </c>
      <c r="H111" s="38" t="s">
        <v>173</v>
      </c>
      <c r="K111" s="58"/>
    </row>
    <row r="112" spans="1:11" ht="15.75">
      <c r="A112" s="38" t="s">
        <v>27</v>
      </c>
      <c r="D112" s="16">
        <v>3500</v>
      </c>
      <c r="E112" s="12">
        <v>10</v>
      </c>
      <c r="F112" s="69" t="s">
        <v>172</v>
      </c>
      <c r="G112" s="12">
        <v>20</v>
      </c>
      <c r="H112" s="38" t="s">
        <v>173</v>
      </c>
      <c r="K112" s="58"/>
    </row>
    <row r="113" spans="1:11" ht="15.75">
      <c r="A113" s="38" t="s">
        <v>28</v>
      </c>
      <c r="D113" s="16">
        <v>5500</v>
      </c>
      <c r="E113" s="12">
        <v>10</v>
      </c>
      <c r="F113" s="69" t="s">
        <v>172</v>
      </c>
      <c r="G113" s="12">
        <v>20</v>
      </c>
      <c r="H113" s="38" t="s">
        <v>173</v>
      </c>
      <c r="K113" s="58"/>
    </row>
    <row r="114" spans="1:11" ht="15.75">
      <c r="A114" s="38" t="s">
        <v>29</v>
      </c>
      <c r="D114" s="16">
        <v>5000</v>
      </c>
      <c r="E114" s="12">
        <v>10</v>
      </c>
      <c r="F114" s="69" t="s">
        <v>172</v>
      </c>
      <c r="G114" s="12">
        <v>20</v>
      </c>
      <c r="H114" s="38" t="s">
        <v>173</v>
      </c>
      <c r="K114" s="58"/>
    </row>
    <row r="115" spans="1:11" ht="15.75">
      <c r="A115" s="38" t="s">
        <v>30</v>
      </c>
      <c r="D115" s="16">
        <v>1280</v>
      </c>
      <c r="E115" s="12">
        <v>10</v>
      </c>
      <c r="F115" s="69" t="s">
        <v>172</v>
      </c>
      <c r="G115" s="12">
        <v>20</v>
      </c>
      <c r="H115" s="38" t="s">
        <v>173</v>
      </c>
      <c r="K115" s="58"/>
    </row>
    <row r="116" spans="1:11" ht="15.75">
      <c r="A116" s="38" t="s">
        <v>31</v>
      </c>
      <c r="D116" s="16">
        <v>0</v>
      </c>
      <c r="E116" s="12">
        <v>10</v>
      </c>
      <c r="F116" s="69" t="s">
        <v>172</v>
      </c>
      <c r="G116" s="12">
        <v>20</v>
      </c>
      <c r="H116" s="38" t="s">
        <v>173</v>
      </c>
      <c r="K116" s="58"/>
    </row>
    <row r="117" spans="1:11" ht="15.75">
      <c r="A117" s="38" t="s">
        <v>32</v>
      </c>
      <c r="D117" s="16">
        <v>23000</v>
      </c>
      <c r="E117" s="12">
        <v>10</v>
      </c>
      <c r="F117" s="69" t="s">
        <v>172</v>
      </c>
      <c r="G117" s="12">
        <v>20</v>
      </c>
      <c r="H117" s="38" t="s">
        <v>173</v>
      </c>
      <c r="K117" s="58"/>
    </row>
    <row r="118" spans="1:11" ht="15.75">
      <c r="A118" s="38" t="s">
        <v>33</v>
      </c>
      <c r="D118" s="16">
        <v>6000</v>
      </c>
      <c r="E118" s="12">
        <v>10</v>
      </c>
      <c r="F118" s="69" t="s">
        <v>172</v>
      </c>
      <c r="G118" s="12">
        <v>20</v>
      </c>
      <c r="H118" s="38" t="s">
        <v>173</v>
      </c>
      <c r="K118" s="58"/>
    </row>
    <row r="119" spans="1:11" ht="15.75">
      <c r="A119" s="38" t="s">
        <v>34</v>
      </c>
      <c r="D119" s="17">
        <v>15000</v>
      </c>
      <c r="E119" s="12">
        <v>10</v>
      </c>
      <c r="F119" s="69" t="s">
        <v>172</v>
      </c>
      <c r="G119" s="12">
        <v>20</v>
      </c>
      <c r="H119" s="38" t="s">
        <v>173</v>
      </c>
      <c r="K119" s="58"/>
    </row>
    <row r="120" spans="1:11" ht="15.75">
      <c r="A120" s="35" t="s">
        <v>120</v>
      </c>
      <c r="D120" s="28">
        <f>SUM(D110:D119)</f>
        <v>71170</v>
      </c>
      <c r="K120" s="58"/>
    </row>
    <row r="121" spans="5:11" ht="15">
      <c r="E121" s="58"/>
      <c r="F121" s="58"/>
      <c r="K121" s="58"/>
    </row>
    <row r="122" spans="1:11" ht="15.75">
      <c r="A122" s="35" t="s">
        <v>35</v>
      </c>
      <c r="E122" s="38" t="s">
        <v>0</v>
      </c>
      <c r="G122" s="65" t="s">
        <v>0</v>
      </c>
      <c r="H122" s="65"/>
      <c r="I122" s="74" t="s">
        <v>0</v>
      </c>
      <c r="K122" s="58"/>
    </row>
    <row r="123" spans="1:11" ht="15.75">
      <c r="A123" s="38" t="s">
        <v>36</v>
      </c>
      <c r="D123" s="16">
        <v>50000</v>
      </c>
      <c r="E123" s="12">
        <v>20</v>
      </c>
      <c r="F123" s="69" t="s">
        <v>172</v>
      </c>
      <c r="G123" s="12">
        <v>10</v>
      </c>
      <c r="H123" s="38" t="s">
        <v>173</v>
      </c>
      <c r="K123" s="58"/>
    </row>
    <row r="124" spans="1:11" ht="15.75">
      <c r="A124" s="38" t="s">
        <v>37</v>
      </c>
      <c r="D124" s="16">
        <v>25000</v>
      </c>
      <c r="E124" s="12">
        <v>20</v>
      </c>
      <c r="F124" s="69" t="s">
        <v>172</v>
      </c>
      <c r="G124" s="12">
        <v>10</v>
      </c>
      <c r="H124" s="38" t="s">
        <v>173</v>
      </c>
      <c r="K124" s="58"/>
    </row>
    <row r="125" spans="9:11" ht="15">
      <c r="I125" s="74" t="s">
        <v>0</v>
      </c>
      <c r="K125" s="58"/>
    </row>
    <row r="126" spans="1:11" ht="15.75">
      <c r="A126" s="35" t="s">
        <v>38</v>
      </c>
      <c r="D126" s="28">
        <f>D120+D123+D124</f>
        <v>146170</v>
      </c>
      <c r="K126" s="58"/>
    </row>
    <row r="127" ht="15">
      <c r="K127" s="58"/>
    </row>
    <row r="128" spans="1:11" ht="15.75">
      <c r="A128" s="35" t="s">
        <v>221</v>
      </c>
      <c r="E128" s="64" t="s">
        <v>86</v>
      </c>
      <c r="F128" s="64"/>
      <c r="K128" s="58"/>
    </row>
    <row r="129" spans="5:11" ht="15">
      <c r="E129" s="60"/>
      <c r="F129" s="60"/>
      <c r="K129" s="58"/>
    </row>
    <row r="130" spans="1:11" ht="15.75">
      <c r="A130" s="38" t="s">
        <v>195</v>
      </c>
      <c r="E130" s="108">
        <v>1.25</v>
      </c>
      <c r="F130" s="75" t="s">
        <v>197</v>
      </c>
      <c r="K130" s="58"/>
    </row>
    <row r="131" spans="1:11" ht="15.75">
      <c r="A131" s="38" t="s">
        <v>196</v>
      </c>
      <c r="E131" s="14">
        <v>11</v>
      </c>
      <c r="F131" s="68" t="s">
        <v>99</v>
      </c>
      <c r="K131" s="58"/>
    </row>
    <row r="132" ht="15">
      <c r="K132" s="58"/>
    </row>
    <row r="133" spans="1:9" ht="18">
      <c r="A133" s="159"/>
      <c r="B133" s="159"/>
      <c r="C133" s="159"/>
      <c r="D133" s="159"/>
      <c r="E133" s="159"/>
      <c r="F133" s="159"/>
      <c r="G133" s="159"/>
      <c r="H133" s="159"/>
      <c r="I133" s="159"/>
    </row>
    <row r="135" spans="1:5" ht="15.75">
      <c r="A135" s="35"/>
      <c r="E135" s="33"/>
    </row>
    <row r="136" spans="1:5" ht="15.75">
      <c r="A136" s="35"/>
      <c r="E136" s="60"/>
    </row>
    <row r="137" ht="15.75">
      <c r="A137" s="35"/>
    </row>
    <row r="138" ht="15">
      <c r="E138" s="33"/>
    </row>
    <row r="139" ht="15">
      <c r="E139" s="33"/>
    </row>
    <row r="140" ht="15">
      <c r="E140" s="33"/>
    </row>
    <row r="143" ht="15.75">
      <c r="A143" s="35"/>
    </row>
    <row r="144" ht="15">
      <c r="E144" s="33"/>
    </row>
    <row r="145" ht="15">
      <c r="E145" s="33"/>
    </row>
    <row r="146" ht="15">
      <c r="E146" s="33"/>
    </row>
    <row r="148" ht="15.75">
      <c r="A148" s="35"/>
    </row>
    <row r="149" ht="15">
      <c r="E149" s="33"/>
    </row>
    <row r="150" ht="15">
      <c r="E150" s="33"/>
    </row>
    <row r="151" ht="15">
      <c r="E151" s="33"/>
    </row>
    <row r="153" spans="1:5" ht="15.75">
      <c r="A153" s="35"/>
      <c r="E153" s="23"/>
    </row>
    <row r="155" ht="15.75">
      <c r="A155" s="35"/>
    </row>
    <row r="156" ht="15">
      <c r="E156" s="33"/>
    </row>
    <row r="157" ht="15">
      <c r="E157" s="33"/>
    </row>
    <row r="159" spans="1:5" ht="15.75">
      <c r="A159" s="35"/>
      <c r="E159" s="33"/>
    </row>
    <row r="161" spans="1:5" ht="15.75">
      <c r="A161" s="35"/>
      <c r="E161" s="23"/>
    </row>
    <row r="163" spans="1:5" ht="15.75">
      <c r="A163" s="35"/>
      <c r="E163" s="33"/>
    </row>
    <row r="165" spans="1:5" ht="15.75">
      <c r="A165" s="35"/>
      <c r="E165" s="33"/>
    </row>
    <row r="166" ht="15.75">
      <c r="A166" s="35"/>
    </row>
    <row r="168" ht="15">
      <c r="K168" s="58"/>
    </row>
    <row r="169" ht="15">
      <c r="K169" s="58"/>
    </row>
    <row r="170" ht="15">
      <c r="K170" s="58"/>
    </row>
    <row r="171" ht="15">
      <c r="K171" s="58"/>
    </row>
    <row r="172" ht="15">
      <c r="K172" s="58"/>
    </row>
    <row r="173" ht="15">
      <c r="K173" s="58"/>
    </row>
    <row r="174" ht="15">
      <c r="K174" s="58"/>
    </row>
  </sheetData>
  <sheetProtection password="C7C6" sheet="1" objects="1" scenarios="1"/>
  <mergeCells count="6">
    <mergeCell ref="K109:L109"/>
    <mergeCell ref="A2:I2"/>
    <mergeCell ref="A133:I133"/>
    <mergeCell ref="E29:G29"/>
    <mergeCell ref="E30:G30"/>
    <mergeCell ref="A106:H106"/>
  </mergeCells>
  <printOptions horizontalCentered="1"/>
  <pageMargins left="0.75" right="0.75" top="1" bottom="1" header="0.5" footer="0.5"/>
  <pageSetup horizontalDpi="600" verticalDpi="600" orientation="portrait" scale="88" r:id="rId1"/>
  <headerFooter alignWithMargins="0">
    <oddHeader>&amp;L&amp;9Guidelines: Shortkeep Cattle Production Cost</oddHeader>
    <oddFooter>&amp;R&amp;"Arial,Italic"&amp;9MAFRI, Policy Analysis Branch</oddFooter>
  </headerFooter>
  <rowBreaks count="3" manualBreakCount="3">
    <brk id="47" max="7" man="1"/>
    <brk id="89" max="7" man="1"/>
    <brk id="132" max="7" man="1"/>
  </rowBreaks>
</worksheet>
</file>

<file path=xl/worksheets/sheet3.xml><?xml version="1.0" encoding="utf-8"?>
<worksheet xmlns="http://schemas.openxmlformats.org/spreadsheetml/2006/main" xmlns:r="http://schemas.openxmlformats.org/officeDocument/2006/relationships">
  <sheetPr codeName="Sheet2">
    <pageSetUpPr fitToPage="1"/>
  </sheetPr>
  <dimension ref="A1:J52"/>
  <sheetViews>
    <sheetView showGridLines="0" workbookViewId="0" topLeftCell="A1">
      <selection activeCell="A1" sqref="A1"/>
    </sheetView>
  </sheetViews>
  <sheetFormatPr defaultColWidth="8.88671875" defaultRowHeight="15"/>
  <cols>
    <col min="1" max="1" width="7.5546875" style="19" customWidth="1"/>
    <col min="2" max="2" width="9.77734375" style="19" customWidth="1"/>
    <col min="3" max="3" width="5.88671875" style="19" customWidth="1"/>
    <col min="4" max="4" width="4.4453125" style="19" customWidth="1"/>
    <col min="5" max="5" width="6.77734375" style="19" customWidth="1"/>
    <col min="6" max="6" width="11.5546875" style="19" customWidth="1"/>
    <col min="7" max="7" width="4.10546875" style="19" customWidth="1"/>
    <col min="8" max="8" width="12.6640625" style="19" customWidth="1"/>
    <col min="9" max="9" width="4.10546875" style="19" customWidth="1"/>
    <col min="10" max="16384" width="9.77734375" style="19" customWidth="1"/>
  </cols>
  <sheetData>
    <row r="1" spans="1:9" ht="15">
      <c r="A1" s="18"/>
      <c r="B1" s="18"/>
      <c r="C1" s="18"/>
      <c r="D1" s="18"/>
      <c r="E1" s="18"/>
      <c r="F1" s="18"/>
      <c r="G1" s="18"/>
      <c r="H1" s="18"/>
      <c r="I1" s="18"/>
    </row>
    <row r="2" spans="1:10" ht="18">
      <c r="A2" s="164" t="str">
        <f>"Shortkeep Cattle Production Cost Summary "&amp;Introduction!I6</f>
        <v>Shortkeep Cattle Production Cost Summary September, 2007</v>
      </c>
      <c r="B2" s="165"/>
      <c r="C2" s="165"/>
      <c r="D2" s="165"/>
      <c r="E2" s="165"/>
      <c r="F2" s="165"/>
      <c r="G2" s="165"/>
      <c r="H2" s="165"/>
      <c r="I2" s="165"/>
      <c r="J2" s="165"/>
    </row>
    <row r="3" spans="1:10" ht="24.75" customHeight="1">
      <c r="A3" s="18"/>
      <c r="B3" s="18"/>
      <c r="C3" s="18"/>
      <c r="D3" s="18"/>
      <c r="E3" s="18"/>
      <c r="F3" s="93" t="s">
        <v>122</v>
      </c>
      <c r="G3" s="94"/>
      <c r="H3" s="95" t="s">
        <v>243</v>
      </c>
      <c r="I3" s="20"/>
      <c r="J3" s="21" t="s">
        <v>121</v>
      </c>
    </row>
    <row r="4" spans="1:9" ht="15.75">
      <c r="A4" s="7" t="s">
        <v>123</v>
      </c>
      <c r="B4" s="18"/>
      <c r="C4" s="18"/>
      <c r="D4" s="18"/>
      <c r="E4" s="18"/>
      <c r="F4" s="18"/>
      <c r="G4" s="18"/>
      <c r="H4" s="18"/>
      <c r="I4" s="18"/>
    </row>
    <row r="5" spans="1:9" ht="15.75">
      <c r="A5" s="7" t="s">
        <v>124</v>
      </c>
      <c r="B5" s="18"/>
      <c r="C5" s="18"/>
      <c r="D5" s="18"/>
      <c r="E5" s="18"/>
      <c r="F5" s="22" t="s">
        <v>0</v>
      </c>
      <c r="G5" s="18"/>
      <c r="H5" s="18"/>
      <c r="I5" s="18"/>
    </row>
    <row r="6" spans="1:10" ht="15">
      <c r="A6" s="18" t="s">
        <v>39</v>
      </c>
      <c r="B6" s="18"/>
      <c r="C6" s="18"/>
      <c r="D6" s="18"/>
      <c r="E6" s="18"/>
      <c r="F6" s="111">
        <f>Details!E20</f>
        <v>290.7</v>
      </c>
      <c r="G6" s="18"/>
      <c r="H6" s="114">
        <f>ROUND(F6*Input!$E$14,0)</f>
        <v>145350</v>
      </c>
      <c r="I6" s="18"/>
      <c r="J6" s="25"/>
    </row>
    <row r="7" spans="1:10" ht="15">
      <c r="A7" s="18" t="s">
        <v>40</v>
      </c>
      <c r="B7" s="18"/>
      <c r="C7" s="18"/>
      <c r="D7" s="18"/>
      <c r="E7" s="18"/>
      <c r="F7" s="111">
        <f>Details!E27</f>
        <v>32.83</v>
      </c>
      <c r="G7" s="18"/>
      <c r="H7" s="114">
        <f>ROUND(F7*Input!$E$14,0)</f>
        <v>16415</v>
      </c>
      <c r="I7" s="18"/>
      <c r="J7" s="25"/>
    </row>
    <row r="8" spans="1:10" ht="15">
      <c r="A8" s="18" t="s">
        <v>166</v>
      </c>
      <c r="B8" s="18"/>
      <c r="C8" s="18"/>
      <c r="D8" s="18"/>
      <c r="E8" s="18"/>
      <c r="F8" s="112">
        <f>Details!E34</f>
        <v>22.1</v>
      </c>
      <c r="G8" s="52"/>
      <c r="H8" s="115">
        <f>ROUND(F8*Input!$E$14,0)</f>
        <v>11050</v>
      </c>
      <c r="I8" s="18"/>
      <c r="J8" s="25"/>
    </row>
    <row r="9" spans="1:10" ht="15.75">
      <c r="A9" s="7" t="s">
        <v>41</v>
      </c>
      <c r="B9" s="26"/>
      <c r="C9" s="26"/>
      <c r="D9" s="26"/>
      <c r="E9" s="26"/>
      <c r="F9" s="82">
        <f>SUM(F6:F8)</f>
        <v>345.63</v>
      </c>
      <c r="G9" s="26"/>
      <c r="H9" s="83">
        <f>SUM(H6:H8)</f>
        <v>172815</v>
      </c>
      <c r="I9" s="18"/>
      <c r="J9" s="25"/>
    </row>
    <row r="10" spans="1:9" ht="15.75">
      <c r="A10" s="7" t="s">
        <v>125</v>
      </c>
      <c r="B10" s="18"/>
      <c r="C10" s="18"/>
      <c r="D10" s="18"/>
      <c r="E10" s="18"/>
      <c r="F10" s="18"/>
      <c r="G10" s="18"/>
      <c r="H10" s="30"/>
      <c r="I10" s="18"/>
    </row>
    <row r="11" spans="1:10" ht="15">
      <c r="A11" s="18" t="s">
        <v>42</v>
      </c>
      <c r="B11" s="18"/>
      <c r="C11" s="18"/>
      <c r="D11" s="18"/>
      <c r="E11" s="18"/>
      <c r="F11" s="111">
        <f>Details!E52</f>
        <v>853.5</v>
      </c>
      <c r="G11" s="18"/>
      <c r="H11" s="114">
        <f>ROUND(F11*Input!$E$14,0)</f>
        <v>426750</v>
      </c>
      <c r="I11" s="18"/>
      <c r="J11" s="25"/>
    </row>
    <row r="12" spans="1:10" ht="15">
      <c r="A12" s="18" t="s">
        <v>43</v>
      </c>
      <c r="B12" s="18"/>
      <c r="C12" s="18"/>
      <c r="D12" s="18"/>
      <c r="E12" s="18"/>
      <c r="F12" s="111">
        <f>Details!E57</f>
        <v>5</v>
      </c>
      <c r="G12" s="18"/>
      <c r="H12" s="114">
        <f>ROUND(F12*Input!$E$14,0)</f>
        <v>2500</v>
      </c>
      <c r="I12" s="18"/>
      <c r="J12" s="25"/>
    </row>
    <row r="13" spans="1:10" ht="15">
      <c r="A13" s="18" t="s">
        <v>44</v>
      </c>
      <c r="B13" s="18"/>
      <c r="C13" s="18"/>
      <c r="D13" s="18"/>
      <c r="E13" s="18"/>
      <c r="F13" s="111">
        <f>Details!E81</f>
        <v>9.67</v>
      </c>
      <c r="G13" s="18"/>
      <c r="H13" s="114">
        <f>ROUND(F13*Input!$E$14,0)</f>
        <v>4835</v>
      </c>
      <c r="I13" s="18"/>
      <c r="J13" s="25"/>
    </row>
    <row r="14" spans="1:10" ht="15">
      <c r="A14" s="18" t="s">
        <v>287</v>
      </c>
      <c r="B14" s="18"/>
      <c r="C14" s="18"/>
      <c r="D14" s="18"/>
      <c r="E14" s="18"/>
      <c r="F14" s="111">
        <f>Details!E87</f>
        <v>5.7</v>
      </c>
      <c r="G14" s="18"/>
      <c r="H14" s="114">
        <f>ROUND(F14*Input!$E$14,0)</f>
        <v>2850</v>
      </c>
      <c r="I14" s="18"/>
      <c r="J14" s="25"/>
    </row>
    <row r="15" spans="1:10" ht="15">
      <c r="A15" s="18" t="s">
        <v>45</v>
      </c>
      <c r="B15" s="18"/>
      <c r="C15" s="18"/>
      <c r="D15" s="18"/>
      <c r="E15" s="18"/>
      <c r="F15" s="111">
        <f>Details!E92</f>
        <v>4</v>
      </c>
      <c r="G15" s="18"/>
      <c r="H15" s="114">
        <f>ROUND(F15*Input!$E$14,0)</f>
        <v>2000</v>
      </c>
      <c r="I15" s="18"/>
      <c r="J15" s="25"/>
    </row>
    <row r="16" spans="1:10" ht="15">
      <c r="A16" s="18" t="s">
        <v>235</v>
      </c>
      <c r="B16" s="18"/>
      <c r="C16" s="18"/>
      <c r="D16" s="18"/>
      <c r="E16" s="18"/>
      <c r="F16" s="111">
        <f>Details!E105</f>
        <v>102.41</v>
      </c>
      <c r="G16" s="18"/>
      <c r="H16" s="114">
        <f>ROUND(F16*Input!$E$14,0)</f>
        <v>51205</v>
      </c>
      <c r="I16" s="18"/>
      <c r="J16" s="25"/>
    </row>
    <row r="17" spans="1:10" ht="15">
      <c r="A17" s="18" t="s">
        <v>46</v>
      </c>
      <c r="B17" s="18"/>
      <c r="C17" s="18"/>
      <c r="D17" s="18"/>
      <c r="E17" s="18"/>
      <c r="F17" s="111">
        <f>Details!E126</f>
        <v>0.76</v>
      </c>
      <c r="G17" s="18"/>
      <c r="H17" s="114">
        <f>ROUND(F17*Input!$E$14,0)</f>
        <v>380</v>
      </c>
      <c r="I17" s="18"/>
      <c r="J17" s="25"/>
    </row>
    <row r="18" spans="1:10" ht="15">
      <c r="A18" s="18" t="s">
        <v>47</v>
      </c>
      <c r="B18" s="18"/>
      <c r="C18" s="18"/>
      <c r="D18" s="18"/>
      <c r="E18" s="18"/>
      <c r="F18" s="111">
        <f>Details!E131</f>
        <v>6.4</v>
      </c>
      <c r="G18" s="18"/>
      <c r="H18" s="114">
        <f>ROUND(F18*Input!$E$14,0)</f>
        <v>3200</v>
      </c>
      <c r="I18" s="18"/>
      <c r="J18" s="25"/>
    </row>
    <row r="19" spans="1:10" ht="15">
      <c r="A19" s="18" t="s">
        <v>48</v>
      </c>
      <c r="B19" s="18"/>
      <c r="C19" s="18"/>
      <c r="D19" s="18"/>
      <c r="E19" s="18"/>
      <c r="F19" s="111">
        <f>Details!E136</f>
        <v>2</v>
      </c>
      <c r="G19" s="18"/>
      <c r="H19" s="114">
        <f>ROUND(F19*Input!$E$14,0)</f>
        <v>1000</v>
      </c>
      <c r="I19" s="18"/>
      <c r="J19" s="25"/>
    </row>
    <row r="20" spans="1:10" ht="15">
      <c r="A20" s="18" t="s">
        <v>49</v>
      </c>
      <c r="B20" s="18"/>
      <c r="C20" s="18"/>
      <c r="D20" s="18"/>
      <c r="E20" s="18"/>
      <c r="F20" s="112">
        <f>Details!E144</f>
        <v>10.43</v>
      </c>
      <c r="G20" s="52"/>
      <c r="H20" s="115">
        <f>ROUND(F20*Input!$E$14,0)</f>
        <v>5215</v>
      </c>
      <c r="I20" s="18"/>
      <c r="J20" s="25"/>
    </row>
    <row r="21" spans="1:10" ht="15">
      <c r="A21" s="18" t="s">
        <v>227</v>
      </c>
      <c r="B21" s="18"/>
      <c r="C21" s="18"/>
      <c r="D21" s="18"/>
      <c r="E21" s="18"/>
      <c r="F21" s="111">
        <f>ROUND(SUM(F9:F20),2)</f>
        <v>1345.5</v>
      </c>
      <c r="G21" s="18"/>
      <c r="H21" s="114">
        <f>SUM(H9:H20)</f>
        <v>672750</v>
      </c>
      <c r="I21" s="18"/>
      <c r="J21" s="25"/>
    </row>
    <row r="22" spans="1:10" ht="15">
      <c r="A22" s="18" t="s">
        <v>50</v>
      </c>
      <c r="B22" s="18"/>
      <c r="C22" s="18"/>
      <c r="D22" s="18"/>
      <c r="E22" s="18"/>
      <c r="F22" s="112">
        <f>Details!E153</f>
        <v>33.32</v>
      </c>
      <c r="G22" s="52"/>
      <c r="H22" s="115">
        <f>ROUND(F22*Input!$E$14,0)</f>
        <v>16660</v>
      </c>
      <c r="I22" s="18"/>
      <c r="J22" s="25"/>
    </row>
    <row r="23" spans="1:10" ht="15.75">
      <c r="A23" s="7" t="s">
        <v>228</v>
      </c>
      <c r="B23" s="26"/>
      <c r="C23" s="26"/>
      <c r="D23" s="26"/>
      <c r="E23" s="26"/>
      <c r="F23" s="82">
        <f>F21+F22</f>
        <v>1378.82</v>
      </c>
      <c r="G23" s="26"/>
      <c r="H23" s="83">
        <f>SUM(H21+H22)</f>
        <v>689410</v>
      </c>
      <c r="I23" s="18"/>
      <c r="J23" s="25"/>
    </row>
    <row r="24" spans="1:9" ht="15.75">
      <c r="A24" s="7" t="s">
        <v>126</v>
      </c>
      <c r="B24" s="18"/>
      <c r="C24" s="18"/>
      <c r="D24" s="18"/>
      <c r="E24" s="18"/>
      <c r="F24" s="18"/>
      <c r="G24" s="18"/>
      <c r="H24" s="30"/>
      <c r="I24" s="18"/>
    </row>
    <row r="25" spans="1:9" ht="15.75">
      <c r="A25" s="26" t="s">
        <v>51</v>
      </c>
      <c r="B25" s="18"/>
      <c r="C25" s="18"/>
      <c r="D25" s="18"/>
      <c r="E25" s="18"/>
      <c r="F25" s="18"/>
      <c r="G25" s="18"/>
      <c r="H25" s="30"/>
      <c r="I25" s="18"/>
    </row>
    <row r="26" spans="1:10" ht="15">
      <c r="A26" s="18" t="s">
        <v>52</v>
      </c>
      <c r="B26" s="18"/>
      <c r="C26" s="18"/>
      <c r="D26" s="18"/>
      <c r="E26" s="18"/>
      <c r="F26" s="111">
        <f>Details!E187</f>
        <v>3.2</v>
      </c>
      <c r="G26" s="18"/>
      <c r="H26" s="114">
        <f>ROUND(F26*Input!$E$14,0)</f>
        <v>1600</v>
      </c>
      <c r="I26" s="18"/>
      <c r="J26" s="25"/>
    </row>
    <row r="27" spans="1:10" ht="15">
      <c r="A27" s="18" t="s">
        <v>53</v>
      </c>
      <c r="B27" s="18"/>
      <c r="C27" s="18"/>
      <c r="D27" s="18"/>
      <c r="E27" s="18"/>
      <c r="F27" s="111">
        <f>Details!E195</f>
        <v>6</v>
      </c>
      <c r="G27" s="18"/>
      <c r="H27" s="114">
        <f>ROUND(F27*Input!$E$14,0)</f>
        <v>3000</v>
      </c>
      <c r="I27" s="18"/>
      <c r="J27" s="25"/>
    </row>
    <row r="28" spans="1:9" ht="15.75">
      <c r="A28" s="26" t="s">
        <v>54</v>
      </c>
      <c r="B28" s="18"/>
      <c r="C28" s="18"/>
      <c r="D28" s="18"/>
      <c r="E28" s="18"/>
      <c r="F28" s="31" t="s">
        <v>0</v>
      </c>
      <c r="G28" s="18"/>
      <c r="H28" s="30" t="s">
        <v>0</v>
      </c>
      <c r="I28" s="18"/>
    </row>
    <row r="29" spans="1:10" ht="15">
      <c r="A29" s="18" t="s">
        <v>55</v>
      </c>
      <c r="B29" s="18"/>
      <c r="C29" s="18"/>
      <c r="D29" s="18"/>
      <c r="E29" s="18"/>
      <c r="F29" s="111">
        <f>Details!E206</f>
        <v>1.5656999999999999</v>
      </c>
      <c r="G29" s="18"/>
      <c r="H29" s="114">
        <f>ROUND(F29*Input!$E$14,0)</f>
        <v>783</v>
      </c>
      <c r="I29" s="18"/>
      <c r="J29" s="25"/>
    </row>
    <row r="30" spans="1:10" ht="15">
      <c r="A30" s="18" t="s">
        <v>56</v>
      </c>
      <c r="B30" s="18"/>
      <c r="C30" s="18"/>
      <c r="D30" s="18"/>
      <c r="E30" s="18"/>
      <c r="F30" s="112">
        <f>Details!E215</f>
        <v>1.8</v>
      </c>
      <c r="G30" s="52"/>
      <c r="H30" s="115">
        <f>ROUND(F30*Input!$E$14,0)</f>
        <v>900</v>
      </c>
      <c r="I30" s="18"/>
      <c r="J30" s="25"/>
    </row>
    <row r="31" spans="1:10" ht="15.75">
      <c r="A31" s="7" t="s">
        <v>127</v>
      </c>
      <c r="B31" s="18"/>
      <c r="C31" s="18"/>
      <c r="D31" s="18"/>
      <c r="E31" s="18"/>
      <c r="F31" s="96">
        <f>SUM(F26:F30)</f>
        <v>12.5657</v>
      </c>
      <c r="G31" s="45"/>
      <c r="H31" s="97">
        <f>SUM(H26:H30)</f>
        <v>6283</v>
      </c>
      <c r="I31" s="18"/>
      <c r="J31" s="25"/>
    </row>
    <row r="32" spans="1:10" ht="15.75">
      <c r="A32" s="7" t="s">
        <v>128</v>
      </c>
      <c r="B32" s="26"/>
      <c r="C32" s="26"/>
      <c r="D32" s="26"/>
      <c r="E32" s="18"/>
      <c r="F32" s="82">
        <f>SUM(F23+F31)</f>
        <v>1391.3857</v>
      </c>
      <c r="G32" s="26"/>
      <c r="H32" s="83">
        <f>H23+H31</f>
        <v>695693</v>
      </c>
      <c r="I32" s="18"/>
      <c r="J32" s="25"/>
    </row>
    <row r="33" spans="1:10" ht="15.75">
      <c r="A33" s="7" t="s">
        <v>244</v>
      </c>
      <c r="B33" s="18"/>
      <c r="C33" s="18"/>
      <c r="D33" s="18"/>
      <c r="E33" s="18"/>
      <c r="F33" s="113">
        <f>Details!E220</f>
        <v>13.75</v>
      </c>
      <c r="G33" s="26"/>
      <c r="H33" s="116">
        <f>F33*Input!E14</f>
        <v>6875</v>
      </c>
      <c r="I33" s="18"/>
      <c r="J33" s="25"/>
    </row>
    <row r="34" spans="1:10" ht="15.75">
      <c r="A34" s="7"/>
      <c r="B34" s="18"/>
      <c r="C34" s="18"/>
      <c r="D34" s="18"/>
      <c r="E34" s="18"/>
      <c r="F34" s="29"/>
      <c r="G34" s="26"/>
      <c r="H34" s="8"/>
      <c r="I34" s="18"/>
      <c r="J34" s="25"/>
    </row>
    <row r="35" spans="1:10" ht="15.75">
      <c r="A35" s="7" t="s">
        <v>129</v>
      </c>
      <c r="B35" s="18"/>
      <c r="C35" s="18"/>
      <c r="D35" s="18"/>
      <c r="E35" s="18"/>
      <c r="F35" s="82">
        <f>F32+F33</f>
        <v>1405.1357</v>
      </c>
      <c r="G35" s="26"/>
      <c r="H35" s="83">
        <f>H32+H33</f>
        <v>702568</v>
      </c>
      <c r="I35" s="18"/>
      <c r="J35" s="25"/>
    </row>
    <row r="36" spans="1:10" ht="15.75" thickBot="1">
      <c r="A36" s="32"/>
      <c r="B36" s="32"/>
      <c r="C36" s="32"/>
      <c r="D36" s="32"/>
      <c r="E36" s="32"/>
      <c r="F36" s="32"/>
      <c r="G36" s="32"/>
      <c r="H36" s="32"/>
      <c r="I36" s="32"/>
      <c r="J36" s="32"/>
    </row>
    <row r="37" spans="1:10" ht="15.75" thickTop="1">
      <c r="A37" s="18"/>
      <c r="B37" s="18"/>
      <c r="C37" s="18"/>
      <c r="D37" s="18"/>
      <c r="E37" s="18"/>
      <c r="F37" s="18"/>
      <c r="G37" s="18"/>
      <c r="H37" s="18"/>
      <c r="I37" s="18"/>
      <c r="J37" s="18"/>
    </row>
    <row r="38" spans="1:9" ht="15.75">
      <c r="A38" s="26" t="s">
        <v>134</v>
      </c>
      <c r="B38" s="18"/>
      <c r="C38" s="18"/>
      <c r="D38" s="18"/>
      <c r="E38" s="18"/>
      <c r="F38" s="79" t="s">
        <v>229</v>
      </c>
      <c r="G38" s="18"/>
      <c r="H38" s="18"/>
      <c r="I38" s="18"/>
    </row>
    <row r="39" spans="1:10" ht="15">
      <c r="A39" s="19" t="s">
        <v>136</v>
      </c>
      <c r="F39" s="84">
        <f>Breakeven!F7*100</f>
        <v>65.52227488151658</v>
      </c>
      <c r="J39" s="25"/>
    </row>
    <row r="40" spans="1:10" ht="15">
      <c r="A40" s="19" t="s">
        <v>135</v>
      </c>
      <c r="F40" s="84">
        <f>Breakeven!F12*100</f>
        <v>103.47298578199052</v>
      </c>
      <c r="J40" s="34"/>
    </row>
    <row r="41" spans="1:10" ht="15">
      <c r="A41" s="19" t="s">
        <v>167</v>
      </c>
      <c r="F41" s="84">
        <f>Breakeven!F17*100</f>
        <v>105.85510900473933</v>
      </c>
      <c r="J41" s="34"/>
    </row>
    <row r="42" spans="1:10" ht="15">
      <c r="A42" s="19" t="s">
        <v>137</v>
      </c>
      <c r="F42" s="84">
        <f>Breakeven!F22*100</f>
        <v>108.4617440758294</v>
      </c>
      <c r="J42" s="34"/>
    </row>
    <row r="43" spans="1:6" ht="15.75">
      <c r="A43" s="35" t="s">
        <v>66</v>
      </c>
      <c r="F43" s="36"/>
    </row>
    <row r="44" spans="1:10" ht="15">
      <c r="A44" s="19" t="s">
        <v>135</v>
      </c>
      <c r="F44" s="84">
        <f>Breakeven!F27*100</f>
        <v>100.09582577132485</v>
      </c>
      <c r="J44" s="25"/>
    </row>
    <row r="45" spans="1:10" ht="15">
      <c r="A45" s="19" t="s">
        <v>167</v>
      </c>
      <c r="F45" s="84">
        <f>Breakeven!F31*100</f>
        <v>101.00803629764066</v>
      </c>
      <c r="J45" s="34"/>
    </row>
    <row r="46" spans="1:10" ht="15">
      <c r="A46" s="19" t="s">
        <v>137</v>
      </c>
      <c r="F46" s="84">
        <f>Breakeven!F35*100</f>
        <v>102.00622141560798</v>
      </c>
      <c r="J46" s="34"/>
    </row>
    <row r="47" spans="1:8" ht="15.75">
      <c r="A47" s="35" t="str">
        <f>"Breakeven Purchase Price (base on $"&amp;Input!E19&amp;"/cwt market price)"</f>
        <v>Breakeven Purchase Price (base on $91/cwt market price)</v>
      </c>
      <c r="F47" s="68"/>
      <c r="H47" s="68"/>
    </row>
    <row r="48" spans="1:10" ht="15">
      <c r="A48" s="19" t="s">
        <v>135</v>
      </c>
      <c r="F48" s="84">
        <f>Breakeven!F44*100</f>
        <v>83.3129411764706</v>
      </c>
      <c r="J48" s="25"/>
    </row>
    <row r="49" spans="1:10" ht="15">
      <c r="A49" s="19" t="s">
        <v>167</v>
      </c>
      <c r="F49" s="84">
        <f>Breakeven!F51*100</f>
        <v>81.83462352941177</v>
      </c>
      <c r="J49" s="25"/>
    </row>
    <row r="50" spans="1:10" ht="15">
      <c r="A50" s="19" t="s">
        <v>137</v>
      </c>
      <c r="F50" s="84">
        <f>Breakeven!F58*100</f>
        <v>80.21697647058824</v>
      </c>
      <c r="J50" s="25"/>
    </row>
    <row r="51" ht="6" customHeight="1"/>
    <row r="52" spans="1:10" ht="54" customHeight="1">
      <c r="A52" s="166" t="s">
        <v>263</v>
      </c>
      <c r="B52" s="167"/>
      <c r="C52" s="167"/>
      <c r="D52" s="167"/>
      <c r="E52" s="167"/>
      <c r="F52" s="167"/>
      <c r="G52" s="167"/>
      <c r="H52" s="167"/>
      <c r="I52" s="167"/>
      <c r="J52" s="167"/>
    </row>
  </sheetData>
  <sheetProtection password="C7C6" sheet="1" objects="1" scenarios="1"/>
  <mergeCells count="2">
    <mergeCell ref="A2:J2"/>
    <mergeCell ref="A52:J52"/>
  </mergeCells>
  <printOptions horizontalCentered="1" verticalCentered="1"/>
  <pageMargins left="0.748031496062992" right="0.748031496062992" top="0.66" bottom="0.72" header="0.511811023622047" footer="0.31"/>
  <pageSetup firstPageNumber="2" useFirstPageNumber="1" fitToHeight="1" fitToWidth="1" horizontalDpi="180" verticalDpi="180" orientation="portrait" scale="84" r:id="rId1"/>
  <headerFooter alignWithMargins="0">
    <oddHeader>&amp;L&amp;9Guidelines: Shortkeep Cattle Production Cost&amp;R&amp;P</oddHeader>
    <oddFooter>&amp;R&amp;"Arial,Italic"&amp;9MAFRI, Policy Analysis Branch</oddFooter>
  </headerFooter>
  <ignoredErrors>
    <ignoredError sqref="F21" emptyCellReference="1"/>
    <ignoredError sqref="H21" emptyCellReference="1" formula="1"/>
  </ignoredErrors>
</worksheet>
</file>

<file path=xl/worksheets/sheet4.xml><?xml version="1.0" encoding="utf-8"?>
<worksheet xmlns="http://schemas.openxmlformats.org/spreadsheetml/2006/main" xmlns:r="http://schemas.openxmlformats.org/officeDocument/2006/relationships">
  <sheetPr codeName="Sheet3"/>
  <dimension ref="A1:K221"/>
  <sheetViews>
    <sheetView showGridLines="0" workbookViewId="0" topLeftCell="A1">
      <selection activeCell="A1" sqref="A1"/>
    </sheetView>
  </sheetViews>
  <sheetFormatPr defaultColWidth="8.88671875" defaultRowHeight="15" customHeight="1"/>
  <cols>
    <col min="1" max="1" width="2.6640625" style="38" customWidth="1"/>
    <col min="2" max="2" width="9.77734375" style="38" customWidth="1"/>
    <col min="3" max="3" width="13.99609375" style="38" customWidth="1"/>
    <col min="4" max="4" width="2.4453125" style="38" customWidth="1"/>
    <col min="5" max="5" width="13.6640625" style="38" customWidth="1"/>
    <col min="6" max="6" width="2.10546875" style="38" customWidth="1"/>
    <col min="7" max="7" width="9.88671875" style="38" customWidth="1"/>
    <col min="8" max="8" width="16.10546875" style="38" customWidth="1"/>
    <col min="9" max="9" width="12.4453125" style="38" customWidth="1"/>
    <col min="10" max="16384" width="9.77734375" style="38" customWidth="1"/>
  </cols>
  <sheetData>
    <row r="1" spans="1:11" ht="15" customHeight="1">
      <c r="A1" s="24"/>
      <c r="B1" s="37"/>
      <c r="C1" s="37"/>
      <c r="D1" s="37"/>
      <c r="E1" s="37"/>
      <c r="F1" s="37"/>
      <c r="G1" s="37"/>
      <c r="H1" s="37"/>
      <c r="I1" s="37"/>
      <c r="J1" s="37"/>
      <c r="K1" s="37"/>
    </row>
    <row r="2" spans="2:11" ht="15" customHeight="1">
      <c r="B2" s="168" t="s">
        <v>156</v>
      </c>
      <c r="C2" s="169"/>
      <c r="D2" s="169"/>
      <c r="E2" s="169"/>
      <c r="F2" s="169"/>
      <c r="G2" s="169"/>
      <c r="H2" s="169"/>
      <c r="I2" s="169"/>
      <c r="J2" s="37"/>
      <c r="K2" s="37"/>
    </row>
    <row r="3" spans="2:11" ht="15" customHeight="1">
      <c r="B3" s="37"/>
      <c r="C3" s="37"/>
      <c r="D3" s="37"/>
      <c r="E3" s="37"/>
      <c r="F3" s="37"/>
      <c r="G3" s="37"/>
      <c r="H3" s="37"/>
      <c r="I3" s="37"/>
      <c r="J3" s="37"/>
      <c r="K3" s="37"/>
    </row>
    <row r="4" spans="1:11" ht="15" customHeight="1">
      <c r="A4" s="19"/>
      <c r="B4" s="39" t="str">
        <f>"1.  Average daily gain (ADG) was assumed to be "&amp;Input!E23&amp;" lbs/day"</f>
        <v>1.  Average daily gain (ADG) was assumed to be 3.5 lbs/day</v>
      </c>
      <c r="C4" s="18"/>
      <c r="D4" s="18"/>
      <c r="E4" s="18"/>
      <c r="F4" s="18"/>
      <c r="G4" s="18"/>
      <c r="H4" s="18"/>
      <c r="I4" s="18"/>
      <c r="J4" s="37"/>
      <c r="K4" s="37"/>
    </row>
    <row r="5" spans="1:11" ht="15" customHeight="1">
      <c r="A5" s="19"/>
      <c r="B5" s="40" t="str">
        <f>"2.  It was assumed that the feeder steer weighed in at "&amp;Input!E16&amp;" lbs. shrunk weight,"</f>
        <v>2.  It was assumed that the feeder steer weighed in at 850 lbs. shrunk weight,</v>
      </c>
      <c r="C5" s="18"/>
      <c r="D5" s="18"/>
      <c r="E5" s="18"/>
      <c r="F5" s="18"/>
      <c r="G5" s="18"/>
      <c r="H5" s="18"/>
      <c r="I5" s="18"/>
      <c r="J5" s="37"/>
      <c r="K5" s="37"/>
    </row>
    <row r="6" spans="1:11" ht="15" customHeight="1">
      <c r="A6" s="19"/>
      <c r="B6" s="40" t="str">
        <f>"     finish weight was estimated at "&amp;Input!E18&amp;" lbs ("&amp;ROUND(Input!E18-(Input!E18*Input!E21/100),0)&amp;" after "&amp;Input!E21&amp;" % shrink)."</f>
        <v>     finish weight was estimated at 1450 lbs (1378 after 5 % shrink).</v>
      </c>
      <c r="C6" s="18"/>
      <c r="D6" s="18"/>
      <c r="E6" s="18"/>
      <c r="F6" s="122"/>
      <c r="G6" s="18"/>
      <c r="H6" s="18"/>
      <c r="I6" s="18"/>
      <c r="J6" s="37"/>
      <c r="K6" s="37"/>
    </row>
    <row r="7" spans="1:11" ht="15" customHeight="1">
      <c r="A7" s="19"/>
      <c r="B7" s="41" t="str">
        <f>"3.  Days on feed:"&amp;Input!E25&amp;"days."</f>
        <v>3.  Days on feed:171days.</v>
      </c>
      <c r="C7" s="18"/>
      <c r="D7" s="18"/>
      <c r="E7" s="18"/>
      <c r="F7" s="19"/>
      <c r="G7" s="18"/>
      <c r="H7" s="18"/>
      <c r="I7" s="18"/>
      <c r="J7" s="37"/>
      <c r="K7" s="37"/>
    </row>
    <row r="8" spans="1:11" ht="15" customHeight="1">
      <c r="A8" s="19"/>
      <c r="B8" s="42" t="s">
        <v>163</v>
      </c>
      <c r="C8" s="18"/>
      <c r="D8" s="18"/>
      <c r="E8" s="18"/>
      <c r="F8" s="18"/>
      <c r="G8" s="18"/>
      <c r="H8" s="18"/>
      <c r="I8" s="18"/>
      <c r="J8" s="37"/>
      <c r="K8" s="37"/>
    </row>
    <row r="9" spans="1:11" ht="15" customHeight="1">
      <c r="A9" s="19"/>
      <c r="B9" s="43" t="str">
        <f>"     "&amp;Input!E14&amp;" head at a time or with 2 turns "&amp;Input!E14*2&amp;" head over the year."</f>
        <v>     500 head at a time or with 2 turns 1000 head over the year.</v>
      </c>
      <c r="C9" s="18"/>
      <c r="D9" s="18"/>
      <c r="E9" s="18"/>
      <c r="F9" s="18"/>
      <c r="G9" s="18"/>
      <c r="H9" s="18"/>
      <c r="I9" s="18"/>
      <c r="J9" s="37"/>
      <c r="K9" s="37"/>
    </row>
    <row r="10" spans="1:11" ht="10.5" customHeight="1">
      <c r="A10" s="19"/>
      <c r="B10" s="19"/>
      <c r="C10" s="19"/>
      <c r="D10" s="19"/>
      <c r="E10" s="19"/>
      <c r="F10" s="19"/>
      <c r="G10" s="19"/>
      <c r="H10" s="19"/>
      <c r="I10" s="19"/>
      <c r="J10" s="37"/>
      <c r="K10" s="37"/>
    </row>
    <row r="11" spans="1:11" ht="19.5" customHeight="1">
      <c r="A11" s="173" t="s">
        <v>130</v>
      </c>
      <c r="B11" s="174"/>
      <c r="C11" s="174"/>
      <c r="D11" s="174"/>
      <c r="E11" s="174"/>
      <c r="F11" s="175"/>
      <c r="G11" s="174"/>
      <c r="H11" s="174"/>
      <c r="I11" s="174"/>
      <c r="J11" s="37"/>
      <c r="K11" s="37"/>
    </row>
    <row r="12" spans="1:11" ht="15" customHeight="1">
      <c r="A12" s="44" t="s">
        <v>123</v>
      </c>
      <c r="B12" s="19"/>
      <c r="C12" s="18"/>
      <c r="D12" s="18"/>
      <c r="E12" s="18"/>
      <c r="F12" s="18"/>
      <c r="G12" s="18"/>
      <c r="H12" s="18"/>
      <c r="I12" s="45" t="s">
        <v>121</v>
      </c>
      <c r="J12" s="37"/>
      <c r="K12" s="37"/>
    </row>
    <row r="13" spans="1:11" ht="15" customHeight="1">
      <c r="A13" s="19"/>
      <c r="B13" s="18"/>
      <c r="C13" s="18"/>
      <c r="D13" s="18"/>
      <c r="E13" s="18"/>
      <c r="F13" s="18"/>
      <c r="G13" s="18"/>
      <c r="H13" s="18"/>
      <c r="I13" s="18"/>
      <c r="J13" s="37"/>
      <c r="K13" s="37"/>
    </row>
    <row r="14" spans="1:11" ht="15" customHeight="1">
      <c r="A14" s="19"/>
      <c r="B14" s="44" t="s">
        <v>124</v>
      </c>
      <c r="C14" s="18"/>
      <c r="D14" s="18"/>
      <c r="E14" s="18"/>
      <c r="F14" s="18"/>
      <c r="G14" s="18"/>
      <c r="H14" s="18"/>
      <c r="I14" s="18"/>
      <c r="J14" s="37"/>
      <c r="K14" s="37"/>
    </row>
    <row r="15" spans="1:11" ht="15" customHeight="1">
      <c r="A15" s="19"/>
      <c r="B15" s="44" t="s">
        <v>39</v>
      </c>
      <c r="C15" s="18"/>
      <c r="D15" s="18"/>
      <c r="E15" s="18"/>
      <c r="F15" s="18"/>
      <c r="G15" s="18"/>
      <c r="H15" s="18"/>
      <c r="I15" s="18"/>
      <c r="J15" s="37"/>
      <c r="K15" s="37"/>
    </row>
    <row r="16" spans="1:11" ht="15" customHeight="1">
      <c r="A16" s="19"/>
      <c r="B16" s="18"/>
      <c r="C16" s="18"/>
      <c r="D16" s="18"/>
      <c r="E16" s="117">
        <f>Input!E25</f>
        <v>171</v>
      </c>
      <c r="F16" s="122"/>
      <c r="G16" s="18" t="s">
        <v>143</v>
      </c>
      <c r="H16" s="18"/>
      <c r="I16" s="25"/>
      <c r="J16" s="37"/>
      <c r="K16" s="37"/>
    </row>
    <row r="17" spans="1:11" ht="15" customHeight="1">
      <c r="A17" s="19"/>
      <c r="B17" s="18"/>
      <c r="C17" s="18"/>
      <c r="D17" s="18" t="s">
        <v>69</v>
      </c>
      <c r="E17" s="118">
        <f>Input!E31</f>
        <v>24</v>
      </c>
      <c r="F17" s="18"/>
      <c r="G17" s="18" t="s">
        <v>70</v>
      </c>
      <c r="H17" s="18"/>
      <c r="I17" s="34"/>
      <c r="J17" s="37"/>
      <c r="K17" s="37"/>
    </row>
    <row r="18" spans="1:11" ht="15" customHeight="1">
      <c r="A18" s="19"/>
      <c r="B18" s="46"/>
      <c r="C18" s="46"/>
      <c r="D18" s="46" t="s">
        <v>59</v>
      </c>
      <c r="E18" s="119">
        <v>48</v>
      </c>
      <c r="F18" s="46"/>
      <c r="G18" s="46" t="s">
        <v>198</v>
      </c>
      <c r="H18" s="46"/>
      <c r="I18" s="47"/>
      <c r="J18" s="48"/>
      <c r="K18" s="37"/>
    </row>
    <row r="19" spans="1:11" ht="15" customHeight="1">
      <c r="A19" s="19"/>
      <c r="B19" s="18"/>
      <c r="C19" s="18"/>
      <c r="D19" s="49" t="s">
        <v>69</v>
      </c>
      <c r="E19" s="85">
        <f>Input!C31</f>
        <v>3.4</v>
      </c>
      <c r="F19" s="46"/>
      <c r="G19" s="49" t="s">
        <v>199</v>
      </c>
      <c r="H19" s="49"/>
      <c r="I19" s="25"/>
      <c r="J19" s="37"/>
      <c r="K19" s="37"/>
    </row>
    <row r="20" spans="1:11" ht="15" customHeight="1">
      <c r="A20" s="19"/>
      <c r="B20" s="18"/>
      <c r="C20" s="18"/>
      <c r="D20" s="44" t="s">
        <v>61</v>
      </c>
      <c r="E20" s="82">
        <f>ROUND(E16*E17/48*E19,2)</f>
        <v>290.7</v>
      </c>
      <c r="F20" s="44"/>
      <c r="G20" s="44" t="s">
        <v>71</v>
      </c>
      <c r="H20" s="44"/>
      <c r="I20" s="34"/>
      <c r="J20" s="37"/>
      <c r="K20" s="37"/>
    </row>
    <row r="21" spans="1:11" ht="15" customHeight="1">
      <c r="A21" s="19"/>
      <c r="B21" s="18"/>
      <c r="C21" s="18"/>
      <c r="D21" s="18"/>
      <c r="E21" s="18"/>
      <c r="F21" s="122"/>
      <c r="G21" s="18"/>
      <c r="H21" s="18"/>
      <c r="I21" s="18"/>
      <c r="J21" s="37"/>
      <c r="K21" s="37"/>
    </row>
    <row r="22" spans="1:11" ht="15" customHeight="1">
      <c r="A22" s="19"/>
      <c r="B22" s="44" t="s">
        <v>72</v>
      </c>
      <c r="C22" s="18"/>
      <c r="D22" s="18"/>
      <c r="E22" s="18"/>
      <c r="F22" s="18"/>
      <c r="G22" s="18"/>
      <c r="H22" s="18"/>
      <c r="I22" s="18"/>
      <c r="J22" s="37"/>
      <c r="K22" s="37"/>
    </row>
    <row r="23" spans="1:11" ht="15" customHeight="1">
      <c r="A23" s="19"/>
      <c r="B23" s="18"/>
      <c r="C23" s="18"/>
      <c r="D23" s="18"/>
      <c r="E23" s="117">
        <f>Input!E25</f>
        <v>171</v>
      </c>
      <c r="F23" s="18"/>
      <c r="G23" s="18" t="s">
        <v>73</v>
      </c>
      <c r="H23" s="18"/>
      <c r="I23" s="25"/>
      <c r="J23" s="37"/>
      <c r="K23" s="37"/>
    </row>
    <row r="24" spans="1:11" ht="15" customHeight="1">
      <c r="A24" s="19"/>
      <c r="B24" s="18"/>
      <c r="C24" s="18"/>
      <c r="D24" s="18" t="s">
        <v>69</v>
      </c>
      <c r="E24" s="118">
        <f>Input!E32</f>
        <v>12</v>
      </c>
      <c r="F24" s="18"/>
      <c r="G24" s="18" t="s">
        <v>70</v>
      </c>
      <c r="H24" s="18"/>
      <c r="I24" s="34"/>
      <c r="J24" s="37"/>
      <c r="K24" s="37"/>
    </row>
    <row r="25" spans="1:11" ht="15" customHeight="1">
      <c r="A25" s="19"/>
      <c r="B25" s="18"/>
      <c r="C25" s="18"/>
      <c r="D25" s="46" t="s">
        <v>59</v>
      </c>
      <c r="E25" s="117">
        <v>2000</v>
      </c>
      <c r="F25" s="18"/>
      <c r="G25" s="46" t="s">
        <v>200</v>
      </c>
      <c r="H25" s="46"/>
      <c r="I25" s="34"/>
      <c r="J25" s="37"/>
      <c r="K25" s="37"/>
    </row>
    <row r="26" spans="1:11" ht="15" customHeight="1">
      <c r="A26" s="19"/>
      <c r="B26" s="18"/>
      <c r="C26" s="18"/>
      <c r="D26" s="49" t="s">
        <v>69</v>
      </c>
      <c r="E26" s="85">
        <f>Input!C32</f>
        <v>32</v>
      </c>
      <c r="F26" s="122"/>
      <c r="G26" s="49" t="s">
        <v>82</v>
      </c>
      <c r="H26" s="49"/>
      <c r="I26" s="34"/>
      <c r="J26" s="37"/>
      <c r="K26" s="37"/>
    </row>
    <row r="27" spans="1:11" ht="15" customHeight="1">
      <c r="A27" s="19"/>
      <c r="B27" s="18"/>
      <c r="C27" s="18"/>
      <c r="D27" s="44" t="s">
        <v>61</v>
      </c>
      <c r="E27" s="82">
        <f>ROUND(E26*(E23*E24/2000),2)</f>
        <v>32.83</v>
      </c>
      <c r="F27" s="44"/>
      <c r="G27" s="44" t="s">
        <v>71</v>
      </c>
      <c r="H27" s="44"/>
      <c r="I27" s="34"/>
      <c r="J27" s="37"/>
      <c r="K27" s="37"/>
    </row>
    <row r="28" spans="1:11" ht="15" customHeight="1">
      <c r="A28" s="19"/>
      <c r="B28" s="18"/>
      <c r="C28" s="18"/>
      <c r="D28" s="18"/>
      <c r="E28" s="18"/>
      <c r="F28" s="18"/>
      <c r="G28" s="18"/>
      <c r="H28" s="18"/>
      <c r="I28" s="18"/>
      <c r="J28" s="37"/>
      <c r="K28" s="37"/>
    </row>
    <row r="29" spans="1:11" ht="15" customHeight="1">
      <c r="A29" s="19"/>
      <c r="B29" s="44" t="s">
        <v>230</v>
      </c>
      <c r="C29" s="18"/>
      <c r="D29" s="18"/>
      <c r="E29" s="18"/>
      <c r="F29" s="18"/>
      <c r="G29" s="18"/>
      <c r="H29" s="18"/>
      <c r="I29" s="18"/>
      <c r="J29" s="37"/>
      <c r="K29" s="37"/>
    </row>
    <row r="30" spans="1:11" ht="15" customHeight="1">
      <c r="A30" s="19"/>
      <c r="B30" s="44"/>
      <c r="C30" s="18"/>
      <c r="D30" s="18"/>
      <c r="E30" s="117">
        <f>Input!H36</f>
        <v>171</v>
      </c>
      <c r="F30" s="122"/>
      <c r="G30" s="18" t="s">
        <v>165</v>
      </c>
      <c r="H30" s="18"/>
      <c r="I30" s="25"/>
      <c r="J30" s="37"/>
      <c r="K30" s="37"/>
    </row>
    <row r="31" spans="1:11" ht="15" customHeight="1">
      <c r="A31" s="19"/>
      <c r="B31" s="44"/>
      <c r="C31" s="18"/>
      <c r="D31" s="18" t="s">
        <v>69</v>
      </c>
      <c r="E31" s="120">
        <f>Input!E36</f>
        <v>1</v>
      </c>
      <c r="F31" s="18"/>
      <c r="G31" s="18" t="s">
        <v>70</v>
      </c>
      <c r="H31" s="18"/>
      <c r="I31" s="25"/>
      <c r="J31" s="37"/>
      <c r="K31" s="37"/>
    </row>
    <row r="32" spans="1:11" ht="15" customHeight="1">
      <c r="A32" s="19"/>
      <c r="B32" s="44"/>
      <c r="C32" s="18"/>
      <c r="D32" s="46" t="s">
        <v>59</v>
      </c>
      <c r="E32" s="117">
        <v>2205</v>
      </c>
      <c r="F32" s="18"/>
      <c r="G32" s="46" t="s">
        <v>272</v>
      </c>
      <c r="H32" s="18"/>
      <c r="I32" s="25"/>
      <c r="J32" s="37"/>
      <c r="K32" s="37"/>
    </row>
    <row r="33" spans="1:11" ht="15" customHeight="1">
      <c r="A33" s="19"/>
      <c r="B33" s="18"/>
      <c r="C33" s="18"/>
      <c r="D33" s="49" t="s">
        <v>69</v>
      </c>
      <c r="E33" s="85">
        <f>Input!C36</f>
        <v>285</v>
      </c>
      <c r="F33" s="46"/>
      <c r="G33" s="49" t="s">
        <v>273</v>
      </c>
      <c r="H33" s="49"/>
      <c r="I33" s="47"/>
      <c r="J33" s="37"/>
      <c r="K33" s="37"/>
    </row>
    <row r="34" spans="1:11" ht="15" customHeight="1">
      <c r="A34" s="19"/>
      <c r="B34" s="18"/>
      <c r="C34" s="18"/>
      <c r="D34" s="44" t="s">
        <v>61</v>
      </c>
      <c r="E34" s="82">
        <f>ROUND(E30*E31*(E33/E32),2)</f>
        <v>22.1</v>
      </c>
      <c r="F34" s="133"/>
      <c r="G34" s="44" t="s">
        <v>71</v>
      </c>
      <c r="H34" s="44"/>
      <c r="I34" s="50"/>
      <c r="J34" s="37"/>
      <c r="K34" s="37"/>
    </row>
    <row r="35" spans="1:11" ht="15" customHeight="1">
      <c r="A35" s="19"/>
      <c r="B35" s="18"/>
      <c r="C35" s="18"/>
      <c r="D35" s="18"/>
      <c r="E35" s="18"/>
      <c r="F35" s="18"/>
      <c r="G35" s="18"/>
      <c r="H35" s="18"/>
      <c r="I35" s="18"/>
      <c r="J35" s="37"/>
      <c r="K35" s="37"/>
    </row>
    <row r="36" spans="1:11" ht="15" customHeight="1">
      <c r="A36" s="19"/>
      <c r="B36" s="44" t="s">
        <v>125</v>
      </c>
      <c r="C36" s="18"/>
      <c r="D36" s="18"/>
      <c r="E36" s="18"/>
      <c r="F36" s="18"/>
      <c r="G36" s="18"/>
      <c r="H36" s="18"/>
      <c r="I36" s="18"/>
      <c r="J36" s="37"/>
      <c r="K36" s="37"/>
    </row>
    <row r="37" spans="1:11" ht="15" customHeight="1">
      <c r="A37" s="19"/>
      <c r="B37" s="18"/>
      <c r="C37" s="18"/>
      <c r="D37" s="18"/>
      <c r="E37" s="18"/>
      <c r="F37" s="18"/>
      <c r="G37" s="18"/>
      <c r="H37" s="18"/>
      <c r="I37" s="18"/>
      <c r="J37" s="37"/>
      <c r="K37" s="37"/>
    </row>
    <row r="38" spans="1:11" ht="15" customHeight="1">
      <c r="A38" s="19"/>
      <c r="B38" s="44" t="s">
        <v>74</v>
      </c>
      <c r="C38" s="18"/>
      <c r="D38" s="18"/>
      <c r="E38" s="18"/>
      <c r="F38" s="18"/>
      <c r="G38" s="18"/>
      <c r="H38" s="18"/>
      <c r="I38" s="18"/>
      <c r="J38" s="37"/>
      <c r="K38" s="37"/>
    </row>
    <row r="39" spans="1:11" ht="15" customHeight="1">
      <c r="A39" s="19"/>
      <c r="B39" s="18"/>
      <c r="C39" s="18" t="s">
        <v>75</v>
      </c>
      <c r="D39" s="18"/>
      <c r="E39" s="84">
        <f>Input!E45</f>
        <v>6.75</v>
      </c>
      <c r="F39" s="122"/>
      <c r="G39" s="18" t="s">
        <v>71</v>
      </c>
      <c r="H39" s="18"/>
      <c r="I39" s="25"/>
      <c r="J39" s="37"/>
      <c r="K39" s="37"/>
    </row>
    <row r="40" spans="1:11" ht="15" customHeight="1">
      <c r="A40" s="19"/>
      <c r="B40" s="18"/>
      <c r="C40" s="18" t="s">
        <v>294</v>
      </c>
      <c r="D40" s="18"/>
      <c r="E40" s="84">
        <f>Input!E47</f>
        <v>1</v>
      </c>
      <c r="F40" s="122"/>
      <c r="G40" s="18" t="s">
        <v>71</v>
      </c>
      <c r="H40" s="18"/>
      <c r="I40" s="18"/>
      <c r="J40" s="37"/>
      <c r="K40" s="37"/>
    </row>
    <row r="41" spans="1:11" ht="15" customHeight="1">
      <c r="A41" s="19"/>
      <c r="B41" s="18"/>
      <c r="C41" s="18"/>
      <c r="D41" s="18"/>
      <c r="E41" s="18"/>
      <c r="F41" s="18"/>
      <c r="G41" s="18"/>
      <c r="H41" s="18"/>
      <c r="I41" s="18"/>
      <c r="J41" s="37"/>
      <c r="K41" s="37"/>
    </row>
    <row r="42" spans="1:11" ht="15" customHeight="1">
      <c r="A42" s="19"/>
      <c r="B42" s="18"/>
      <c r="C42" s="18" t="s">
        <v>76</v>
      </c>
      <c r="D42" s="18"/>
      <c r="E42" s="84">
        <f>Input!E46</f>
        <v>1.5</v>
      </c>
      <c r="F42" s="18"/>
      <c r="G42" s="18" t="s">
        <v>178</v>
      </c>
      <c r="H42" s="18"/>
      <c r="I42" s="25"/>
      <c r="J42" s="37"/>
      <c r="K42" s="37"/>
    </row>
    <row r="43" spans="1:11" ht="15" customHeight="1">
      <c r="A43" s="19"/>
      <c r="B43" s="18"/>
      <c r="C43" s="18"/>
      <c r="D43" s="18" t="s">
        <v>69</v>
      </c>
      <c r="E43" s="117">
        <f>Input!E16</f>
        <v>850</v>
      </c>
      <c r="F43" s="18"/>
      <c r="G43" s="18" t="s">
        <v>77</v>
      </c>
      <c r="H43" s="18"/>
      <c r="I43" s="34"/>
      <c r="J43" s="37"/>
      <c r="K43" s="37"/>
    </row>
    <row r="44" spans="1:11" ht="15" customHeight="1">
      <c r="A44" s="19"/>
      <c r="B44" s="18"/>
      <c r="C44" s="18"/>
      <c r="D44" s="49" t="s">
        <v>59</v>
      </c>
      <c r="E44" s="121">
        <v>100</v>
      </c>
      <c r="F44" s="122"/>
      <c r="G44" s="49" t="s">
        <v>144</v>
      </c>
      <c r="H44" s="49"/>
      <c r="I44" s="47" t="s">
        <v>0</v>
      </c>
      <c r="J44" s="37"/>
      <c r="K44" s="37"/>
    </row>
    <row r="45" spans="1:11" ht="15" customHeight="1">
      <c r="A45" s="19"/>
      <c r="B45" s="18"/>
      <c r="C45" s="18"/>
      <c r="D45" s="18" t="s">
        <v>61</v>
      </c>
      <c r="E45" s="84">
        <f>E42*E43/E44</f>
        <v>12.75</v>
      </c>
      <c r="F45" s="18"/>
      <c r="G45" s="18" t="s">
        <v>71</v>
      </c>
      <c r="H45" s="18"/>
      <c r="I45" s="34"/>
      <c r="J45" s="37"/>
      <c r="K45" s="37"/>
    </row>
    <row r="46" spans="1:11" ht="15" customHeight="1">
      <c r="A46" s="19"/>
      <c r="B46" s="18"/>
      <c r="C46" s="18"/>
      <c r="D46" s="18"/>
      <c r="E46" s="18"/>
      <c r="F46" s="18"/>
      <c r="G46" s="18"/>
      <c r="H46" s="18"/>
      <c r="I46" s="18"/>
      <c r="J46" s="37"/>
      <c r="K46" s="37"/>
    </row>
    <row r="47" spans="1:11" ht="15" customHeight="1">
      <c r="A47" s="19"/>
      <c r="B47" s="18"/>
      <c r="C47" s="18" t="s">
        <v>78</v>
      </c>
      <c r="D47" s="18"/>
      <c r="E47" s="117">
        <f>Input!E16</f>
        <v>850</v>
      </c>
      <c r="F47" s="122"/>
      <c r="G47" s="18" t="s">
        <v>77</v>
      </c>
      <c r="H47" s="18"/>
      <c r="I47" s="25"/>
      <c r="J47" s="37"/>
      <c r="K47" s="37"/>
    </row>
    <row r="48" spans="1:11" ht="15" customHeight="1">
      <c r="A48" s="19"/>
      <c r="B48" s="18"/>
      <c r="C48" s="18"/>
      <c r="D48" s="18" t="s">
        <v>69</v>
      </c>
      <c r="E48" s="84">
        <f>Input!E17</f>
        <v>98</v>
      </c>
      <c r="F48" s="18"/>
      <c r="G48" s="18" t="s">
        <v>178</v>
      </c>
      <c r="H48" s="18"/>
      <c r="I48" s="34"/>
      <c r="J48" s="37"/>
      <c r="K48" s="37"/>
    </row>
    <row r="49" spans="1:11" ht="15" customHeight="1">
      <c r="A49" s="19"/>
      <c r="B49" s="18"/>
      <c r="C49" s="18"/>
      <c r="D49" s="49" t="s">
        <v>59</v>
      </c>
      <c r="E49" s="121">
        <v>100</v>
      </c>
      <c r="F49" s="46"/>
      <c r="G49" s="49" t="s">
        <v>144</v>
      </c>
      <c r="H49" s="49"/>
      <c r="I49" s="47" t="s">
        <v>0</v>
      </c>
      <c r="J49" s="37"/>
      <c r="K49" s="37"/>
    </row>
    <row r="50" spans="1:11" ht="15" customHeight="1">
      <c r="A50" s="19"/>
      <c r="B50" s="18"/>
      <c r="C50" s="18"/>
      <c r="D50" s="18" t="s">
        <v>61</v>
      </c>
      <c r="E50" s="84">
        <f>E47/100*E48</f>
        <v>833</v>
      </c>
      <c r="F50" s="18"/>
      <c r="G50" s="18" t="s">
        <v>71</v>
      </c>
      <c r="H50" s="18"/>
      <c r="I50" s="34"/>
      <c r="J50" s="37"/>
      <c r="K50" s="37"/>
    </row>
    <row r="51" spans="1:11" ht="15" customHeight="1">
      <c r="A51" s="19"/>
      <c r="B51" s="18"/>
      <c r="C51" s="18"/>
      <c r="D51" s="18"/>
      <c r="E51" s="18"/>
      <c r="F51" s="122"/>
      <c r="G51" s="18"/>
      <c r="H51" s="18"/>
      <c r="I51" s="18"/>
      <c r="J51" s="37"/>
      <c r="K51" s="37"/>
    </row>
    <row r="52" spans="1:11" ht="15" customHeight="1">
      <c r="A52" s="19"/>
      <c r="B52" s="18"/>
      <c r="C52" s="44" t="s">
        <v>79</v>
      </c>
      <c r="D52" s="7" t="s">
        <v>61</v>
      </c>
      <c r="E52" s="82">
        <f>ROUND(E39+E40+E45+E50,2)</f>
        <v>853.5</v>
      </c>
      <c r="F52" s="44"/>
      <c r="G52" s="44" t="s">
        <v>71</v>
      </c>
      <c r="H52" s="44"/>
      <c r="I52" s="25"/>
      <c r="J52" s="37"/>
      <c r="K52" s="37"/>
    </row>
    <row r="53" spans="1:11" ht="15" customHeight="1">
      <c r="A53" s="19"/>
      <c r="B53" s="18"/>
      <c r="C53" s="18"/>
      <c r="D53" s="18"/>
      <c r="E53" s="18"/>
      <c r="F53" s="18"/>
      <c r="G53" s="18"/>
      <c r="H53" s="18"/>
      <c r="I53" s="18"/>
      <c r="J53" s="37"/>
      <c r="K53" s="37"/>
    </row>
    <row r="54" spans="1:11" ht="15" customHeight="1">
      <c r="A54" s="19"/>
      <c r="B54" s="44" t="s">
        <v>80</v>
      </c>
      <c r="C54" s="18"/>
      <c r="D54" s="18"/>
      <c r="E54" s="18"/>
      <c r="F54" s="122"/>
      <c r="G54" s="18"/>
      <c r="H54" s="18"/>
      <c r="I54" s="18"/>
      <c r="J54" s="37"/>
      <c r="K54" s="37"/>
    </row>
    <row r="55" spans="1:11" ht="15" customHeight="1">
      <c r="A55" s="19"/>
      <c r="B55" s="18"/>
      <c r="C55" s="18"/>
      <c r="D55" s="18"/>
      <c r="E55" s="120">
        <f>Input!E50</f>
        <v>0.25</v>
      </c>
      <c r="F55" s="18"/>
      <c r="G55" s="18" t="s">
        <v>81</v>
      </c>
      <c r="H55" s="18"/>
      <c r="I55" s="25"/>
      <c r="J55" s="37"/>
      <c r="K55" s="37"/>
    </row>
    <row r="56" spans="1:11" ht="15" customHeight="1">
      <c r="A56" s="19"/>
      <c r="B56" s="18"/>
      <c r="C56" s="18"/>
      <c r="D56" s="49" t="s">
        <v>69</v>
      </c>
      <c r="E56" s="85">
        <f>Input!E51</f>
        <v>20</v>
      </c>
      <c r="F56" s="46"/>
      <c r="G56" s="49" t="s">
        <v>82</v>
      </c>
      <c r="H56" s="49"/>
      <c r="I56" s="34"/>
      <c r="J56" s="37"/>
      <c r="K56" s="37"/>
    </row>
    <row r="57" spans="1:11" ht="15" customHeight="1">
      <c r="A57" s="19"/>
      <c r="B57" s="18"/>
      <c r="C57" s="18"/>
      <c r="D57" s="44" t="s">
        <v>61</v>
      </c>
      <c r="E57" s="82">
        <f>ROUND(E55*E56,2)</f>
        <v>5</v>
      </c>
      <c r="F57" s="18"/>
      <c r="G57" s="44" t="s">
        <v>71</v>
      </c>
      <c r="H57" s="44"/>
      <c r="I57" s="34"/>
      <c r="J57" s="37"/>
      <c r="K57" s="37"/>
    </row>
    <row r="58" spans="1:11" ht="15" customHeight="1">
      <c r="A58" s="19"/>
      <c r="B58" s="18"/>
      <c r="C58" s="18"/>
      <c r="D58" s="18"/>
      <c r="E58" s="18"/>
      <c r="F58" s="122"/>
      <c r="G58" s="18"/>
      <c r="H58" s="18"/>
      <c r="I58" s="18"/>
      <c r="J58" s="37"/>
      <c r="K58" s="37"/>
    </row>
    <row r="59" spans="1:11" ht="15" customHeight="1">
      <c r="A59" s="19"/>
      <c r="B59" s="44" t="s">
        <v>83</v>
      </c>
      <c r="C59" s="18"/>
      <c r="D59" s="18"/>
      <c r="E59" s="18"/>
      <c r="F59" s="18"/>
      <c r="G59" s="18"/>
      <c r="H59" s="18"/>
      <c r="I59" s="18"/>
      <c r="J59" s="37"/>
      <c r="K59" s="37"/>
    </row>
    <row r="60" spans="1:11" ht="15" customHeight="1">
      <c r="A60" s="19"/>
      <c r="B60" s="18"/>
      <c r="C60" s="18" t="s">
        <v>131</v>
      </c>
      <c r="D60" s="18"/>
      <c r="E60" s="18"/>
      <c r="F60" s="18"/>
      <c r="G60" s="18"/>
      <c r="H60" s="18"/>
      <c r="I60" s="18"/>
      <c r="J60" s="37"/>
      <c r="K60" s="37"/>
    </row>
    <row r="61" spans="1:11" ht="15" customHeight="1">
      <c r="A61" s="19"/>
      <c r="B61" s="18"/>
      <c r="C61" s="18"/>
      <c r="D61" s="18" t="s">
        <v>84</v>
      </c>
      <c r="E61" s="84">
        <f>Input!E55</f>
        <v>0.65</v>
      </c>
      <c r="F61" s="18"/>
      <c r="G61" s="19" t="s">
        <v>160</v>
      </c>
      <c r="H61" s="19"/>
      <c r="I61" s="25"/>
      <c r="J61" s="37"/>
      <c r="K61" s="37"/>
    </row>
    <row r="62" spans="1:11" ht="15" customHeight="1">
      <c r="A62" s="19"/>
      <c r="B62" s="18"/>
      <c r="C62" s="18"/>
      <c r="D62" s="18" t="s">
        <v>84</v>
      </c>
      <c r="E62" s="84">
        <f>Input!E56</f>
        <v>3.255</v>
      </c>
      <c r="F62" s="18"/>
      <c r="G62" s="19" t="s">
        <v>161</v>
      </c>
      <c r="H62" s="19"/>
      <c r="I62" s="25"/>
      <c r="J62" s="37"/>
      <c r="K62" s="37"/>
    </row>
    <row r="63" spans="1:11" ht="15" customHeight="1">
      <c r="A63" s="19"/>
      <c r="B63" s="18"/>
      <c r="C63" s="18"/>
      <c r="D63" s="18" t="s">
        <v>84</v>
      </c>
      <c r="E63" s="84">
        <f>Input!E57</f>
        <v>0.533</v>
      </c>
      <c r="F63" s="18"/>
      <c r="G63" s="19" t="s">
        <v>145</v>
      </c>
      <c r="H63" s="19"/>
      <c r="I63" s="25"/>
      <c r="J63" s="37"/>
      <c r="K63" s="37"/>
    </row>
    <row r="64" spans="1:11" ht="15" customHeight="1">
      <c r="A64" s="19"/>
      <c r="B64" s="18"/>
      <c r="C64" s="18"/>
      <c r="D64" s="18" t="s">
        <v>84</v>
      </c>
      <c r="E64" s="84">
        <f>Input!E58</f>
        <v>1.71</v>
      </c>
      <c r="F64" s="18"/>
      <c r="G64" s="19" t="s">
        <v>146</v>
      </c>
      <c r="H64" s="19"/>
      <c r="I64" s="25"/>
      <c r="J64" s="37"/>
      <c r="K64" s="37"/>
    </row>
    <row r="65" spans="1:11" ht="15" customHeight="1">
      <c r="A65" s="19"/>
      <c r="B65" s="18"/>
      <c r="C65" s="18"/>
      <c r="D65" s="49" t="s">
        <v>84</v>
      </c>
      <c r="E65" s="85">
        <f>Input!E59</f>
        <v>2.5</v>
      </c>
      <c r="F65" s="46"/>
      <c r="G65" s="51" t="s">
        <v>147</v>
      </c>
      <c r="H65" s="51"/>
      <c r="I65" s="25"/>
      <c r="J65" s="37"/>
      <c r="K65" s="37"/>
    </row>
    <row r="66" spans="1:11" ht="15" customHeight="1">
      <c r="A66" s="19"/>
      <c r="B66" s="18"/>
      <c r="C66" s="18"/>
      <c r="D66" s="46" t="s">
        <v>61</v>
      </c>
      <c r="E66" s="86">
        <f>SUM(E61:E65)</f>
        <v>8.648</v>
      </c>
      <c r="F66" s="18"/>
      <c r="G66" s="46" t="s">
        <v>71</v>
      </c>
      <c r="H66" s="44"/>
      <c r="I66" s="25"/>
      <c r="J66" s="37"/>
      <c r="K66" s="37"/>
    </row>
    <row r="67" spans="1:11" ht="15" customHeight="1">
      <c r="A67" s="19"/>
      <c r="B67" s="18"/>
      <c r="C67" s="18"/>
      <c r="D67" s="18"/>
      <c r="E67" s="18"/>
      <c r="F67" s="18"/>
      <c r="G67" s="18"/>
      <c r="H67" s="18"/>
      <c r="I67" s="18"/>
      <c r="J67" s="37"/>
      <c r="K67" s="37"/>
    </row>
    <row r="68" spans="1:11" ht="15" customHeight="1">
      <c r="A68" s="19"/>
      <c r="B68" s="18"/>
      <c r="C68" s="18" t="s">
        <v>237</v>
      </c>
      <c r="D68" s="18"/>
      <c r="E68" s="18"/>
      <c r="F68" s="18"/>
      <c r="G68" s="18"/>
      <c r="H68" s="18"/>
      <c r="I68" s="18"/>
      <c r="J68" s="37"/>
      <c r="K68" s="37"/>
    </row>
    <row r="69" spans="1:11" ht="15" customHeight="1">
      <c r="A69" s="19"/>
      <c r="B69" s="18"/>
      <c r="C69" s="18"/>
      <c r="D69" s="18"/>
      <c r="E69" s="122">
        <f>Input!E64</f>
        <v>135</v>
      </c>
      <c r="F69" s="18"/>
      <c r="G69" s="18" t="s">
        <v>238</v>
      </c>
      <c r="H69" s="18"/>
      <c r="I69" s="25"/>
      <c r="J69" s="37"/>
      <c r="K69" s="37"/>
    </row>
    <row r="70" spans="1:11" ht="15" customHeight="1">
      <c r="A70" s="19"/>
      <c r="B70" s="18"/>
      <c r="C70" s="18"/>
      <c r="D70" s="18" t="s">
        <v>69</v>
      </c>
      <c r="E70" s="122">
        <f>Input!E63</f>
        <v>2</v>
      </c>
      <c r="F70" s="18"/>
      <c r="G70" s="18" t="s">
        <v>187</v>
      </c>
      <c r="H70" s="18"/>
      <c r="I70" s="25"/>
      <c r="J70" s="37"/>
      <c r="K70" s="37"/>
    </row>
    <row r="71" spans="1:11" ht="15" customHeight="1">
      <c r="A71" s="19"/>
      <c r="B71" s="18"/>
      <c r="C71" s="18"/>
      <c r="D71" s="49" t="s">
        <v>59</v>
      </c>
      <c r="E71" s="143">
        <f>Input!E14</f>
        <v>500</v>
      </c>
      <c r="F71" s="52"/>
      <c r="G71" s="52" t="s">
        <v>85</v>
      </c>
      <c r="H71" s="18"/>
      <c r="I71" s="25"/>
      <c r="J71" s="37"/>
      <c r="K71" s="37"/>
    </row>
    <row r="72" spans="1:11" ht="15" customHeight="1">
      <c r="A72" s="19"/>
      <c r="B72" s="18"/>
      <c r="C72" s="18"/>
      <c r="D72" s="46" t="s">
        <v>61</v>
      </c>
      <c r="E72" s="31">
        <f>(E69*E70)/E71</f>
        <v>0.54</v>
      </c>
      <c r="F72" s="18"/>
      <c r="G72" s="46" t="s">
        <v>71</v>
      </c>
      <c r="H72" s="18"/>
      <c r="I72" s="25"/>
      <c r="J72" s="37"/>
      <c r="K72" s="37"/>
    </row>
    <row r="73" spans="1:11" ht="15" customHeight="1">
      <c r="A73" s="19"/>
      <c r="B73" s="18"/>
      <c r="C73" s="18"/>
      <c r="D73" s="18"/>
      <c r="E73" s="18"/>
      <c r="F73" s="18"/>
      <c r="G73" s="18"/>
      <c r="H73" s="18"/>
      <c r="I73" s="18"/>
      <c r="J73" s="37"/>
      <c r="K73" s="37"/>
    </row>
    <row r="74" spans="1:11" ht="15" customHeight="1">
      <c r="A74" s="19"/>
      <c r="B74" s="18"/>
      <c r="C74" s="18" t="s">
        <v>239</v>
      </c>
      <c r="D74" s="18"/>
      <c r="E74" s="18"/>
      <c r="F74" s="18"/>
      <c r="G74" s="18"/>
      <c r="H74" s="18"/>
      <c r="I74" s="18"/>
      <c r="J74" s="37"/>
      <c r="K74" s="37"/>
    </row>
    <row r="75" spans="1:11" ht="15" customHeight="1">
      <c r="A75" s="19"/>
      <c r="B75" s="18"/>
      <c r="C75" s="18"/>
      <c r="D75" s="18"/>
      <c r="E75" s="31">
        <f>Input!E67</f>
        <v>1</v>
      </c>
      <c r="F75" s="18"/>
      <c r="G75" s="42" t="s">
        <v>240</v>
      </c>
      <c r="H75" s="18"/>
      <c r="I75" s="25"/>
      <c r="J75" s="37"/>
      <c r="K75" s="37"/>
    </row>
    <row r="76" spans="1:11" ht="15" customHeight="1">
      <c r="A76" s="19"/>
      <c r="B76" s="18"/>
      <c r="C76" s="18"/>
      <c r="D76" s="18" t="s">
        <v>69</v>
      </c>
      <c r="E76" s="122">
        <f>Input!E66</f>
        <v>80</v>
      </c>
      <c r="F76" s="18"/>
      <c r="G76" s="18" t="s">
        <v>241</v>
      </c>
      <c r="H76" s="18"/>
      <c r="I76" s="25"/>
      <c r="J76" s="37"/>
      <c r="K76" s="37"/>
    </row>
    <row r="77" spans="1:11" ht="15" customHeight="1">
      <c r="A77" s="19"/>
      <c r="B77" s="18"/>
      <c r="C77" s="18"/>
      <c r="D77" s="18" t="s">
        <v>69</v>
      </c>
      <c r="E77" s="122">
        <f>Input!E68</f>
        <v>3</v>
      </c>
      <c r="F77" s="18"/>
      <c r="G77" s="18" t="s">
        <v>242</v>
      </c>
      <c r="H77" s="18"/>
      <c r="I77" s="25"/>
      <c r="J77" s="37"/>
      <c r="K77" s="37"/>
    </row>
    <row r="78" spans="1:11" ht="15" customHeight="1">
      <c r="A78" s="19"/>
      <c r="B78" s="18"/>
      <c r="C78" s="18"/>
      <c r="D78" s="49" t="s">
        <v>59</v>
      </c>
      <c r="E78" s="143">
        <f>Input!E14</f>
        <v>500</v>
      </c>
      <c r="F78" s="52"/>
      <c r="G78" s="52" t="s">
        <v>85</v>
      </c>
      <c r="H78" s="18"/>
      <c r="I78" s="25"/>
      <c r="J78" s="37"/>
      <c r="K78" s="37"/>
    </row>
    <row r="79" spans="1:11" ht="15" customHeight="1">
      <c r="A79" s="19"/>
      <c r="B79" s="18"/>
      <c r="C79" s="18"/>
      <c r="D79" s="46" t="s">
        <v>61</v>
      </c>
      <c r="E79" s="91">
        <f>((E75*E76)*E77)/E78</f>
        <v>0.48</v>
      </c>
      <c r="F79" s="18"/>
      <c r="G79" s="42" t="s">
        <v>71</v>
      </c>
      <c r="H79" s="18"/>
      <c r="I79" s="25"/>
      <c r="J79" s="37"/>
      <c r="K79" s="37"/>
    </row>
    <row r="80" spans="1:11" ht="15" customHeight="1">
      <c r="A80" s="19"/>
      <c r="B80" s="18"/>
      <c r="C80" s="18"/>
      <c r="D80" s="18"/>
      <c r="E80" s="18"/>
      <c r="F80" s="18"/>
      <c r="G80" s="18"/>
      <c r="H80" s="18"/>
      <c r="I80" s="18"/>
      <c r="J80" s="37"/>
      <c r="K80" s="37"/>
    </row>
    <row r="81" spans="1:11" ht="15" customHeight="1">
      <c r="A81" s="19"/>
      <c r="B81" s="18"/>
      <c r="C81" s="26" t="s">
        <v>86</v>
      </c>
      <c r="D81" s="44" t="s">
        <v>61</v>
      </c>
      <c r="E81" s="29">
        <f>ROUND(E66+E72+E79,2)</f>
        <v>9.67</v>
      </c>
      <c r="F81" s="26"/>
      <c r="G81" s="92" t="s">
        <v>71</v>
      </c>
      <c r="H81" s="18"/>
      <c r="I81" s="25"/>
      <c r="J81" s="37"/>
      <c r="K81" s="37"/>
    </row>
    <row r="82" spans="1:11" ht="15" customHeight="1">
      <c r="A82" s="19"/>
      <c r="B82" s="18"/>
      <c r="C82" s="18"/>
      <c r="D82" s="18"/>
      <c r="E82" s="18"/>
      <c r="F82" s="18"/>
      <c r="G82" s="18"/>
      <c r="H82" s="18"/>
      <c r="I82" s="18"/>
      <c r="J82" s="37"/>
      <c r="K82" s="37"/>
    </row>
    <row r="83" spans="1:11" ht="15" customHeight="1">
      <c r="A83" s="19"/>
      <c r="B83" s="44" t="s">
        <v>287</v>
      </c>
      <c r="C83" s="18"/>
      <c r="D83" s="18"/>
      <c r="E83" s="18"/>
      <c r="F83" s="18"/>
      <c r="G83" s="18"/>
      <c r="H83" s="18"/>
      <c r="I83" s="18"/>
      <c r="J83" s="37"/>
      <c r="K83" s="37"/>
    </row>
    <row r="84" spans="1:11" ht="15" customHeight="1">
      <c r="A84" s="19"/>
      <c r="B84" s="18"/>
      <c r="C84" s="18"/>
      <c r="D84" s="18"/>
      <c r="E84" s="98">
        <f>Input!E71</f>
        <v>900</v>
      </c>
      <c r="F84" s="18"/>
      <c r="G84" s="18" t="s">
        <v>148</v>
      </c>
      <c r="H84" s="18"/>
      <c r="I84" s="25"/>
      <c r="J84" s="37"/>
      <c r="K84" s="37"/>
    </row>
    <row r="85" spans="1:11" ht="15" customHeight="1">
      <c r="A85" s="19"/>
      <c r="B85" s="18"/>
      <c r="C85" s="18"/>
      <c r="D85" s="18" t="s">
        <v>84</v>
      </c>
      <c r="E85" s="98">
        <f>Input!E72</f>
        <v>1950</v>
      </c>
      <c r="F85" s="18"/>
      <c r="G85" s="18" t="s">
        <v>149</v>
      </c>
      <c r="H85" s="18"/>
      <c r="I85" s="25"/>
      <c r="J85" s="37"/>
      <c r="K85" s="37"/>
    </row>
    <row r="86" spans="1:11" ht="15" customHeight="1">
      <c r="A86" s="19"/>
      <c r="B86" s="18"/>
      <c r="C86" s="18"/>
      <c r="D86" s="49" t="s">
        <v>59</v>
      </c>
      <c r="E86" s="142">
        <f>Input!E14</f>
        <v>500</v>
      </c>
      <c r="F86" s="46"/>
      <c r="G86" s="49" t="s">
        <v>85</v>
      </c>
      <c r="H86" s="49"/>
      <c r="I86" s="25"/>
      <c r="J86" s="37"/>
      <c r="K86" s="37"/>
    </row>
    <row r="87" spans="1:11" ht="15" customHeight="1">
      <c r="A87" s="19"/>
      <c r="B87" s="18"/>
      <c r="C87" s="18"/>
      <c r="D87" s="44" t="s">
        <v>61</v>
      </c>
      <c r="E87" s="82">
        <f>ROUND(SUM(E84+E85)/E86,2)</f>
        <v>5.7</v>
      </c>
      <c r="F87" s="44"/>
      <c r="G87" s="44" t="s">
        <v>71</v>
      </c>
      <c r="H87" s="44"/>
      <c r="I87" s="25"/>
      <c r="J87" s="37"/>
      <c r="K87" s="37"/>
    </row>
    <row r="88" spans="1:11" ht="15" customHeight="1">
      <c r="A88" s="19"/>
      <c r="B88" s="18"/>
      <c r="C88" s="18"/>
      <c r="D88" s="18"/>
      <c r="E88" s="18"/>
      <c r="F88" s="18"/>
      <c r="G88" s="18"/>
      <c r="H88" s="18"/>
      <c r="I88" s="18"/>
      <c r="J88" s="37"/>
      <c r="K88" s="37"/>
    </row>
    <row r="89" spans="1:11" ht="15" customHeight="1">
      <c r="A89" s="19"/>
      <c r="B89" s="44" t="s">
        <v>45</v>
      </c>
      <c r="C89" s="18"/>
      <c r="D89" s="18"/>
      <c r="E89" s="18"/>
      <c r="F89" s="18"/>
      <c r="G89" s="18"/>
      <c r="H89" s="18"/>
      <c r="I89" s="18"/>
      <c r="J89" s="37"/>
      <c r="K89" s="37"/>
    </row>
    <row r="90" spans="1:11" ht="15" customHeight="1">
      <c r="A90" s="19"/>
      <c r="B90" s="18"/>
      <c r="C90" s="18"/>
      <c r="D90" s="18"/>
      <c r="E90" s="98">
        <f>Input!E75</f>
        <v>2000</v>
      </c>
      <c r="F90" s="18"/>
      <c r="G90" s="18" t="s">
        <v>289</v>
      </c>
      <c r="H90" s="18"/>
      <c r="I90" s="25"/>
      <c r="J90" s="37"/>
      <c r="K90" s="37"/>
    </row>
    <row r="91" spans="1:11" ht="15" customHeight="1">
      <c r="A91" s="19"/>
      <c r="B91" s="18"/>
      <c r="C91" s="18"/>
      <c r="D91" s="46" t="s">
        <v>59</v>
      </c>
      <c r="E91" s="142">
        <f>Input!E14</f>
        <v>500</v>
      </c>
      <c r="F91" s="46"/>
      <c r="G91" s="49" t="s">
        <v>85</v>
      </c>
      <c r="H91" s="49"/>
      <c r="I91" s="25"/>
      <c r="J91" s="37"/>
      <c r="K91" s="37"/>
    </row>
    <row r="92" spans="1:11" ht="15" customHeight="1">
      <c r="A92" s="19"/>
      <c r="B92" s="18"/>
      <c r="C92" s="18"/>
      <c r="D92" s="44" t="s">
        <v>61</v>
      </c>
      <c r="E92" s="82">
        <f>ROUND((E90)/E91,2)</f>
        <v>4</v>
      </c>
      <c r="F92" s="44"/>
      <c r="G92" s="44" t="s">
        <v>71</v>
      </c>
      <c r="H92" s="44"/>
      <c r="I92" s="25"/>
      <c r="J92" s="37"/>
      <c r="K92" s="37"/>
    </row>
    <row r="93" spans="1:11" ht="15" customHeight="1">
      <c r="A93" s="19"/>
      <c r="B93" s="18"/>
      <c r="C93" s="18"/>
      <c r="D93" s="18"/>
      <c r="E93" s="18"/>
      <c r="F93" s="18"/>
      <c r="G93" s="18"/>
      <c r="H93" s="18"/>
      <c r="I93" s="18"/>
      <c r="J93" s="37"/>
      <c r="K93" s="37"/>
    </row>
    <row r="94" spans="1:11" ht="15" customHeight="1">
      <c r="A94" s="19"/>
      <c r="B94" s="44" t="s">
        <v>87</v>
      </c>
      <c r="C94" s="18"/>
      <c r="D94" s="18"/>
      <c r="E94" s="18"/>
      <c r="F94" s="18"/>
      <c r="G94" s="18"/>
      <c r="H94" s="18"/>
      <c r="I94" s="18"/>
      <c r="J94" s="37"/>
      <c r="K94" s="37"/>
    </row>
    <row r="95" spans="1:11" ht="15" customHeight="1">
      <c r="A95" s="19"/>
      <c r="B95" s="44"/>
      <c r="C95" s="18"/>
      <c r="D95" s="18"/>
      <c r="E95" s="22">
        <f>Input!E85</f>
        <v>2</v>
      </c>
      <c r="F95" s="18"/>
      <c r="G95" s="134" t="s">
        <v>297</v>
      </c>
      <c r="H95" s="18"/>
      <c r="I95" s="25"/>
      <c r="J95" s="37"/>
      <c r="K95" s="37"/>
    </row>
    <row r="96" spans="1:11" ht="15" customHeight="1">
      <c r="A96" s="19"/>
      <c r="B96" s="44"/>
      <c r="C96" s="18"/>
      <c r="D96" s="18"/>
      <c r="E96" s="22">
        <f>Input!E86</f>
        <v>3</v>
      </c>
      <c r="F96" s="18"/>
      <c r="G96" s="18" t="s">
        <v>298</v>
      </c>
      <c r="H96" s="18"/>
      <c r="I96" s="25"/>
      <c r="J96" s="37"/>
      <c r="K96" s="37"/>
    </row>
    <row r="97" spans="1:11" ht="15" customHeight="1">
      <c r="A97" s="19"/>
      <c r="B97" s="44"/>
      <c r="C97" s="18"/>
      <c r="D97" s="18"/>
      <c r="E97" s="18"/>
      <c r="F97" s="18"/>
      <c r="G97" s="18"/>
      <c r="H97" s="18"/>
      <c r="I97" s="18"/>
      <c r="J97" s="37"/>
      <c r="K97" s="37"/>
    </row>
    <row r="98" spans="1:11" ht="15" customHeight="1">
      <c r="A98" s="19"/>
      <c r="C98" s="18" t="s">
        <v>262</v>
      </c>
      <c r="D98" s="19"/>
      <c r="E98" s="117">
        <f>Input!E78</f>
        <v>700</v>
      </c>
      <c r="F98" s="18"/>
      <c r="G98" s="18" t="s">
        <v>88</v>
      </c>
      <c r="H98" s="18"/>
      <c r="I98" s="25"/>
      <c r="J98" s="37"/>
      <c r="K98" s="37"/>
    </row>
    <row r="99" spans="1:11" ht="15" customHeight="1">
      <c r="A99" s="19"/>
      <c r="B99" s="18"/>
      <c r="C99" s="18"/>
      <c r="D99" s="18" t="s">
        <v>69</v>
      </c>
      <c r="E99" s="84">
        <f>Input!E79</f>
        <v>4.25</v>
      </c>
      <c r="F99" s="18"/>
      <c r="G99" s="18" t="s">
        <v>194</v>
      </c>
      <c r="H99" s="18"/>
      <c r="I99" s="25"/>
      <c r="J99" s="37"/>
      <c r="K99" s="37"/>
    </row>
    <row r="100" spans="1:11" ht="15" customHeight="1">
      <c r="A100" s="19"/>
      <c r="B100" s="18"/>
      <c r="C100" s="18"/>
      <c r="D100" s="52" t="s">
        <v>59</v>
      </c>
      <c r="E100" s="121">
        <f>ROUND(Input!E81,0)</f>
        <v>37</v>
      </c>
      <c r="F100" s="46"/>
      <c r="G100" s="49" t="s">
        <v>89</v>
      </c>
      <c r="H100" s="49"/>
      <c r="I100" s="25"/>
      <c r="J100" s="37"/>
      <c r="K100" s="37"/>
    </row>
    <row r="101" spans="1:11" ht="15" customHeight="1">
      <c r="A101" s="19"/>
      <c r="B101" s="18"/>
      <c r="C101" s="18"/>
      <c r="D101" s="46" t="s">
        <v>61</v>
      </c>
      <c r="E101" s="86">
        <f>ROUND(E98*E99/E100,2)</f>
        <v>80.41</v>
      </c>
      <c r="F101" s="18"/>
      <c r="G101" s="9" t="s">
        <v>71</v>
      </c>
      <c r="H101" s="7"/>
      <c r="I101" s="25"/>
      <c r="J101" s="37"/>
      <c r="K101" s="37"/>
    </row>
    <row r="102" spans="1:11" ht="15" customHeight="1">
      <c r="A102" s="19"/>
      <c r="B102" s="18"/>
      <c r="C102" s="18"/>
      <c r="D102" s="44"/>
      <c r="E102" s="27"/>
      <c r="F102" s="26"/>
      <c r="G102" s="7"/>
      <c r="H102" s="7"/>
      <c r="I102" s="18"/>
      <c r="J102" s="37"/>
      <c r="K102" s="37"/>
    </row>
    <row r="103" spans="1:11" ht="15" customHeight="1">
      <c r="A103" s="19"/>
      <c r="C103" s="18" t="s">
        <v>299</v>
      </c>
      <c r="E103" s="60">
        <f>Input!E82</f>
        <v>17</v>
      </c>
      <c r="F103" s="26"/>
      <c r="G103" s="9" t="s">
        <v>71</v>
      </c>
      <c r="H103" s="7"/>
      <c r="I103" s="25"/>
      <c r="J103" s="37"/>
      <c r="K103" s="37"/>
    </row>
    <row r="104" spans="1:11" ht="15" customHeight="1">
      <c r="A104" s="19"/>
      <c r="B104" s="18"/>
      <c r="C104" s="18"/>
      <c r="D104" s="44"/>
      <c r="E104" s="27"/>
      <c r="F104" s="26"/>
      <c r="G104" s="7"/>
      <c r="H104" s="7"/>
      <c r="I104" s="18"/>
      <c r="J104" s="37"/>
      <c r="K104" s="37"/>
    </row>
    <row r="105" spans="1:11" ht="15" customHeight="1">
      <c r="A105" s="19"/>
      <c r="C105" s="26" t="s">
        <v>86</v>
      </c>
      <c r="D105" s="81" t="s">
        <v>61</v>
      </c>
      <c r="E105" s="82">
        <f>E95+E96+E101+E103</f>
        <v>102.41</v>
      </c>
      <c r="F105" s="26"/>
      <c r="G105" s="7" t="s">
        <v>71</v>
      </c>
      <c r="H105" s="7"/>
      <c r="I105" s="25"/>
      <c r="J105" s="37"/>
      <c r="K105" s="37"/>
    </row>
    <row r="106" spans="1:11" ht="15" customHeight="1">
      <c r="A106" s="19"/>
      <c r="B106" s="18"/>
      <c r="C106" s="18"/>
      <c r="D106" s="18"/>
      <c r="E106" s="18"/>
      <c r="F106" s="18"/>
      <c r="G106" s="18"/>
      <c r="H106" s="18"/>
      <c r="I106" s="18"/>
      <c r="J106" s="37"/>
      <c r="K106" s="37"/>
    </row>
    <row r="107" spans="1:11" ht="15" customHeight="1">
      <c r="A107" s="19"/>
      <c r="B107" s="44" t="s">
        <v>46</v>
      </c>
      <c r="C107" s="18"/>
      <c r="D107" s="18"/>
      <c r="E107" s="18"/>
      <c r="F107" s="18"/>
      <c r="G107" s="18"/>
      <c r="H107" s="18"/>
      <c r="I107" s="18"/>
      <c r="J107" s="37"/>
      <c r="K107" s="37"/>
    </row>
    <row r="108" spans="1:11" ht="15" customHeight="1">
      <c r="A108" s="19"/>
      <c r="B108" s="18"/>
      <c r="C108" s="18"/>
      <c r="D108" s="18"/>
      <c r="E108" s="87">
        <f>Input!D126</f>
        <v>146170</v>
      </c>
      <c r="F108" s="18"/>
      <c r="G108" s="18" t="s">
        <v>247</v>
      </c>
      <c r="H108" s="18"/>
      <c r="I108" s="25"/>
      <c r="J108" s="37"/>
      <c r="K108" s="37"/>
    </row>
    <row r="109" spans="1:11" ht="15" customHeight="1">
      <c r="A109" s="19"/>
      <c r="B109" s="18"/>
      <c r="C109" s="18"/>
      <c r="D109" s="18" t="s">
        <v>69</v>
      </c>
      <c r="E109" s="84">
        <f>Input!E94</f>
        <v>0.45</v>
      </c>
      <c r="F109" s="18"/>
      <c r="G109" s="18" t="s">
        <v>201</v>
      </c>
      <c r="H109" s="18"/>
      <c r="I109" s="25"/>
      <c r="J109" s="37"/>
      <c r="K109" s="37"/>
    </row>
    <row r="110" spans="1:11" ht="15" customHeight="1">
      <c r="A110" s="19"/>
      <c r="B110" s="18"/>
      <c r="C110" s="18"/>
      <c r="D110" s="18" t="s">
        <v>59</v>
      </c>
      <c r="E110" s="117">
        <v>100</v>
      </c>
      <c r="F110" s="18"/>
      <c r="G110" s="42" t="s">
        <v>150</v>
      </c>
      <c r="H110" s="42"/>
      <c r="I110" s="25"/>
      <c r="J110" s="37"/>
      <c r="K110" s="37"/>
    </row>
    <row r="111" spans="1:11" ht="15" customHeight="1">
      <c r="A111" s="19"/>
      <c r="B111" s="18"/>
      <c r="C111" s="18"/>
      <c r="D111" s="18" t="s">
        <v>59</v>
      </c>
      <c r="E111" s="145">
        <f>Input!E14</f>
        <v>500</v>
      </c>
      <c r="F111" s="18"/>
      <c r="G111" s="18" t="s">
        <v>85</v>
      </c>
      <c r="H111" s="52"/>
      <c r="I111" s="25"/>
      <c r="J111" s="37"/>
      <c r="K111" s="37"/>
    </row>
    <row r="112" spans="1:11" ht="15" customHeight="1">
      <c r="A112" s="19"/>
      <c r="B112" s="18"/>
      <c r="C112" s="18"/>
      <c r="D112" s="52" t="s">
        <v>59</v>
      </c>
      <c r="E112" s="142">
        <f>Input!E20</f>
        <v>2</v>
      </c>
      <c r="F112" s="18"/>
      <c r="G112" s="52" t="s">
        <v>291</v>
      </c>
      <c r="H112" s="52"/>
      <c r="I112" s="25"/>
      <c r="J112" s="37"/>
      <c r="K112" s="37"/>
    </row>
    <row r="113" spans="1:11" ht="15" customHeight="1">
      <c r="A113" s="19"/>
      <c r="B113" s="18"/>
      <c r="C113" s="18"/>
      <c r="D113" s="18" t="s">
        <v>61</v>
      </c>
      <c r="E113" s="84">
        <f>ROUND(E108*E109/E110/E111/E112,2)</f>
        <v>0.66</v>
      </c>
      <c r="F113" s="18"/>
      <c r="G113" s="18" t="s">
        <v>71</v>
      </c>
      <c r="H113" s="18"/>
      <c r="I113" s="25"/>
      <c r="J113" s="37"/>
      <c r="K113" s="37"/>
    </row>
    <row r="114" spans="1:11" ht="15" customHeight="1">
      <c r="A114" s="19"/>
      <c r="B114" s="18"/>
      <c r="C114" s="18"/>
      <c r="D114" s="18"/>
      <c r="E114" s="18"/>
      <c r="F114" s="18"/>
      <c r="G114" s="18"/>
      <c r="H114" s="18"/>
      <c r="I114" s="18"/>
      <c r="J114" s="37"/>
      <c r="K114" s="37"/>
    </row>
    <row r="115" spans="1:11" ht="15" customHeight="1">
      <c r="A115" s="19"/>
      <c r="B115" s="18"/>
      <c r="C115" s="18"/>
      <c r="D115" s="18"/>
      <c r="E115" s="87">
        <f>ROUND((((Input!E16*Input!E17/100)+(Input!E18*Input!E19/100))/2)*Input!E14,2)</f>
        <v>538125</v>
      </c>
      <c r="F115" s="18"/>
      <c r="G115" s="18" t="s">
        <v>90</v>
      </c>
      <c r="H115" s="18"/>
      <c r="I115" s="25"/>
      <c r="J115" s="37"/>
      <c r="K115" s="37"/>
    </row>
    <row r="116" spans="1:11" ht="15" customHeight="1">
      <c r="A116" s="19"/>
      <c r="B116" s="18"/>
      <c r="C116" s="18"/>
      <c r="D116" s="18" t="s">
        <v>69</v>
      </c>
      <c r="E116" s="84">
        <f>Input!E93</f>
        <v>0</v>
      </c>
      <c r="F116" s="18"/>
      <c r="G116" s="18" t="s">
        <v>201</v>
      </c>
      <c r="H116" s="18"/>
      <c r="I116" s="25"/>
      <c r="J116" s="37"/>
      <c r="K116" s="37"/>
    </row>
    <row r="117" spans="1:11" ht="15" customHeight="1">
      <c r="A117" s="19"/>
      <c r="B117" s="18"/>
      <c r="C117" s="18"/>
      <c r="D117" s="18" t="s">
        <v>59</v>
      </c>
      <c r="E117" s="117">
        <v>100</v>
      </c>
      <c r="F117" s="18"/>
      <c r="G117" s="42" t="s">
        <v>150</v>
      </c>
      <c r="H117" s="42"/>
      <c r="I117" s="25"/>
      <c r="J117" s="37"/>
      <c r="K117" s="37"/>
    </row>
    <row r="118" spans="1:11" ht="15" customHeight="1">
      <c r="A118" s="19"/>
      <c r="B118" s="18"/>
      <c r="C118" s="18"/>
      <c r="D118" s="52" t="s">
        <v>59</v>
      </c>
      <c r="E118" s="142">
        <f>Input!E14</f>
        <v>500</v>
      </c>
      <c r="F118" s="18"/>
      <c r="G118" s="52" t="s">
        <v>85</v>
      </c>
      <c r="H118" s="52"/>
      <c r="I118" s="25"/>
      <c r="J118" s="37"/>
      <c r="K118" s="37"/>
    </row>
    <row r="119" spans="1:11" ht="15" customHeight="1">
      <c r="A119" s="19"/>
      <c r="B119" s="18"/>
      <c r="C119" s="18"/>
      <c r="D119" s="18" t="s">
        <v>61</v>
      </c>
      <c r="E119" s="84">
        <f>ROUND(E115*E116/E117/E118,2)</f>
        <v>0</v>
      </c>
      <c r="F119" s="18"/>
      <c r="G119" s="18" t="s">
        <v>71</v>
      </c>
      <c r="H119" s="18"/>
      <c r="I119" s="25"/>
      <c r="J119" s="37"/>
      <c r="K119" s="37"/>
    </row>
    <row r="120" spans="1:11" ht="15" customHeight="1">
      <c r="A120" s="19"/>
      <c r="B120" s="18"/>
      <c r="C120" s="18"/>
      <c r="D120" s="18"/>
      <c r="E120" s="18"/>
      <c r="F120" s="18"/>
      <c r="G120" s="18"/>
      <c r="H120" s="18"/>
      <c r="I120" s="18"/>
      <c r="J120" s="37"/>
      <c r="K120" s="37"/>
    </row>
    <row r="121" spans="1:11" ht="15" customHeight="1">
      <c r="A121" s="19"/>
      <c r="B121" s="18"/>
      <c r="C121" s="18"/>
      <c r="D121" s="18"/>
      <c r="E121" s="84">
        <f>Input!E95</f>
        <v>49</v>
      </c>
      <c r="F121" s="18"/>
      <c r="G121" s="18" t="s">
        <v>202</v>
      </c>
      <c r="H121" s="18"/>
      <c r="I121" s="25"/>
      <c r="J121" s="37"/>
      <c r="K121" s="37"/>
    </row>
    <row r="122" spans="1:11" ht="15" customHeight="1">
      <c r="A122" s="19"/>
      <c r="B122" s="18"/>
      <c r="C122" s="18"/>
      <c r="D122" s="18" t="s">
        <v>59</v>
      </c>
      <c r="E122" s="145">
        <f>Input!E14</f>
        <v>500</v>
      </c>
      <c r="F122" s="18"/>
      <c r="G122" s="18" t="s">
        <v>85</v>
      </c>
      <c r="H122" s="18"/>
      <c r="I122" s="33"/>
      <c r="J122" s="37"/>
      <c r="K122" s="37"/>
    </row>
    <row r="123" spans="1:11" ht="15" customHeight="1">
      <c r="A123" s="19"/>
      <c r="B123" s="18"/>
      <c r="C123" s="18"/>
      <c r="D123" s="52" t="s">
        <v>59</v>
      </c>
      <c r="E123" s="142">
        <f>Input!E20</f>
        <v>2</v>
      </c>
      <c r="F123" s="18"/>
      <c r="G123" s="52" t="s">
        <v>291</v>
      </c>
      <c r="H123" s="52"/>
      <c r="I123" s="33"/>
      <c r="J123" s="37"/>
      <c r="K123" s="37"/>
    </row>
    <row r="124" spans="1:11" ht="15" customHeight="1">
      <c r="A124" s="19"/>
      <c r="B124" s="18"/>
      <c r="C124" s="18"/>
      <c r="D124" s="18" t="s">
        <v>61</v>
      </c>
      <c r="E124" s="84">
        <f>E121/E122</f>
        <v>0.098</v>
      </c>
      <c r="F124" s="18"/>
      <c r="G124" s="18" t="s">
        <v>71</v>
      </c>
      <c r="H124" s="18"/>
      <c r="I124" s="25"/>
      <c r="J124" s="37"/>
      <c r="K124" s="37"/>
    </row>
    <row r="125" spans="1:11" ht="15" customHeight="1">
      <c r="A125" s="19"/>
      <c r="B125" s="18"/>
      <c r="C125" s="18"/>
      <c r="D125" s="18"/>
      <c r="E125" s="18"/>
      <c r="F125" s="18"/>
      <c r="G125" s="18"/>
      <c r="H125" s="18"/>
      <c r="I125" s="18"/>
      <c r="J125" s="37"/>
      <c r="K125" s="37"/>
    </row>
    <row r="126" spans="1:11" ht="15" customHeight="1">
      <c r="A126" s="19"/>
      <c r="B126" s="18"/>
      <c r="C126" s="26" t="s">
        <v>86</v>
      </c>
      <c r="D126" s="7" t="s">
        <v>61</v>
      </c>
      <c r="E126" s="82">
        <f>ROUND((E113+E119+E124),2)</f>
        <v>0.76</v>
      </c>
      <c r="F126" s="26"/>
      <c r="G126" s="7" t="s">
        <v>71</v>
      </c>
      <c r="H126" s="7"/>
      <c r="I126" s="25"/>
      <c r="J126" s="37"/>
      <c r="K126" s="37"/>
    </row>
    <row r="127" spans="1:11" ht="15" customHeight="1">
      <c r="A127" s="19"/>
      <c r="B127" s="18"/>
      <c r="C127" s="18"/>
      <c r="D127" s="18"/>
      <c r="E127" s="18"/>
      <c r="F127" s="18"/>
      <c r="G127" s="18"/>
      <c r="H127" s="18"/>
      <c r="I127" s="18"/>
      <c r="J127" s="37"/>
      <c r="K127" s="37"/>
    </row>
    <row r="128" spans="1:11" ht="15" customHeight="1">
      <c r="A128" s="19"/>
      <c r="B128" s="7" t="s">
        <v>47</v>
      </c>
      <c r="C128" s="18"/>
      <c r="D128" s="18"/>
      <c r="E128" s="18"/>
      <c r="F128" s="18"/>
      <c r="G128" s="18"/>
      <c r="H128" s="18"/>
      <c r="I128" s="18"/>
      <c r="J128" s="37"/>
      <c r="K128" s="37"/>
    </row>
    <row r="129" spans="1:11" ht="15" customHeight="1">
      <c r="A129" s="19"/>
      <c r="B129" s="18"/>
      <c r="C129" s="18"/>
      <c r="D129" s="18"/>
      <c r="E129" s="98">
        <f>Input!E89</f>
        <v>3200</v>
      </c>
      <c r="F129" s="18"/>
      <c r="G129" s="18" t="s">
        <v>288</v>
      </c>
      <c r="H129" s="18"/>
      <c r="I129" s="25"/>
      <c r="J129" s="37"/>
      <c r="K129" s="37"/>
    </row>
    <row r="130" spans="1:11" ht="15" customHeight="1">
      <c r="A130" s="19"/>
      <c r="B130" s="18"/>
      <c r="C130" s="18"/>
      <c r="D130" s="10" t="s">
        <v>59</v>
      </c>
      <c r="E130" s="142">
        <f>Input!E14</f>
        <v>500</v>
      </c>
      <c r="F130" s="18"/>
      <c r="G130" s="10" t="s">
        <v>85</v>
      </c>
      <c r="H130" s="10"/>
      <c r="I130" s="25"/>
      <c r="J130" s="37"/>
      <c r="K130" s="37"/>
    </row>
    <row r="131" spans="1:11" ht="15" customHeight="1">
      <c r="A131" s="19"/>
      <c r="B131" s="18"/>
      <c r="C131" s="18"/>
      <c r="D131" s="7" t="s">
        <v>61</v>
      </c>
      <c r="E131" s="82">
        <f>ROUND(E129/E130,2)</f>
        <v>6.4</v>
      </c>
      <c r="F131" s="26"/>
      <c r="G131" s="7" t="s">
        <v>71</v>
      </c>
      <c r="H131" s="7"/>
      <c r="I131" s="25"/>
      <c r="J131" s="37"/>
      <c r="K131" s="37"/>
    </row>
    <row r="132" spans="1:11" ht="15" customHeight="1">
      <c r="A132" s="19"/>
      <c r="B132" s="18"/>
      <c r="C132" s="18"/>
      <c r="D132" s="18"/>
      <c r="E132" s="18"/>
      <c r="F132" s="18"/>
      <c r="G132" s="18"/>
      <c r="H132" s="18"/>
      <c r="I132" s="18"/>
      <c r="J132" s="37"/>
      <c r="K132" s="37"/>
    </row>
    <row r="133" spans="1:11" ht="15" customHeight="1">
      <c r="A133" s="19"/>
      <c r="B133" s="7" t="s">
        <v>48</v>
      </c>
      <c r="C133" s="18"/>
      <c r="D133" s="18"/>
      <c r="E133" s="18"/>
      <c r="F133" s="18"/>
      <c r="G133" s="18"/>
      <c r="H133" s="18"/>
      <c r="I133" s="18"/>
      <c r="J133" s="37"/>
      <c r="K133" s="37"/>
    </row>
    <row r="134" spans="1:11" ht="15" customHeight="1">
      <c r="A134" s="19"/>
      <c r="B134" s="18"/>
      <c r="C134" s="18"/>
      <c r="D134" s="18"/>
      <c r="E134" s="84">
        <f>Input!E98</f>
        <v>1000</v>
      </c>
      <c r="F134" s="18"/>
      <c r="G134" s="18" t="s">
        <v>91</v>
      </c>
      <c r="H134" s="18"/>
      <c r="I134" s="25"/>
      <c r="J134" s="37"/>
      <c r="K134" s="37"/>
    </row>
    <row r="135" spans="1:11" ht="15" customHeight="1">
      <c r="A135" s="19"/>
      <c r="B135" s="18"/>
      <c r="C135" s="18"/>
      <c r="D135" s="10" t="s">
        <v>59</v>
      </c>
      <c r="E135" s="142">
        <f>Input!E14</f>
        <v>500</v>
      </c>
      <c r="F135" s="18"/>
      <c r="G135" s="10" t="s">
        <v>85</v>
      </c>
      <c r="H135" s="10"/>
      <c r="I135" s="25"/>
      <c r="J135" s="37"/>
      <c r="K135" s="37"/>
    </row>
    <row r="136" spans="1:11" ht="15" customHeight="1">
      <c r="A136" s="19"/>
      <c r="B136" s="18"/>
      <c r="C136" s="18"/>
      <c r="D136" s="7" t="s">
        <v>61</v>
      </c>
      <c r="E136" s="82">
        <f>ROUND(E134/E135,2)</f>
        <v>2</v>
      </c>
      <c r="F136" s="26"/>
      <c r="G136" s="7" t="s">
        <v>71</v>
      </c>
      <c r="H136" s="7"/>
      <c r="I136" s="25"/>
      <c r="J136" s="37"/>
      <c r="K136" s="37"/>
    </row>
    <row r="137" spans="1:11" ht="15" customHeight="1">
      <c r="A137" s="19"/>
      <c r="B137" s="18"/>
      <c r="C137" s="18"/>
      <c r="D137" s="18"/>
      <c r="E137" s="18"/>
      <c r="F137" s="18"/>
      <c r="G137" s="18"/>
      <c r="H137" s="18"/>
      <c r="I137" s="18"/>
      <c r="J137" s="37"/>
      <c r="K137" s="37"/>
    </row>
    <row r="138" spans="1:11" ht="15" customHeight="1">
      <c r="A138" s="19"/>
      <c r="B138" s="7" t="s">
        <v>49</v>
      </c>
      <c r="C138" s="18"/>
      <c r="D138" s="18"/>
      <c r="E138" s="18"/>
      <c r="F138" s="18"/>
      <c r="G138" s="18"/>
      <c r="H138" s="18"/>
      <c r="I138" s="18"/>
      <c r="J138" s="37"/>
      <c r="K138" s="37"/>
    </row>
    <row r="139" spans="1:11" ht="15" customHeight="1">
      <c r="A139" s="19"/>
      <c r="B139" s="18"/>
      <c r="C139" s="18"/>
      <c r="D139" s="18"/>
      <c r="E139" s="84">
        <f>E52</f>
        <v>853.5</v>
      </c>
      <c r="F139" s="18"/>
      <c r="G139" s="18" t="s">
        <v>92</v>
      </c>
      <c r="H139" s="18"/>
      <c r="I139" s="25"/>
      <c r="J139" s="37"/>
      <c r="K139" s="37"/>
    </row>
    <row r="140" spans="1:11" ht="15" customHeight="1">
      <c r="A140" s="19"/>
      <c r="B140" s="18"/>
      <c r="C140" s="18"/>
      <c r="D140" s="18" t="s">
        <v>84</v>
      </c>
      <c r="E140" s="84">
        <f>SUM(Summary!F9:F19)</f>
        <v>1335.0700000000004</v>
      </c>
      <c r="F140" s="18"/>
      <c r="G140" s="18" t="s">
        <v>93</v>
      </c>
      <c r="H140" s="18"/>
      <c r="I140" s="25"/>
      <c r="J140" s="37"/>
      <c r="K140" s="37"/>
    </row>
    <row r="141" spans="1:11" ht="15" customHeight="1">
      <c r="A141" s="19"/>
      <c r="B141" s="18"/>
      <c r="C141" s="18"/>
      <c r="D141" s="18" t="s">
        <v>2</v>
      </c>
      <c r="E141" s="84">
        <f>Summary!F16</f>
        <v>102.41</v>
      </c>
      <c r="F141" s="18"/>
      <c r="G141" s="134" t="s">
        <v>270</v>
      </c>
      <c r="H141" s="18"/>
      <c r="I141" s="25"/>
      <c r="J141" s="37"/>
      <c r="K141" s="37"/>
    </row>
    <row r="142" spans="1:11" ht="15" customHeight="1">
      <c r="A142" s="19"/>
      <c r="B142" s="18"/>
      <c r="C142" s="18"/>
      <c r="D142" s="18" t="s">
        <v>59</v>
      </c>
      <c r="E142" s="117">
        <v>2</v>
      </c>
      <c r="F142" s="18"/>
      <c r="G142" s="18" t="s">
        <v>94</v>
      </c>
      <c r="H142" s="18"/>
      <c r="I142" s="25"/>
      <c r="J142" s="37"/>
      <c r="K142" s="37"/>
    </row>
    <row r="143" spans="1:11" ht="15" customHeight="1">
      <c r="A143" s="19"/>
      <c r="B143" s="18"/>
      <c r="C143" s="18"/>
      <c r="D143" s="10" t="s">
        <v>69</v>
      </c>
      <c r="E143" s="123">
        <f>Input!E15</f>
        <v>1</v>
      </c>
      <c r="F143" s="18"/>
      <c r="G143" s="10" t="s">
        <v>232</v>
      </c>
      <c r="H143" s="10"/>
      <c r="I143" s="25"/>
      <c r="J143" s="37"/>
      <c r="K143" s="37"/>
    </row>
    <row r="144" spans="1:11" ht="15" customHeight="1">
      <c r="A144" s="19"/>
      <c r="B144" s="18"/>
      <c r="C144" s="18"/>
      <c r="D144" s="7" t="s">
        <v>61</v>
      </c>
      <c r="E144" s="82">
        <f>ROUND(((E139+E140-E141)/E142)*E143/100,2)</f>
        <v>10.43</v>
      </c>
      <c r="F144" s="26"/>
      <c r="G144" s="7" t="s">
        <v>71</v>
      </c>
      <c r="H144" s="7"/>
      <c r="I144" s="25"/>
      <c r="J144" s="37"/>
      <c r="K144" s="37"/>
    </row>
    <row r="145" spans="1:11" ht="15" customHeight="1">
      <c r="A145" s="19"/>
      <c r="B145" s="18"/>
      <c r="C145" s="18"/>
      <c r="D145" s="18"/>
      <c r="E145" s="18"/>
      <c r="F145" s="18"/>
      <c r="G145" s="18"/>
      <c r="H145" s="18"/>
      <c r="I145" s="18"/>
      <c r="J145" s="37"/>
      <c r="K145" s="37"/>
    </row>
    <row r="146" spans="1:11" ht="15" customHeight="1">
      <c r="A146" s="19"/>
      <c r="B146" s="7" t="s">
        <v>50</v>
      </c>
      <c r="C146" s="18"/>
      <c r="D146" s="18"/>
      <c r="E146" s="18"/>
      <c r="F146" s="18"/>
      <c r="G146" s="18"/>
      <c r="H146" s="18"/>
      <c r="I146" s="18"/>
      <c r="J146" s="37"/>
      <c r="K146" s="37"/>
    </row>
    <row r="147" spans="1:11" ht="15" customHeight="1">
      <c r="A147" s="19"/>
      <c r="B147" s="18"/>
      <c r="C147" s="18" t="s">
        <v>203</v>
      </c>
      <c r="D147" s="18"/>
      <c r="E147" s="18"/>
      <c r="F147" s="18"/>
      <c r="G147" s="18"/>
      <c r="H147" s="18"/>
      <c r="I147" s="18"/>
      <c r="J147" s="37"/>
      <c r="K147" s="37"/>
    </row>
    <row r="148" spans="1:11" ht="15" customHeight="1">
      <c r="A148" s="19"/>
      <c r="B148" s="18"/>
      <c r="C148" s="18"/>
      <c r="D148" s="18"/>
      <c r="E148" s="84">
        <f>E52</f>
        <v>853.5</v>
      </c>
      <c r="F148" s="18"/>
      <c r="G148" s="18" t="s">
        <v>64</v>
      </c>
      <c r="H148" s="18"/>
      <c r="I148" s="25"/>
      <c r="J148" s="37"/>
      <c r="K148" s="37"/>
    </row>
    <row r="149" spans="1:11" ht="15" customHeight="1">
      <c r="A149" s="19"/>
      <c r="B149" s="18"/>
      <c r="C149" s="18"/>
      <c r="D149" s="18" t="s">
        <v>84</v>
      </c>
      <c r="E149" s="84">
        <f>(Summary!F9+SUM(Summary!F12:F19))/2</f>
        <v>240.785</v>
      </c>
      <c r="F149" s="18"/>
      <c r="G149" s="18" t="s">
        <v>95</v>
      </c>
      <c r="H149" s="18"/>
      <c r="I149" s="25"/>
      <c r="J149" s="37"/>
      <c r="K149" s="37"/>
    </row>
    <row r="150" spans="1:11" ht="15" customHeight="1">
      <c r="A150" s="19"/>
      <c r="B150" s="18"/>
      <c r="C150" s="18"/>
      <c r="D150" s="18" t="s">
        <v>69</v>
      </c>
      <c r="E150" s="124">
        <f>Input!E101</f>
        <v>6.5</v>
      </c>
      <c r="F150" s="18"/>
      <c r="G150" s="18" t="s">
        <v>233</v>
      </c>
      <c r="H150" s="18"/>
      <c r="I150" s="25"/>
      <c r="J150" s="37"/>
      <c r="K150" s="37"/>
    </row>
    <row r="151" spans="1:11" ht="15" customHeight="1">
      <c r="A151" s="19"/>
      <c r="B151" s="18"/>
      <c r="C151" s="18"/>
      <c r="D151" s="18" t="s">
        <v>69</v>
      </c>
      <c r="E151" s="117">
        <f>Input!E25</f>
        <v>171</v>
      </c>
      <c r="F151" s="18"/>
      <c r="G151" s="18" t="s">
        <v>96</v>
      </c>
      <c r="H151" s="18"/>
      <c r="I151" s="25"/>
      <c r="J151" s="37"/>
      <c r="K151" s="37"/>
    </row>
    <row r="152" spans="1:11" ht="15" customHeight="1">
      <c r="A152" s="19"/>
      <c r="B152" s="18"/>
      <c r="C152" s="18"/>
      <c r="D152" s="10" t="s">
        <v>59</v>
      </c>
      <c r="E152" s="121">
        <v>365</v>
      </c>
      <c r="F152" s="18"/>
      <c r="G152" s="10" t="s">
        <v>151</v>
      </c>
      <c r="H152" s="10"/>
      <c r="I152" s="25"/>
      <c r="J152" s="37"/>
      <c r="K152" s="37"/>
    </row>
    <row r="153" spans="1:11" ht="15" customHeight="1">
      <c r="A153" s="19"/>
      <c r="B153" s="18"/>
      <c r="C153" s="18"/>
      <c r="D153" s="7" t="s">
        <v>61</v>
      </c>
      <c r="E153" s="82">
        <f>ROUND(((E148+E149)*(E150))*(E151/E152/100),2)</f>
        <v>33.32</v>
      </c>
      <c r="F153" s="26"/>
      <c r="G153" s="7" t="s">
        <v>71</v>
      </c>
      <c r="H153" s="7"/>
      <c r="I153" s="25"/>
      <c r="J153" s="37"/>
      <c r="K153" s="37"/>
    </row>
    <row r="154" spans="1:11" ht="15" customHeight="1">
      <c r="A154" s="19"/>
      <c r="B154" s="18"/>
      <c r="C154" s="18"/>
      <c r="D154" s="18"/>
      <c r="E154" s="18"/>
      <c r="F154" s="18"/>
      <c r="G154" s="18"/>
      <c r="H154" s="18"/>
      <c r="I154" s="18"/>
      <c r="J154" s="37"/>
      <c r="K154" s="37"/>
    </row>
    <row r="155" spans="1:11" ht="15" customHeight="1">
      <c r="A155" s="19"/>
      <c r="B155" s="18"/>
      <c r="C155" s="18"/>
      <c r="D155" s="18"/>
      <c r="E155" s="18"/>
      <c r="F155" s="18"/>
      <c r="G155" s="18"/>
      <c r="H155" s="18"/>
      <c r="I155" s="18"/>
      <c r="J155" s="37"/>
      <c r="K155" s="37"/>
    </row>
    <row r="156" spans="2:11" ht="18.75" customHeight="1">
      <c r="B156" s="178" t="s">
        <v>152</v>
      </c>
      <c r="C156" s="163"/>
      <c r="D156" s="163"/>
      <c r="E156" s="163"/>
      <c r="F156" s="163"/>
      <c r="G156" s="163"/>
      <c r="H156" s="163"/>
      <c r="I156" s="163"/>
      <c r="J156" s="37"/>
      <c r="K156" s="37"/>
    </row>
    <row r="157" spans="1:11" ht="15" customHeight="1">
      <c r="A157" s="19"/>
      <c r="B157" s="18"/>
      <c r="C157" s="18"/>
      <c r="D157" s="18"/>
      <c r="E157" s="18"/>
      <c r="F157" s="18"/>
      <c r="G157" s="18"/>
      <c r="H157" s="18"/>
      <c r="I157" s="18"/>
      <c r="J157" s="37"/>
      <c r="K157" s="37"/>
    </row>
    <row r="158" spans="1:11" ht="15" customHeight="1">
      <c r="A158" s="19"/>
      <c r="B158" s="35" t="s">
        <v>246</v>
      </c>
      <c r="C158" s="18"/>
      <c r="D158" s="18"/>
      <c r="E158" s="18"/>
      <c r="F158" s="18"/>
      <c r="G158" s="18"/>
      <c r="H158" s="18"/>
      <c r="I158" s="18"/>
      <c r="J158" s="37"/>
      <c r="K158" s="37"/>
    </row>
    <row r="159" spans="1:11" ht="15" customHeight="1">
      <c r="A159" s="19"/>
      <c r="B159" s="18"/>
      <c r="C159" s="19" t="s">
        <v>25</v>
      </c>
      <c r="D159" s="18"/>
      <c r="E159" s="18"/>
      <c r="F159" s="18"/>
      <c r="G159" s="87">
        <f>Input!D110</f>
        <v>7350</v>
      </c>
      <c r="H159" s="30"/>
      <c r="I159" s="25"/>
      <c r="J159" s="37"/>
      <c r="K159" s="37"/>
    </row>
    <row r="160" spans="1:11" ht="15" customHeight="1">
      <c r="A160" s="19"/>
      <c r="B160" s="18"/>
      <c r="C160" s="19" t="s">
        <v>26</v>
      </c>
      <c r="D160" s="18"/>
      <c r="E160" s="18"/>
      <c r="F160" s="18"/>
      <c r="G160" s="87">
        <f>Input!D111</f>
        <v>4540</v>
      </c>
      <c r="H160" s="30"/>
      <c r="I160" s="25"/>
      <c r="J160" s="37"/>
      <c r="K160" s="37"/>
    </row>
    <row r="161" spans="1:11" ht="15" customHeight="1">
      <c r="A161" s="19"/>
      <c r="B161" s="18"/>
      <c r="C161" s="19" t="s">
        <v>27</v>
      </c>
      <c r="D161" s="18"/>
      <c r="E161" s="18"/>
      <c r="F161" s="18"/>
      <c r="G161" s="87">
        <f>Input!D112</f>
        <v>3500</v>
      </c>
      <c r="H161" s="30"/>
      <c r="I161" s="25"/>
      <c r="J161" s="37"/>
      <c r="K161" s="37"/>
    </row>
    <row r="162" spans="1:11" ht="15" customHeight="1">
      <c r="A162" s="19"/>
      <c r="B162" s="18"/>
      <c r="C162" s="19" t="s">
        <v>28</v>
      </c>
      <c r="D162" s="18"/>
      <c r="E162" s="18"/>
      <c r="F162" s="18"/>
      <c r="G162" s="87">
        <f>Input!D113</f>
        <v>5500</v>
      </c>
      <c r="H162" s="30"/>
      <c r="I162" s="25"/>
      <c r="J162" s="37"/>
      <c r="K162" s="37"/>
    </row>
    <row r="163" spans="1:11" ht="15" customHeight="1">
      <c r="A163" s="19"/>
      <c r="B163" s="18"/>
      <c r="C163" s="19" t="s">
        <v>29</v>
      </c>
      <c r="D163" s="18"/>
      <c r="E163" s="18"/>
      <c r="F163" s="18"/>
      <c r="G163" s="87">
        <f>Input!D114</f>
        <v>5000</v>
      </c>
      <c r="H163" s="30"/>
      <c r="I163" s="25"/>
      <c r="J163" s="37"/>
      <c r="K163" s="37"/>
    </row>
    <row r="164" spans="1:11" ht="15" customHeight="1">
      <c r="A164" s="19"/>
      <c r="B164" s="18"/>
      <c r="C164" s="19" t="s">
        <v>30</v>
      </c>
      <c r="D164" s="18"/>
      <c r="E164" s="18"/>
      <c r="F164" s="18"/>
      <c r="G164" s="87">
        <f>Input!D115</f>
        <v>1280</v>
      </c>
      <c r="H164" s="30"/>
      <c r="I164" s="25"/>
      <c r="J164" s="37"/>
      <c r="K164" s="37"/>
    </row>
    <row r="165" spans="1:11" ht="15" customHeight="1">
      <c r="A165" s="19"/>
      <c r="B165" s="18"/>
      <c r="C165" s="19" t="s">
        <v>32</v>
      </c>
      <c r="D165" s="18"/>
      <c r="E165" s="18"/>
      <c r="F165" s="18"/>
      <c r="G165" s="87">
        <f>Input!D117</f>
        <v>23000</v>
      </c>
      <c r="H165" s="30"/>
      <c r="I165" s="25"/>
      <c r="J165" s="37"/>
      <c r="K165" s="37"/>
    </row>
    <row r="166" spans="1:11" ht="15" customHeight="1">
      <c r="A166" s="19"/>
      <c r="B166" s="18"/>
      <c r="C166" s="19" t="s">
        <v>33</v>
      </c>
      <c r="D166" s="18"/>
      <c r="E166" s="18"/>
      <c r="F166" s="18"/>
      <c r="G166" s="87">
        <f>Input!D118</f>
        <v>6000</v>
      </c>
      <c r="H166" s="30"/>
      <c r="I166" s="25"/>
      <c r="J166" s="37"/>
      <c r="K166" s="37"/>
    </row>
    <row r="167" spans="1:11" ht="15" customHeight="1">
      <c r="A167" s="19"/>
      <c r="B167" s="18"/>
      <c r="C167" s="19" t="s">
        <v>34</v>
      </c>
      <c r="D167" s="18"/>
      <c r="E167" s="18"/>
      <c r="F167" s="18"/>
      <c r="G167" s="88">
        <f>Input!D119</f>
        <v>15000</v>
      </c>
      <c r="H167" s="53"/>
      <c r="I167" s="25"/>
      <c r="J167" s="37"/>
      <c r="K167" s="37"/>
    </row>
    <row r="168" spans="1:11" ht="15" customHeight="1">
      <c r="A168" s="19"/>
      <c r="B168" s="18"/>
      <c r="C168" s="35" t="s">
        <v>120</v>
      </c>
      <c r="D168" s="18"/>
      <c r="E168" s="18"/>
      <c r="F168" s="18"/>
      <c r="G168" s="83">
        <f>SUM(G159:G167)</f>
        <v>71170</v>
      </c>
      <c r="H168" s="30"/>
      <c r="I168" s="25"/>
      <c r="J168" s="37"/>
      <c r="K168" s="37"/>
    </row>
    <row r="169" spans="1:11" ht="15" customHeight="1">
      <c r="A169" s="19"/>
      <c r="B169" s="18"/>
      <c r="C169" s="19"/>
      <c r="D169" s="18"/>
      <c r="E169" s="18"/>
      <c r="F169" s="18"/>
      <c r="G169" s="30"/>
      <c r="H169" s="30"/>
      <c r="I169" s="18"/>
      <c r="J169" s="37"/>
      <c r="K169" s="37"/>
    </row>
    <row r="170" spans="1:11" ht="15" customHeight="1">
      <c r="A170" s="19"/>
      <c r="B170" s="35" t="s">
        <v>35</v>
      </c>
      <c r="C170" s="19"/>
      <c r="D170" s="18"/>
      <c r="E170" s="18"/>
      <c r="F170" s="18"/>
      <c r="G170" s="30"/>
      <c r="H170" s="30"/>
      <c r="I170" s="18"/>
      <c r="J170" s="37"/>
      <c r="K170" s="37"/>
    </row>
    <row r="171" spans="1:11" ht="15" customHeight="1">
      <c r="A171" s="19"/>
      <c r="B171" s="18"/>
      <c r="C171" s="19" t="s">
        <v>36</v>
      </c>
      <c r="D171" s="18"/>
      <c r="E171" s="18"/>
      <c r="F171" s="18"/>
      <c r="G171" s="87">
        <f>Input!D123</f>
        <v>50000</v>
      </c>
      <c r="H171" s="30"/>
      <c r="I171" s="25"/>
      <c r="J171" s="37"/>
      <c r="K171" s="37"/>
    </row>
    <row r="172" spans="1:11" ht="15" customHeight="1">
      <c r="A172" s="19"/>
      <c r="B172" s="18"/>
      <c r="C172" s="19" t="s">
        <v>37</v>
      </c>
      <c r="D172" s="18"/>
      <c r="E172" s="18"/>
      <c r="F172" s="18"/>
      <c r="G172" s="88">
        <f>Input!D124</f>
        <v>25000</v>
      </c>
      <c r="H172" s="30"/>
      <c r="I172" s="25"/>
      <c r="J172" s="37"/>
      <c r="K172" s="37"/>
    </row>
    <row r="173" spans="1:11" ht="15" customHeight="1">
      <c r="A173" s="19"/>
      <c r="B173" s="18"/>
      <c r="C173" s="35" t="s">
        <v>120</v>
      </c>
      <c r="D173" s="18"/>
      <c r="E173" s="18"/>
      <c r="F173" s="18"/>
      <c r="G173" s="83">
        <f>G171+G172</f>
        <v>75000</v>
      </c>
      <c r="H173" s="30"/>
      <c r="I173" s="34"/>
      <c r="J173" s="37"/>
      <c r="K173" s="37"/>
    </row>
    <row r="174" spans="1:11" ht="15" customHeight="1">
      <c r="A174" s="19"/>
      <c r="B174" s="18"/>
      <c r="C174" s="19"/>
      <c r="D174" s="18"/>
      <c r="E174" s="18"/>
      <c r="F174" s="18"/>
      <c r="G174" s="30"/>
      <c r="H174" s="30"/>
      <c r="I174" s="18"/>
      <c r="J174" s="37"/>
      <c r="K174" s="37"/>
    </row>
    <row r="175" spans="1:11" ht="15" customHeight="1">
      <c r="A175" s="19"/>
      <c r="B175" s="35" t="s">
        <v>38</v>
      </c>
      <c r="C175" s="19"/>
      <c r="D175" s="18"/>
      <c r="E175" s="18"/>
      <c r="F175" s="18"/>
      <c r="G175" s="83">
        <f>G168+G173</f>
        <v>146170</v>
      </c>
      <c r="H175" s="30"/>
      <c r="I175" s="25"/>
      <c r="J175" s="37"/>
      <c r="K175" s="37"/>
    </row>
    <row r="176" spans="1:11" ht="15" customHeight="1">
      <c r="A176" s="19"/>
      <c r="B176" s="18"/>
      <c r="C176" s="18"/>
      <c r="D176" s="18"/>
      <c r="E176" s="18"/>
      <c r="F176" s="18"/>
      <c r="G176" s="18"/>
      <c r="H176" s="18"/>
      <c r="I176" s="18"/>
      <c r="J176" s="37"/>
      <c r="K176" s="37"/>
    </row>
    <row r="177" spans="1:11" ht="15" customHeight="1">
      <c r="A177" s="19"/>
      <c r="B177" s="18"/>
      <c r="C177" s="18"/>
      <c r="D177" s="18"/>
      <c r="E177" s="18"/>
      <c r="F177" s="18"/>
      <c r="G177" s="18"/>
      <c r="H177" s="18"/>
      <c r="I177" s="18"/>
      <c r="J177" s="37"/>
      <c r="K177" s="37"/>
    </row>
    <row r="178" spans="1:11" ht="15" customHeight="1">
      <c r="A178" s="35" t="s">
        <v>126</v>
      </c>
      <c r="B178" s="7"/>
      <c r="C178" s="18"/>
      <c r="D178" s="18"/>
      <c r="E178" s="18"/>
      <c r="F178" s="18"/>
      <c r="G178" s="18"/>
      <c r="H178" s="18"/>
      <c r="I178" s="18"/>
      <c r="J178" s="37"/>
      <c r="K178" s="37"/>
    </row>
    <row r="179" spans="1:11" ht="15" customHeight="1">
      <c r="A179" s="19"/>
      <c r="B179" s="7" t="s">
        <v>51</v>
      </c>
      <c r="C179" s="18"/>
      <c r="D179" s="170" t="s">
        <v>153</v>
      </c>
      <c r="E179" s="171"/>
      <c r="F179" s="171"/>
      <c r="G179" s="171"/>
      <c r="H179" s="54"/>
      <c r="I179" s="18"/>
      <c r="J179" s="37"/>
      <c r="K179" s="37"/>
    </row>
    <row r="180" spans="1:11" ht="15" customHeight="1">
      <c r="A180" s="19"/>
      <c r="B180" s="7"/>
      <c r="C180" s="18"/>
      <c r="D180" s="176" t="s">
        <v>154</v>
      </c>
      <c r="E180" s="177"/>
      <c r="F180" s="177"/>
      <c r="G180" s="177"/>
      <c r="H180" s="55"/>
      <c r="I180" s="18"/>
      <c r="J180" s="37"/>
      <c r="K180" s="37"/>
    </row>
    <row r="181" spans="1:11" ht="15" customHeight="1">
      <c r="A181" s="19"/>
      <c r="B181" s="7" t="s">
        <v>52</v>
      </c>
      <c r="C181" s="18"/>
      <c r="D181" s="18"/>
      <c r="E181" s="18"/>
      <c r="F181" s="18"/>
      <c r="G181" s="18"/>
      <c r="H181" s="18"/>
      <c r="I181" s="18"/>
      <c r="J181" s="37"/>
      <c r="K181" s="37"/>
    </row>
    <row r="182" spans="1:11" ht="15" customHeight="1">
      <c r="A182" s="19"/>
      <c r="B182" s="18"/>
      <c r="C182" s="18"/>
      <c r="D182" s="18"/>
      <c r="E182" s="87">
        <f>Input!D120</f>
        <v>71170</v>
      </c>
      <c r="F182" s="18"/>
      <c r="G182" s="18" t="s">
        <v>155</v>
      </c>
      <c r="H182" s="18"/>
      <c r="I182" s="25"/>
      <c r="J182" s="37"/>
      <c r="K182" s="37"/>
    </row>
    <row r="183" spans="1:11" ht="15" customHeight="1">
      <c r="A183" s="19"/>
      <c r="B183" s="18"/>
      <c r="C183" s="18"/>
      <c r="D183" s="18" t="s">
        <v>2</v>
      </c>
      <c r="E183" s="87">
        <f>ROUND(Input!D120*(Input!E110/100),2)</f>
        <v>7117</v>
      </c>
      <c r="F183" s="18"/>
      <c r="G183" s="18" t="s">
        <v>97</v>
      </c>
      <c r="H183" s="18"/>
      <c r="I183" s="25"/>
      <c r="J183" s="37"/>
      <c r="K183" s="37"/>
    </row>
    <row r="184" spans="1:11" ht="15" customHeight="1">
      <c r="A184" s="19"/>
      <c r="B184" s="18"/>
      <c r="C184" s="18"/>
      <c r="D184" s="18" t="s">
        <v>59</v>
      </c>
      <c r="E184" s="117">
        <f>Input!G110</f>
        <v>20</v>
      </c>
      <c r="F184" s="18"/>
      <c r="G184" s="18" t="s">
        <v>98</v>
      </c>
      <c r="H184" s="18"/>
      <c r="I184" s="25"/>
      <c r="J184" s="37"/>
      <c r="K184" s="37"/>
    </row>
    <row r="185" spans="1:11" ht="15" customHeight="1">
      <c r="A185" s="19"/>
      <c r="B185" s="18"/>
      <c r="C185" s="18"/>
      <c r="D185" s="9" t="s">
        <v>59</v>
      </c>
      <c r="E185" s="145">
        <f>Input!E14</f>
        <v>500</v>
      </c>
      <c r="F185" s="18"/>
      <c r="G185" s="9" t="s">
        <v>85</v>
      </c>
      <c r="H185" s="10"/>
      <c r="I185" s="25"/>
      <c r="J185" s="37"/>
      <c r="K185" s="37"/>
    </row>
    <row r="186" spans="1:11" ht="15" customHeight="1">
      <c r="A186" s="19"/>
      <c r="B186" s="18"/>
      <c r="C186" s="18"/>
      <c r="D186" s="9" t="s">
        <v>59</v>
      </c>
      <c r="E186" s="142">
        <f>Input!$E$20</f>
        <v>2</v>
      </c>
      <c r="F186" s="52"/>
      <c r="G186" s="10" t="s">
        <v>291</v>
      </c>
      <c r="H186" s="10"/>
      <c r="I186" s="25"/>
      <c r="J186" s="37"/>
      <c r="K186" s="37"/>
    </row>
    <row r="187" spans="1:11" ht="15" customHeight="1">
      <c r="A187" s="19"/>
      <c r="B187" s="18"/>
      <c r="C187" s="18"/>
      <c r="D187" s="7" t="s">
        <v>61</v>
      </c>
      <c r="E187" s="29">
        <f>ROUND((((E182-E183)/E184/E185)/E186),2)</f>
        <v>3.2</v>
      </c>
      <c r="F187" s="26"/>
      <c r="G187" s="7" t="s">
        <v>71</v>
      </c>
      <c r="H187" s="7"/>
      <c r="I187" s="25"/>
      <c r="J187" s="37"/>
      <c r="K187" s="37"/>
    </row>
    <row r="188" spans="1:11" ht="15" customHeight="1">
      <c r="A188" s="19"/>
      <c r="B188" s="18"/>
      <c r="C188" s="18"/>
      <c r="D188" s="18"/>
      <c r="E188" s="18"/>
      <c r="F188" s="18"/>
      <c r="G188" s="18"/>
      <c r="H188" s="18"/>
      <c r="I188" s="18"/>
      <c r="J188" s="37"/>
      <c r="K188" s="37"/>
    </row>
    <row r="189" spans="1:11" ht="15" customHeight="1">
      <c r="A189" s="19"/>
      <c r="B189" s="7" t="s">
        <v>53</v>
      </c>
      <c r="C189" s="18"/>
      <c r="D189" s="18"/>
      <c r="E189" s="18"/>
      <c r="F189" s="18"/>
      <c r="G189" s="18"/>
      <c r="H189" s="18"/>
      <c r="I189" s="18"/>
      <c r="J189" s="37"/>
      <c r="K189" s="37"/>
    </row>
    <row r="190" spans="1:11" ht="15" customHeight="1">
      <c r="A190" s="19"/>
      <c r="B190" s="18"/>
      <c r="C190" s="18"/>
      <c r="D190" s="18"/>
      <c r="E190" s="87">
        <f>Input!D123+Input!D124</f>
        <v>75000</v>
      </c>
      <c r="F190" s="18"/>
      <c r="G190" s="18" t="s">
        <v>155</v>
      </c>
      <c r="H190" s="18"/>
      <c r="I190" s="25"/>
      <c r="J190" s="37"/>
      <c r="K190" s="37"/>
    </row>
    <row r="191" spans="1:11" ht="15" customHeight="1">
      <c r="A191" s="19"/>
      <c r="B191" s="18"/>
      <c r="C191" s="18"/>
      <c r="D191" s="18" t="s">
        <v>2</v>
      </c>
      <c r="E191" s="87">
        <f>ROUND(E190*(Input!E123/100),2)</f>
        <v>15000</v>
      </c>
      <c r="F191" s="18"/>
      <c r="G191" s="18" t="s">
        <v>97</v>
      </c>
      <c r="H191" s="18"/>
      <c r="I191" s="25"/>
      <c r="J191" s="37"/>
      <c r="K191" s="37"/>
    </row>
    <row r="192" spans="1:11" ht="15" customHeight="1">
      <c r="A192" s="19"/>
      <c r="B192" s="18"/>
      <c r="C192" s="18"/>
      <c r="D192" s="18" t="s">
        <v>59</v>
      </c>
      <c r="E192" s="117">
        <f>Input!G123</f>
        <v>10</v>
      </c>
      <c r="F192" s="18"/>
      <c r="G192" s="18" t="s">
        <v>98</v>
      </c>
      <c r="H192" s="18"/>
      <c r="I192" s="25"/>
      <c r="J192" s="37"/>
      <c r="K192" s="37"/>
    </row>
    <row r="193" spans="1:11" ht="15" customHeight="1">
      <c r="A193" s="19"/>
      <c r="B193" s="18"/>
      <c r="C193" s="18"/>
      <c r="D193" s="9" t="s">
        <v>59</v>
      </c>
      <c r="E193" s="145">
        <f>Input!E14</f>
        <v>500</v>
      </c>
      <c r="F193" s="18"/>
      <c r="G193" s="9" t="s">
        <v>85</v>
      </c>
      <c r="H193" s="10"/>
      <c r="I193" s="25"/>
      <c r="J193" s="37"/>
      <c r="K193" s="37"/>
    </row>
    <row r="194" spans="1:11" ht="15" customHeight="1">
      <c r="A194" s="19"/>
      <c r="B194" s="18"/>
      <c r="C194" s="18"/>
      <c r="D194" s="10" t="s">
        <v>59</v>
      </c>
      <c r="E194" s="142">
        <f>Input!$E$20</f>
        <v>2</v>
      </c>
      <c r="F194" s="52"/>
      <c r="G194" s="10" t="s">
        <v>291</v>
      </c>
      <c r="H194" s="10"/>
      <c r="I194" s="25"/>
      <c r="J194" s="37"/>
      <c r="K194" s="37"/>
    </row>
    <row r="195" spans="1:11" ht="15" customHeight="1">
      <c r="A195" s="19"/>
      <c r="B195" s="18"/>
      <c r="C195" s="18"/>
      <c r="D195" s="7" t="s">
        <v>61</v>
      </c>
      <c r="E195" s="29">
        <f>ROUND((((E190-E191)/E192/E193)/E194),2)</f>
        <v>6</v>
      </c>
      <c r="F195" s="26"/>
      <c r="G195" s="7" t="s">
        <v>71</v>
      </c>
      <c r="H195" s="7"/>
      <c r="I195" s="25"/>
      <c r="J195" s="37"/>
      <c r="K195" s="37"/>
    </row>
    <row r="196" spans="1:11" ht="15" customHeight="1">
      <c r="A196" s="19"/>
      <c r="B196" s="18"/>
      <c r="C196" s="18"/>
      <c r="D196" s="18"/>
      <c r="E196" s="18"/>
      <c r="F196" s="18"/>
      <c r="G196" s="18"/>
      <c r="H196" s="18"/>
      <c r="I196" s="18"/>
      <c r="J196" s="37"/>
      <c r="K196" s="37"/>
    </row>
    <row r="197" spans="1:11" ht="15" customHeight="1">
      <c r="A197" s="19"/>
      <c r="B197" s="7" t="s">
        <v>54</v>
      </c>
      <c r="C197" s="18"/>
      <c r="D197" s="170" t="s">
        <v>204</v>
      </c>
      <c r="E197" s="171"/>
      <c r="F197" s="171"/>
      <c r="G197" s="171"/>
      <c r="H197" s="171"/>
      <c r="I197" s="172"/>
      <c r="J197" s="37"/>
      <c r="K197" s="37"/>
    </row>
    <row r="198" spans="1:11" ht="15" customHeight="1">
      <c r="A198" s="19"/>
      <c r="B198" s="7"/>
      <c r="C198" s="18"/>
      <c r="D198" s="18"/>
      <c r="E198" s="56" t="s">
        <v>231</v>
      </c>
      <c r="G198" s="57"/>
      <c r="H198" s="57"/>
      <c r="I198" s="57"/>
      <c r="J198" s="37"/>
      <c r="K198" s="37"/>
    </row>
    <row r="199" spans="1:11" ht="15" customHeight="1">
      <c r="A199" s="19"/>
      <c r="B199" s="7" t="s">
        <v>55</v>
      </c>
      <c r="C199" s="18"/>
      <c r="D199" s="18"/>
      <c r="E199" s="18"/>
      <c r="F199" s="18"/>
      <c r="G199" s="18"/>
      <c r="H199" s="18"/>
      <c r="I199" s="18"/>
      <c r="J199" s="37"/>
      <c r="K199" s="37"/>
    </row>
    <row r="200" spans="1:11" ht="15" customHeight="1">
      <c r="A200" s="19"/>
      <c r="B200" s="18"/>
      <c r="C200" s="18"/>
      <c r="D200" s="18"/>
      <c r="E200" s="87">
        <f>E182</f>
        <v>71170</v>
      </c>
      <c r="F200" s="18"/>
      <c r="G200" s="18" t="s">
        <v>155</v>
      </c>
      <c r="H200" s="18"/>
      <c r="I200" s="25"/>
      <c r="J200" s="37"/>
      <c r="K200" s="37"/>
    </row>
    <row r="201" spans="1:11" ht="15" customHeight="1">
      <c r="A201" s="19"/>
      <c r="B201" s="18"/>
      <c r="C201" s="18"/>
      <c r="D201" s="18" t="s">
        <v>84</v>
      </c>
      <c r="E201" s="87">
        <f>E183</f>
        <v>7117</v>
      </c>
      <c r="F201" s="18"/>
      <c r="G201" s="18" t="s">
        <v>97</v>
      </c>
      <c r="H201" s="18"/>
      <c r="I201" s="25"/>
      <c r="J201" s="37"/>
      <c r="K201" s="37"/>
    </row>
    <row r="202" spans="1:11" ht="15" customHeight="1">
      <c r="A202" s="19"/>
      <c r="B202" s="18"/>
      <c r="C202" s="18"/>
      <c r="D202" s="18" t="s">
        <v>59</v>
      </c>
      <c r="E202" s="117">
        <v>2</v>
      </c>
      <c r="F202" s="18"/>
      <c r="G202" s="18" t="s">
        <v>94</v>
      </c>
      <c r="H202" s="18"/>
      <c r="I202" s="25"/>
      <c r="J202" s="37"/>
      <c r="K202" s="37"/>
    </row>
    <row r="203" spans="1:11" ht="15" customHeight="1">
      <c r="A203" s="19"/>
      <c r="B203" s="18"/>
      <c r="C203" s="18"/>
      <c r="D203" s="18" t="s">
        <v>69</v>
      </c>
      <c r="E203" s="124">
        <f>Input!E102</f>
        <v>4</v>
      </c>
      <c r="F203" s="18"/>
      <c r="G203" s="18" t="s">
        <v>234</v>
      </c>
      <c r="H203" s="18"/>
      <c r="I203" s="25"/>
      <c r="J203" s="37"/>
      <c r="K203" s="37"/>
    </row>
    <row r="204" spans="1:11" ht="15" customHeight="1">
      <c r="A204" s="19"/>
      <c r="B204" s="18"/>
      <c r="C204" s="18"/>
      <c r="D204" s="9" t="s">
        <v>59</v>
      </c>
      <c r="E204" s="145">
        <f>Input!E14</f>
        <v>500</v>
      </c>
      <c r="F204" s="18"/>
      <c r="G204" s="9" t="s">
        <v>85</v>
      </c>
      <c r="H204" s="10"/>
      <c r="I204" s="25"/>
      <c r="J204" s="37"/>
      <c r="K204" s="37"/>
    </row>
    <row r="205" spans="1:11" ht="15" customHeight="1">
      <c r="A205" s="19"/>
      <c r="B205" s="18"/>
      <c r="C205" s="18"/>
      <c r="D205" s="10" t="s">
        <v>59</v>
      </c>
      <c r="E205" s="142">
        <f>Input!$E$20</f>
        <v>2</v>
      </c>
      <c r="F205" s="52"/>
      <c r="G205" s="10" t="s">
        <v>291</v>
      </c>
      <c r="H205" s="10"/>
      <c r="I205" s="25"/>
      <c r="J205" s="37"/>
      <c r="K205" s="37"/>
    </row>
    <row r="206" spans="1:11" ht="15" customHeight="1">
      <c r="A206" s="19"/>
      <c r="B206" s="18"/>
      <c r="C206" s="18"/>
      <c r="D206" s="7" t="s">
        <v>61</v>
      </c>
      <c r="E206" s="82">
        <f>ROUND((((E200+E201)/E202*(E203)/E204)/E205),2)/100</f>
        <v>1.5656999999999999</v>
      </c>
      <c r="F206" s="26"/>
      <c r="G206" s="7" t="s">
        <v>71</v>
      </c>
      <c r="H206" s="7"/>
      <c r="I206" s="25"/>
      <c r="J206" s="37"/>
      <c r="K206" s="37"/>
    </row>
    <row r="207" spans="1:11" ht="15" customHeight="1">
      <c r="A207" s="19"/>
      <c r="B207" s="18"/>
      <c r="C207" s="18"/>
      <c r="D207" s="18"/>
      <c r="E207" s="18"/>
      <c r="F207" s="18"/>
      <c r="G207" s="18"/>
      <c r="H207" s="18"/>
      <c r="I207" s="18"/>
      <c r="J207" s="37"/>
      <c r="K207" s="37"/>
    </row>
    <row r="208" spans="1:11" ht="15" customHeight="1">
      <c r="A208" s="19"/>
      <c r="B208" s="7" t="s">
        <v>56</v>
      </c>
      <c r="C208" s="18"/>
      <c r="D208" s="18"/>
      <c r="E208" s="18"/>
      <c r="F208" s="18"/>
      <c r="G208" s="18"/>
      <c r="H208" s="18"/>
      <c r="I208" s="18"/>
      <c r="J208" s="37"/>
      <c r="K208" s="37"/>
    </row>
    <row r="209" spans="1:11" ht="15" customHeight="1">
      <c r="A209" s="19"/>
      <c r="B209" s="18"/>
      <c r="C209" s="18"/>
      <c r="D209" s="18"/>
      <c r="E209" s="30">
        <f>E190</f>
        <v>75000</v>
      </c>
      <c r="F209" s="18"/>
      <c r="G209" s="18" t="s">
        <v>155</v>
      </c>
      <c r="H209" s="18"/>
      <c r="I209" s="25"/>
      <c r="J209" s="37"/>
      <c r="K209" s="37"/>
    </row>
    <row r="210" spans="1:11" ht="15" customHeight="1">
      <c r="A210" s="19"/>
      <c r="B210" s="18"/>
      <c r="C210" s="18"/>
      <c r="D210" s="18" t="s">
        <v>84</v>
      </c>
      <c r="E210" s="30">
        <f>E191</f>
        <v>15000</v>
      </c>
      <c r="F210" s="18"/>
      <c r="G210" s="18" t="s">
        <v>97</v>
      </c>
      <c r="H210" s="18"/>
      <c r="I210" s="25"/>
      <c r="J210" s="37"/>
      <c r="K210" s="37"/>
    </row>
    <row r="211" spans="1:11" ht="15" customHeight="1">
      <c r="A211" s="19"/>
      <c r="B211" s="18"/>
      <c r="C211" s="18"/>
      <c r="D211" s="18" t="s">
        <v>59</v>
      </c>
      <c r="E211" s="117">
        <v>2</v>
      </c>
      <c r="F211" s="18"/>
      <c r="G211" s="18" t="s">
        <v>94</v>
      </c>
      <c r="H211" s="18"/>
      <c r="I211" s="25"/>
      <c r="J211" s="37"/>
      <c r="K211" s="37"/>
    </row>
    <row r="212" spans="1:11" ht="15" customHeight="1">
      <c r="A212" s="19"/>
      <c r="B212" s="18"/>
      <c r="C212" s="18"/>
      <c r="D212" s="18" t="s">
        <v>69</v>
      </c>
      <c r="E212" s="124">
        <f>Input!E102</f>
        <v>4</v>
      </c>
      <c r="F212" s="18"/>
      <c r="G212" s="18" t="s">
        <v>234</v>
      </c>
      <c r="H212" s="18"/>
      <c r="I212" s="25"/>
      <c r="J212" s="37"/>
      <c r="K212" s="37"/>
    </row>
    <row r="213" spans="1:11" ht="15" customHeight="1">
      <c r="A213" s="19"/>
      <c r="B213" s="18"/>
      <c r="C213" s="18"/>
      <c r="D213" s="9" t="s">
        <v>59</v>
      </c>
      <c r="E213" s="145">
        <f>Input!E14</f>
        <v>500</v>
      </c>
      <c r="F213" s="18"/>
      <c r="G213" s="9" t="s">
        <v>85</v>
      </c>
      <c r="H213" s="10"/>
      <c r="I213" s="25"/>
      <c r="J213" s="37"/>
      <c r="K213" s="37"/>
    </row>
    <row r="214" spans="1:11" ht="15" customHeight="1">
      <c r="A214" s="19"/>
      <c r="B214" s="18"/>
      <c r="C214" s="18"/>
      <c r="D214" s="10" t="s">
        <v>59</v>
      </c>
      <c r="E214" s="142">
        <f>Input!$E$20</f>
        <v>2</v>
      </c>
      <c r="F214" s="52"/>
      <c r="G214" s="10" t="s">
        <v>291</v>
      </c>
      <c r="H214" s="10"/>
      <c r="I214" s="25"/>
      <c r="J214" s="37"/>
      <c r="K214" s="37"/>
    </row>
    <row r="215" spans="1:11" ht="15" customHeight="1">
      <c r="A215" s="19"/>
      <c r="B215" s="18"/>
      <c r="C215" s="18"/>
      <c r="D215" s="7" t="s">
        <v>61</v>
      </c>
      <c r="E215" s="82">
        <f>ROUND((((E209+E210)/E211*(E212)/E213)/E214),2)/100</f>
        <v>1.8</v>
      </c>
      <c r="F215" s="26"/>
      <c r="G215" s="7" t="s">
        <v>71</v>
      </c>
      <c r="H215" s="7"/>
      <c r="I215" s="25"/>
      <c r="J215" s="37"/>
      <c r="K215" s="37"/>
    </row>
    <row r="216" spans="1:11" ht="15" customHeight="1">
      <c r="A216" s="19"/>
      <c r="B216" s="18"/>
      <c r="C216" s="18"/>
      <c r="D216" s="18"/>
      <c r="E216" s="18"/>
      <c r="F216" s="18"/>
      <c r="G216" s="18"/>
      <c r="H216" s="18"/>
      <c r="I216" s="18"/>
      <c r="J216" s="37"/>
      <c r="K216" s="37"/>
    </row>
    <row r="217" spans="1:11" ht="15" customHeight="1">
      <c r="A217" s="19"/>
      <c r="B217" s="7" t="s">
        <v>245</v>
      </c>
      <c r="C217" s="18"/>
      <c r="D217" s="18"/>
      <c r="E217" s="18"/>
      <c r="F217" s="18"/>
      <c r="G217" s="18"/>
      <c r="H217" s="18"/>
      <c r="I217" s="18"/>
      <c r="J217" s="37"/>
      <c r="K217" s="37"/>
    </row>
    <row r="218" spans="1:11" ht="15" customHeight="1">
      <c r="A218" s="19"/>
      <c r="B218" s="18"/>
      <c r="C218" s="18"/>
      <c r="D218" s="18"/>
      <c r="E218" s="118">
        <f>Input!E130</f>
        <v>1.25</v>
      </c>
      <c r="F218" s="18"/>
      <c r="G218" s="18" t="s">
        <v>264</v>
      </c>
      <c r="H218" s="18"/>
      <c r="I218" s="25"/>
      <c r="J218" s="37"/>
      <c r="K218" s="37"/>
    </row>
    <row r="219" spans="1:11" ht="15" customHeight="1">
      <c r="A219" s="19"/>
      <c r="B219" s="18"/>
      <c r="C219" s="18"/>
      <c r="D219" s="10" t="s">
        <v>69</v>
      </c>
      <c r="E219" s="85">
        <f>Input!E131</f>
        <v>11</v>
      </c>
      <c r="F219" s="18"/>
      <c r="G219" s="10" t="s">
        <v>99</v>
      </c>
      <c r="H219" s="10"/>
      <c r="I219" s="25"/>
      <c r="J219" s="37"/>
      <c r="K219" s="37"/>
    </row>
    <row r="220" spans="1:11" ht="15" customHeight="1">
      <c r="A220" s="19"/>
      <c r="B220" s="18"/>
      <c r="C220" s="18"/>
      <c r="D220" s="7" t="s">
        <v>61</v>
      </c>
      <c r="E220" s="82">
        <f>ROUND(E218*E219,2)</f>
        <v>13.75</v>
      </c>
      <c r="F220" s="26"/>
      <c r="G220" s="7" t="s">
        <v>71</v>
      </c>
      <c r="H220" s="7"/>
      <c r="I220" s="25"/>
      <c r="J220" s="37"/>
      <c r="K220" s="37"/>
    </row>
    <row r="221" spans="1:9" ht="15" customHeight="1">
      <c r="A221" s="19"/>
      <c r="B221" s="19"/>
      <c r="C221" s="19"/>
      <c r="D221" s="19"/>
      <c r="E221" s="19"/>
      <c r="F221" s="19"/>
      <c r="G221" s="19"/>
      <c r="H221" s="19"/>
      <c r="I221" s="19"/>
    </row>
  </sheetData>
  <sheetProtection password="C7C6" sheet="1" objects="1" scenarios="1"/>
  <mergeCells count="6">
    <mergeCell ref="B2:I2"/>
    <mergeCell ref="D197:I197"/>
    <mergeCell ref="A11:I11"/>
    <mergeCell ref="D179:G179"/>
    <mergeCell ref="D180:G180"/>
    <mergeCell ref="B156:I156"/>
  </mergeCells>
  <printOptions/>
  <pageMargins left="0.75" right="0.75" top="1" bottom="1" header="0.5" footer="0.5"/>
  <pageSetup firstPageNumber="3" useFirstPageNumber="1" fitToHeight="4" horizontalDpi="180" verticalDpi="180" orientation="portrait" scale="90" r:id="rId1"/>
  <headerFooter alignWithMargins="0">
    <oddHeader>&amp;L&amp;9Guidelines: Shortkeep Cattle Production Costs&amp;R&amp;P</oddHeader>
    <oddFooter>&amp;R&amp;"Arial,Italic"&amp;9MAFRI, Policy Analysis Branch</oddFooter>
  </headerFooter>
  <rowBreaks count="5" manualBreakCount="5">
    <brk id="45" max="255" man="1"/>
    <brk id="88" max="255" man="1"/>
    <brk id="136" max="255" man="1"/>
    <brk id="153" max="255" man="1"/>
    <brk id="195" max="255" man="1"/>
  </rowBreaks>
  <ignoredErrors>
    <ignoredError sqref="E140" emptyCellReference="1"/>
    <ignoredError sqref="E198" numberStoredAsText="1"/>
  </ignoredErrors>
</worksheet>
</file>

<file path=xl/worksheets/sheet5.xml><?xml version="1.0" encoding="utf-8"?>
<worksheet xmlns="http://schemas.openxmlformats.org/spreadsheetml/2006/main" xmlns:r="http://schemas.openxmlformats.org/officeDocument/2006/relationships">
  <sheetPr codeName="Sheet5"/>
  <dimension ref="A2:J207"/>
  <sheetViews>
    <sheetView showGridLines="0" workbookViewId="0" topLeftCell="A1">
      <selection activeCell="A1" sqref="A1"/>
    </sheetView>
  </sheetViews>
  <sheetFormatPr defaultColWidth="8.88671875" defaultRowHeight="15"/>
  <cols>
    <col min="1" max="1" width="5.5546875" style="0" customWidth="1"/>
    <col min="2" max="2" width="9.6640625" style="0" customWidth="1"/>
    <col min="3" max="3" width="5.99609375" style="0" customWidth="1"/>
    <col min="4" max="4" width="6.3359375" style="0" customWidth="1"/>
    <col min="5" max="5" width="3.99609375" style="0" customWidth="1"/>
    <col min="6" max="6" width="10.99609375" style="0" customWidth="1"/>
    <col min="7" max="7" width="1.99609375" style="0" customWidth="1"/>
    <col min="9" max="9" width="10.4453125" style="0" customWidth="1"/>
    <col min="10" max="10" width="11.99609375" style="0" customWidth="1"/>
  </cols>
  <sheetData>
    <row r="2" spans="1:10" ht="15.75">
      <c r="A2" s="179" t="s">
        <v>142</v>
      </c>
      <c r="B2" s="180"/>
      <c r="C2" s="180"/>
      <c r="D2" s="180"/>
      <c r="E2" s="180"/>
      <c r="F2" s="180"/>
      <c r="G2" s="180"/>
      <c r="H2" s="180"/>
      <c r="I2" s="180"/>
      <c r="J2" s="180"/>
    </row>
    <row r="4" spans="1:10" ht="15.75">
      <c r="A4" s="3" t="s">
        <v>134</v>
      </c>
      <c r="B4" s="2"/>
      <c r="C4" s="2"/>
      <c r="D4" s="2"/>
      <c r="E4" s="2"/>
      <c r="F4" s="2"/>
      <c r="G4" s="2"/>
      <c r="H4" s="2"/>
      <c r="I4" s="2"/>
      <c r="J4" s="11" t="s">
        <v>121</v>
      </c>
    </row>
    <row r="5" spans="1:10" ht="15.75">
      <c r="A5" s="2"/>
      <c r="B5" s="3" t="s">
        <v>57</v>
      </c>
      <c r="C5" s="2"/>
      <c r="D5" s="2"/>
      <c r="E5" s="2"/>
      <c r="F5" s="89">
        <f>Summary!F9</f>
        <v>345.63</v>
      </c>
      <c r="G5" s="2"/>
      <c r="H5" s="2" t="s">
        <v>58</v>
      </c>
      <c r="I5" s="2"/>
      <c r="J5" s="4"/>
    </row>
    <row r="6" spans="1:10" ht="15">
      <c r="A6" s="2"/>
      <c r="B6" s="2"/>
      <c r="C6" s="2"/>
      <c r="D6" s="2"/>
      <c r="E6" s="135" t="s">
        <v>59</v>
      </c>
      <c r="F6" s="130">
        <f>(Input!$E$18-(Input!$E$18*Input!$E$21/100))-(Input!$E$16-(Input!$E$16*Input!$E$22/100))</f>
        <v>527.5</v>
      </c>
      <c r="G6" s="2"/>
      <c r="H6" s="6" t="s">
        <v>60</v>
      </c>
      <c r="I6" s="2"/>
      <c r="J6" s="4"/>
    </row>
    <row r="7" spans="1:10" ht="15.75">
      <c r="A7" s="2"/>
      <c r="B7" s="2"/>
      <c r="C7" s="2"/>
      <c r="D7" s="2"/>
      <c r="E7" s="3" t="s">
        <v>61</v>
      </c>
      <c r="F7" s="90">
        <f>F5/F6</f>
        <v>0.6552227488151658</v>
      </c>
      <c r="G7" s="2"/>
      <c r="H7" s="5" t="s">
        <v>62</v>
      </c>
      <c r="I7" s="2"/>
      <c r="J7" s="4"/>
    </row>
    <row r="8" spans="1:9" ht="15">
      <c r="A8" s="2"/>
      <c r="B8" s="2"/>
      <c r="C8" s="2"/>
      <c r="D8" s="2"/>
      <c r="E8" s="2"/>
      <c r="F8" s="2"/>
      <c r="G8" s="2"/>
      <c r="H8" s="2"/>
      <c r="I8" s="2"/>
    </row>
    <row r="9" spans="1:10" ht="15.75">
      <c r="A9" s="2"/>
      <c r="B9" s="3" t="s">
        <v>15</v>
      </c>
      <c r="C9" s="2"/>
      <c r="D9" s="2"/>
      <c r="E9" s="2"/>
      <c r="F9" s="89">
        <f>Summary!F23</f>
        <v>1378.82</v>
      </c>
      <c r="G9" s="2"/>
      <c r="H9" s="2" t="s">
        <v>63</v>
      </c>
      <c r="I9" s="2"/>
      <c r="J9" s="4"/>
    </row>
    <row r="10" spans="1:10" ht="15">
      <c r="A10" s="2"/>
      <c r="B10" s="2"/>
      <c r="C10" s="2"/>
      <c r="D10" s="2"/>
      <c r="E10" s="2" t="s">
        <v>2</v>
      </c>
      <c r="F10" s="89">
        <f>Details!$E$50</f>
        <v>833</v>
      </c>
      <c r="G10" s="2"/>
      <c r="H10" s="2" t="s">
        <v>64</v>
      </c>
      <c r="I10" s="2"/>
      <c r="J10" s="4"/>
    </row>
    <row r="11" spans="1:10" ht="15">
      <c r="A11" s="2"/>
      <c r="B11" s="2"/>
      <c r="C11" s="2"/>
      <c r="D11" s="2"/>
      <c r="E11" s="135" t="s">
        <v>59</v>
      </c>
      <c r="F11" s="130">
        <f>(Input!$E$18-(Input!$E$18*Input!$E$21/100))-(Input!$E$16-(Input!$E$16*Input!$E$22/100))</f>
        <v>527.5</v>
      </c>
      <c r="G11" s="2"/>
      <c r="H11" s="6" t="s">
        <v>60</v>
      </c>
      <c r="I11" s="2"/>
      <c r="J11" s="4"/>
    </row>
    <row r="12" spans="1:10" ht="15.75">
      <c r="A12" s="2"/>
      <c r="B12" s="2"/>
      <c r="C12" s="2"/>
      <c r="D12" s="2"/>
      <c r="E12" s="3" t="s">
        <v>61</v>
      </c>
      <c r="F12" s="90">
        <f>(F9-F10)/F11</f>
        <v>1.0347298578199051</v>
      </c>
      <c r="G12" s="2"/>
      <c r="H12" s="5" t="s">
        <v>62</v>
      </c>
      <c r="I12" s="2"/>
      <c r="J12" s="4"/>
    </row>
    <row r="13" spans="1:9" ht="15">
      <c r="A13" s="2"/>
      <c r="B13" s="2"/>
      <c r="C13" s="2"/>
      <c r="D13" s="2"/>
      <c r="E13" s="2"/>
      <c r="F13" s="2"/>
      <c r="G13" s="2"/>
      <c r="H13" s="2"/>
      <c r="I13" s="2"/>
    </row>
    <row r="14" spans="1:10" ht="15.75">
      <c r="A14" s="2"/>
      <c r="B14" s="3" t="s">
        <v>222</v>
      </c>
      <c r="C14" s="2"/>
      <c r="D14" s="2"/>
      <c r="E14" s="2"/>
      <c r="F14" s="89">
        <f>Summary!F32</f>
        <v>1391.3857</v>
      </c>
      <c r="G14" s="2"/>
      <c r="H14" s="2" t="s">
        <v>65</v>
      </c>
      <c r="I14" s="2"/>
      <c r="J14" s="4"/>
    </row>
    <row r="15" spans="1:10" ht="15.75">
      <c r="A15" s="2"/>
      <c r="B15" s="5" t="s">
        <v>223</v>
      </c>
      <c r="C15" s="2"/>
      <c r="D15" s="2"/>
      <c r="E15" s="2" t="s">
        <v>2</v>
      </c>
      <c r="F15" s="89">
        <f>Details!$E$50</f>
        <v>833</v>
      </c>
      <c r="G15" s="2"/>
      <c r="H15" s="2" t="s">
        <v>64</v>
      </c>
      <c r="I15" s="2"/>
      <c r="J15" s="4"/>
    </row>
    <row r="16" spans="1:10" ht="15">
      <c r="A16" s="2"/>
      <c r="B16" s="2"/>
      <c r="C16" s="2"/>
      <c r="D16" s="2"/>
      <c r="E16" s="136" t="s">
        <v>59</v>
      </c>
      <c r="F16" s="130">
        <f>(Input!$E$18-(Input!$E$18*Input!$E$21/100))-(Input!$E$16-(Input!$E$16*Input!$E$22/100))</f>
        <v>527.5</v>
      </c>
      <c r="G16" s="2"/>
      <c r="H16" s="6" t="s">
        <v>60</v>
      </c>
      <c r="I16" s="2"/>
      <c r="J16" s="4"/>
    </row>
    <row r="17" spans="1:10" ht="15.75">
      <c r="A17" s="2"/>
      <c r="B17" s="2"/>
      <c r="C17" s="2"/>
      <c r="D17" s="2"/>
      <c r="E17" s="126" t="s">
        <v>61</v>
      </c>
      <c r="F17" s="90">
        <f>(F14-F15)/F16</f>
        <v>1.0585510900473933</v>
      </c>
      <c r="G17" s="2"/>
      <c r="H17" s="5" t="s">
        <v>62</v>
      </c>
      <c r="I17" s="2"/>
      <c r="J17" s="4"/>
    </row>
    <row r="18" spans="1:9" ht="15">
      <c r="A18" s="2"/>
      <c r="B18" s="2"/>
      <c r="C18" s="2"/>
      <c r="D18" s="2"/>
      <c r="E18" s="125"/>
      <c r="F18" s="2"/>
      <c r="G18" s="2"/>
      <c r="H18" s="2"/>
      <c r="I18" s="2"/>
    </row>
    <row r="19" spans="1:10" ht="15.75">
      <c r="A19" s="2"/>
      <c r="B19" s="3" t="s">
        <v>16</v>
      </c>
      <c r="C19" s="2"/>
      <c r="D19" s="2"/>
      <c r="E19" s="2"/>
      <c r="F19" s="89">
        <f>Summary!F35</f>
        <v>1405.1357</v>
      </c>
      <c r="G19" s="2"/>
      <c r="H19" s="2" t="s">
        <v>248</v>
      </c>
      <c r="I19" s="2"/>
      <c r="J19" s="4"/>
    </row>
    <row r="20" spans="1:10" ht="15">
      <c r="A20" s="2"/>
      <c r="B20" s="2"/>
      <c r="C20" s="2"/>
      <c r="D20" s="2"/>
      <c r="E20" s="2" t="s">
        <v>2</v>
      </c>
      <c r="F20" s="89">
        <f>Details!$E$50</f>
        <v>833</v>
      </c>
      <c r="G20" s="2"/>
      <c r="H20" s="2" t="s">
        <v>64</v>
      </c>
      <c r="I20" s="2"/>
      <c r="J20" s="4"/>
    </row>
    <row r="21" spans="1:10" ht="15">
      <c r="A21" s="2"/>
      <c r="B21" s="2"/>
      <c r="C21" s="2"/>
      <c r="D21" s="2"/>
      <c r="E21" s="135" t="s">
        <v>59</v>
      </c>
      <c r="F21" s="130">
        <f>(Input!$E$18-(Input!$E$18*Input!$E$21/100))-(Input!$E$16-(Input!$E$16*Input!$E$22/100))</f>
        <v>527.5</v>
      </c>
      <c r="G21" s="2"/>
      <c r="H21" s="6" t="s">
        <v>60</v>
      </c>
      <c r="I21" s="2"/>
      <c r="J21" s="4"/>
    </row>
    <row r="22" spans="1:10" ht="15.75">
      <c r="A22" s="2"/>
      <c r="B22" s="2"/>
      <c r="C22" s="2"/>
      <c r="D22" s="2"/>
      <c r="E22" s="3" t="s">
        <v>61</v>
      </c>
      <c r="F22" s="90">
        <f>(F19-F20)/F21</f>
        <v>1.084617440758294</v>
      </c>
      <c r="G22" s="2"/>
      <c r="H22" s="5" t="s">
        <v>62</v>
      </c>
      <c r="I22" s="2"/>
      <c r="J22" s="4"/>
    </row>
    <row r="23" spans="1:9" ht="15">
      <c r="A23" s="2"/>
      <c r="B23" s="2"/>
      <c r="C23" s="2"/>
      <c r="D23" s="2"/>
      <c r="E23" s="125"/>
      <c r="F23" s="2"/>
      <c r="G23" s="2"/>
      <c r="H23" s="2"/>
      <c r="I23" s="2"/>
    </row>
    <row r="24" spans="1:9" ht="15.75">
      <c r="A24" s="3" t="s">
        <v>162</v>
      </c>
      <c r="B24" s="2"/>
      <c r="C24" s="2"/>
      <c r="D24" s="2"/>
      <c r="E24" s="125"/>
      <c r="F24" s="2"/>
      <c r="G24" s="2"/>
      <c r="H24" s="2"/>
      <c r="I24" s="2"/>
    </row>
    <row r="25" spans="1:10" ht="15.75">
      <c r="A25" s="2"/>
      <c r="B25" s="3" t="s">
        <v>15</v>
      </c>
      <c r="C25" s="2"/>
      <c r="D25" s="2"/>
      <c r="E25" s="125"/>
      <c r="F25" s="89">
        <f>Summary!F23</f>
        <v>1378.82</v>
      </c>
      <c r="G25" s="2"/>
      <c r="H25" s="2" t="s">
        <v>63</v>
      </c>
      <c r="I25" s="2"/>
      <c r="J25" s="4"/>
    </row>
    <row r="26" spans="1:10" ht="15">
      <c r="A26" s="2"/>
      <c r="B26" s="2"/>
      <c r="C26" s="2"/>
      <c r="D26" s="2"/>
      <c r="E26" s="135" t="s">
        <v>59</v>
      </c>
      <c r="F26" s="130">
        <f>(Input!$E$18-(Input!$E$18*Input!$E$21/100))</f>
        <v>1377.5</v>
      </c>
      <c r="G26" s="6"/>
      <c r="H26" s="6" t="s">
        <v>67</v>
      </c>
      <c r="I26" s="2"/>
      <c r="J26" s="4"/>
    </row>
    <row r="27" spans="1:10" ht="15.75">
      <c r="A27" s="2"/>
      <c r="B27" s="2"/>
      <c r="C27" s="2"/>
      <c r="D27" s="2"/>
      <c r="E27" s="3" t="s">
        <v>61</v>
      </c>
      <c r="F27" s="90">
        <f>F25/F26</f>
        <v>1.0009582577132485</v>
      </c>
      <c r="G27" s="2"/>
      <c r="H27" s="5" t="s">
        <v>68</v>
      </c>
      <c r="I27" s="2"/>
      <c r="J27" s="4"/>
    </row>
    <row r="28" spans="1:9" ht="15">
      <c r="A28" s="2"/>
      <c r="B28" s="2"/>
      <c r="C28" s="2"/>
      <c r="D28" s="2"/>
      <c r="E28" s="2"/>
      <c r="F28" s="2"/>
      <c r="G28" s="2"/>
      <c r="H28" s="2"/>
      <c r="I28" s="2"/>
    </row>
    <row r="29" spans="1:10" ht="15.75">
      <c r="A29" s="2"/>
      <c r="B29" s="3" t="s">
        <v>222</v>
      </c>
      <c r="C29" s="2"/>
      <c r="D29" s="2"/>
      <c r="E29" s="2"/>
      <c r="F29" s="89">
        <f>Summary!F32</f>
        <v>1391.3857</v>
      </c>
      <c r="G29" s="2"/>
      <c r="H29" s="2" t="s">
        <v>65</v>
      </c>
      <c r="I29" s="2"/>
      <c r="J29" s="4"/>
    </row>
    <row r="30" spans="1:10" ht="15.75">
      <c r="A30" s="2"/>
      <c r="B30" s="5" t="s">
        <v>223</v>
      </c>
      <c r="C30" s="2"/>
      <c r="D30" s="2"/>
      <c r="E30" s="136" t="s">
        <v>59</v>
      </c>
      <c r="F30" s="130">
        <f>(Input!$E$18-(Input!$E$18*Input!$E$21/100))</f>
        <v>1377.5</v>
      </c>
      <c r="G30" s="2"/>
      <c r="H30" s="6" t="s">
        <v>67</v>
      </c>
      <c r="I30" s="2"/>
      <c r="J30" s="4"/>
    </row>
    <row r="31" spans="1:10" ht="15.75">
      <c r="A31" s="2"/>
      <c r="B31" s="2"/>
      <c r="C31" s="2"/>
      <c r="D31" s="2"/>
      <c r="E31" s="126" t="s">
        <v>61</v>
      </c>
      <c r="F31" s="90">
        <f>F29/F30</f>
        <v>1.0100803629764066</v>
      </c>
      <c r="G31" s="2"/>
      <c r="H31" s="5" t="s">
        <v>68</v>
      </c>
      <c r="I31" s="2"/>
      <c r="J31" s="4"/>
    </row>
    <row r="32" spans="1:9" ht="15">
      <c r="A32" s="2"/>
      <c r="B32" s="2"/>
      <c r="C32" s="2"/>
      <c r="D32" s="2"/>
      <c r="E32" s="125"/>
      <c r="F32" s="2"/>
      <c r="G32" s="2"/>
      <c r="H32" s="2"/>
      <c r="I32" s="2"/>
    </row>
    <row r="33" spans="1:10" ht="15.75">
      <c r="A33" s="2"/>
      <c r="B33" s="3" t="s">
        <v>16</v>
      </c>
      <c r="C33" s="2"/>
      <c r="D33" s="2"/>
      <c r="E33" s="2"/>
      <c r="F33" s="89">
        <f>Summary!F35</f>
        <v>1405.1357</v>
      </c>
      <c r="G33" s="2"/>
      <c r="H33" s="2" t="s">
        <v>248</v>
      </c>
      <c r="I33" s="2"/>
      <c r="J33" s="4"/>
    </row>
    <row r="34" spans="1:10" ht="15">
      <c r="A34" s="2"/>
      <c r="B34" s="2"/>
      <c r="C34" s="2"/>
      <c r="D34" s="2"/>
      <c r="E34" s="135" t="s">
        <v>59</v>
      </c>
      <c r="F34" s="130">
        <f>(Input!$E$18-(Input!$E$18*Input!$E$21/100))</f>
        <v>1377.5</v>
      </c>
      <c r="G34" s="2"/>
      <c r="H34" s="6" t="s">
        <v>67</v>
      </c>
      <c r="I34" s="2"/>
      <c r="J34" s="4"/>
    </row>
    <row r="35" spans="1:10" ht="15.75">
      <c r="A35" s="2"/>
      <c r="B35" s="2"/>
      <c r="C35" s="2"/>
      <c r="D35" s="2"/>
      <c r="E35" s="3" t="s">
        <v>61</v>
      </c>
      <c r="F35" s="90">
        <f>F33/F34</f>
        <v>1.0200622141560798</v>
      </c>
      <c r="G35" s="2"/>
      <c r="H35" s="5" t="s">
        <v>68</v>
      </c>
      <c r="I35" s="2"/>
      <c r="J35" s="107"/>
    </row>
    <row r="36" spans="1:10" ht="15.75">
      <c r="A36" s="2"/>
      <c r="B36" s="2"/>
      <c r="C36" s="2"/>
      <c r="D36" s="2"/>
      <c r="E36" s="3"/>
      <c r="F36" s="90"/>
      <c r="G36" s="2"/>
      <c r="H36" s="5"/>
      <c r="I36" s="2"/>
      <c r="J36" s="2"/>
    </row>
    <row r="37" spans="2:10" ht="15.75">
      <c r="B37" s="2"/>
      <c r="C37" s="2"/>
      <c r="D37" s="2"/>
      <c r="E37" s="3"/>
      <c r="F37" s="90"/>
      <c r="G37" s="2"/>
      <c r="H37" s="5"/>
      <c r="I37" s="2"/>
      <c r="J37" s="2"/>
    </row>
    <row r="38" spans="1:10" ht="15.75">
      <c r="A38" s="3" t="s">
        <v>254</v>
      </c>
      <c r="C38" s="2"/>
      <c r="D38" s="2"/>
      <c r="E38" s="3"/>
      <c r="F38" s="90"/>
      <c r="G38" s="2"/>
      <c r="H38" s="5"/>
      <c r="I38" s="2"/>
      <c r="J38" s="2"/>
    </row>
    <row r="39" spans="1:10" ht="15.75">
      <c r="A39" s="2"/>
      <c r="B39" s="3" t="s">
        <v>15</v>
      </c>
      <c r="C39" s="2"/>
      <c r="D39" s="2"/>
      <c r="E39" s="3"/>
      <c r="F39" s="131">
        <f>ROUND((Input!$E$18-(Input!$E$18*Input!$E$21/100)),0)</f>
        <v>1378</v>
      </c>
      <c r="G39" s="2"/>
      <c r="H39" s="99" t="s">
        <v>67</v>
      </c>
      <c r="I39" s="2"/>
      <c r="J39" s="4"/>
    </row>
    <row r="40" spans="1:10" ht="15">
      <c r="A40" s="2"/>
      <c r="B40" s="2"/>
      <c r="C40" s="2"/>
      <c r="D40" s="2"/>
      <c r="E40" s="104" t="s">
        <v>69</v>
      </c>
      <c r="F40" s="103">
        <f>Input!$E$19</f>
        <v>91</v>
      </c>
      <c r="G40" s="2"/>
      <c r="H40" s="100" t="s">
        <v>249</v>
      </c>
      <c r="I40" s="2"/>
      <c r="J40" s="4"/>
    </row>
    <row r="41" spans="1:10" ht="15">
      <c r="A41" s="2"/>
      <c r="B41" s="2"/>
      <c r="C41" s="2"/>
      <c r="D41" s="2"/>
      <c r="E41" s="104" t="s">
        <v>61</v>
      </c>
      <c r="F41" s="103">
        <f>(F39*F40)/100</f>
        <v>1253.98</v>
      </c>
      <c r="G41" s="2"/>
      <c r="H41" s="100" t="s">
        <v>250</v>
      </c>
      <c r="I41" s="2"/>
      <c r="J41" s="4"/>
    </row>
    <row r="42" spans="1:10" ht="15">
      <c r="A42" s="2"/>
      <c r="B42" s="2"/>
      <c r="C42" s="2"/>
      <c r="D42" s="2"/>
      <c r="E42" s="127" t="s">
        <v>2</v>
      </c>
      <c r="F42" s="103">
        <f>Summary!F23-Details!E50</f>
        <v>545.8199999999999</v>
      </c>
      <c r="G42" s="2"/>
      <c r="H42" s="100" t="s">
        <v>251</v>
      </c>
      <c r="I42" s="2"/>
      <c r="J42" s="4"/>
    </row>
    <row r="43" spans="1:10" ht="15">
      <c r="A43" s="2"/>
      <c r="B43" s="2"/>
      <c r="C43" s="2"/>
      <c r="D43" s="2"/>
      <c r="E43" s="128" t="s">
        <v>59</v>
      </c>
      <c r="F43" s="132">
        <f>Input!$E$16</f>
        <v>850</v>
      </c>
      <c r="G43" s="2"/>
      <c r="H43" s="101" t="s">
        <v>252</v>
      </c>
      <c r="I43" s="2"/>
      <c r="J43" s="4"/>
    </row>
    <row r="44" spans="1:10" ht="15.75">
      <c r="A44" s="2"/>
      <c r="B44" s="2"/>
      <c r="C44" s="2"/>
      <c r="D44" s="2"/>
      <c r="E44" s="106" t="s">
        <v>61</v>
      </c>
      <c r="F44" s="90">
        <f>(F41-F42)/F43</f>
        <v>0.833129411764706</v>
      </c>
      <c r="G44" s="2"/>
      <c r="H44" s="102" t="s">
        <v>253</v>
      </c>
      <c r="I44" s="2"/>
      <c r="J44" s="107"/>
    </row>
    <row r="45" spans="1:10" ht="15.75">
      <c r="A45" s="2"/>
      <c r="B45" s="2"/>
      <c r="C45" s="2"/>
      <c r="D45" s="2"/>
      <c r="E45" s="3"/>
      <c r="F45" s="90"/>
      <c r="G45" s="2"/>
      <c r="H45" s="5"/>
      <c r="I45" s="2"/>
      <c r="J45" s="2"/>
    </row>
    <row r="46" spans="1:10" ht="15.75">
      <c r="A46" s="2"/>
      <c r="B46" s="5" t="s">
        <v>257</v>
      </c>
      <c r="C46" s="2"/>
      <c r="D46" s="2"/>
      <c r="E46" s="126"/>
      <c r="F46" s="131">
        <f>ROUND((Input!$E$18-(Input!$E$18*Input!$E$21/100)),0)</f>
        <v>1378</v>
      </c>
      <c r="G46" s="2"/>
      <c r="H46" s="99" t="s">
        <v>67</v>
      </c>
      <c r="I46" s="2"/>
      <c r="J46" s="4"/>
    </row>
    <row r="47" spans="1:10" ht="15">
      <c r="A47" s="2"/>
      <c r="B47" s="2"/>
      <c r="C47" s="2"/>
      <c r="D47" s="2"/>
      <c r="E47" s="104" t="s">
        <v>69</v>
      </c>
      <c r="F47" s="103">
        <f>Input!$E$19</f>
        <v>91</v>
      </c>
      <c r="G47" s="2"/>
      <c r="H47" s="100" t="s">
        <v>249</v>
      </c>
      <c r="I47" s="2"/>
      <c r="J47" s="4"/>
    </row>
    <row r="48" spans="1:10" ht="15">
      <c r="A48" s="2"/>
      <c r="B48" s="2"/>
      <c r="C48" s="2"/>
      <c r="D48" s="2"/>
      <c r="E48" s="127" t="s">
        <v>61</v>
      </c>
      <c r="F48" s="103">
        <f>(F46*F47)/100</f>
        <v>1253.98</v>
      </c>
      <c r="G48" s="2"/>
      <c r="H48" s="100" t="s">
        <v>250</v>
      </c>
      <c r="I48" s="2"/>
      <c r="J48" s="4"/>
    </row>
    <row r="49" spans="1:10" ht="15">
      <c r="A49" s="2"/>
      <c r="B49" s="2"/>
      <c r="C49" s="2"/>
      <c r="D49" s="2"/>
      <c r="E49" s="104" t="s">
        <v>2</v>
      </c>
      <c r="F49" s="103">
        <f>Summary!F32-Details!E50</f>
        <v>558.3857</v>
      </c>
      <c r="G49" s="2"/>
      <c r="H49" s="100" t="s">
        <v>255</v>
      </c>
      <c r="I49" s="2"/>
      <c r="J49" s="4"/>
    </row>
    <row r="50" spans="1:10" ht="15">
      <c r="A50" s="2"/>
      <c r="B50" s="2"/>
      <c r="C50" s="2"/>
      <c r="D50" s="2"/>
      <c r="E50" s="105" t="s">
        <v>59</v>
      </c>
      <c r="F50" s="132">
        <f>Input!$E$16</f>
        <v>850</v>
      </c>
      <c r="G50" s="2"/>
      <c r="H50" s="101" t="s">
        <v>252</v>
      </c>
      <c r="I50" s="2"/>
      <c r="J50" s="4"/>
    </row>
    <row r="51" spans="1:10" ht="15.75">
      <c r="A51" s="2"/>
      <c r="B51" s="2"/>
      <c r="C51" s="2"/>
      <c r="D51" s="2"/>
      <c r="E51" s="106" t="s">
        <v>61</v>
      </c>
      <c r="F51" s="90">
        <f>(F48-F49)/F50</f>
        <v>0.8183462352941177</v>
      </c>
      <c r="G51" s="2"/>
      <c r="H51" s="102" t="s">
        <v>253</v>
      </c>
      <c r="I51" s="2"/>
      <c r="J51" s="107"/>
    </row>
    <row r="52" spans="1:10" ht="15.75">
      <c r="A52" s="2"/>
      <c r="B52" s="2"/>
      <c r="C52" s="2"/>
      <c r="D52" s="2"/>
      <c r="E52" s="3"/>
      <c r="F52" s="90"/>
      <c r="G52" s="2"/>
      <c r="H52" s="5"/>
      <c r="I52" s="2"/>
      <c r="J52" s="2"/>
    </row>
    <row r="53" spans="1:10" ht="15.75">
      <c r="A53" s="2"/>
      <c r="B53" s="5" t="s">
        <v>258</v>
      </c>
      <c r="C53" s="2"/>
      <c r="D53" s="2"/>
      <c r="E53" s="3"/>
      <c r="F53" s="131">
        <f>ROUND((Input!$E$18-(Input!$E$18*Input!$E$21/100)),0)</f>
        <v>1378</v>
      </c>
      <c r="G53" s="2"/>
      <c r="H53" s="99" t="s">
        <v>67</v>
      </c>
      <c r="I53" s="2"/>
      <c r="J53" s="4"/>
    </row>
    <row r="54" spans="1:10" ht="15">
      <c r="A54" s="2"/>
      <c r="B54" s="2"/>
      <c r="C54" s="2"/>
      <c r="D54" s="2"/>
      <c r="E54" s="127" t="s">
        <v>69</v>
      </c>
      <c r="F54" s="103">
        <f>Input!$E$19</f>
        <v>91</v>
      </c>
      <c r="G54" s="2"/>
      <c r="H54" s="100" t="s">
        <v>249</v>
      </c>
      <c r="I54" s="2"/>
      <c r="J54" s="4"/>
    </row>
    <row r="55" spans="1:10" ht="15">
      <c r="A55" s="2"/>
      <c r="B55" s="2"/>
      <c r="C55" s="2"/>
      <c r="D55" s="2"/>
      <c r="E55" s="104" t="s">
        <v>61</v>
      </c>
      <c r="F55" s="103">
        <f>(F53*F54)/100</f>
        <v>1253.98</v>
      </c>
      <c r="G55" s="2"/>
      <c r="H55" s="100" t="s">
        <v>250</v>
      </c>
      <c r="I55" s="2"/>
      <c r="J55" s="4"/>
    </row>
    <row r="56" spans="1:10" ht="15">
      <c r="A56" s="2"/>
      <c r="B56" s="2"/>
      <c r="C56" s="2"/>
      <c r="D56" s="2"/>
      <c r="E56" s="104" t="s">
        <v>2</v>
      </c>
      <c r="F56" s="103">
        <f>Summary!F35-Details!E50</f>
        <v>572.1357</v>
      </c>
      <c r="G56" s="2"/>
      <c r="H56" s="100" t="s">
        <v>256</v>
      </c>
      <c r="I56" s="2"/>
      <c r="J56" s="4"/>
    </row>
    <row r="57" spans="1:10" ht="15">
      <c r="A57" s="2"/>
      <c r="B57" s="2"/>
      <c r="C57" s="2"/>
      <c r="D57" s="2"/>
      <c r="E57" s="105" t="s">
        <v>59</v>
      </c>
      <c r="F57" s="132">
        <f>Input!$E$16</f>
        <v>850</v>
      </c>
      <c r="G57" s="2"/>
      <c r="H57" s="101" t="s">
        <v>252</v>
      </c>
      <c r="I57" s="2"/>
      <c r="J57" s="4"/>
    </row>
    <row r="58" spans="1:10" ht="15.75">
      <c r="A58" s="2"/>
      <c r="B58" s="2"/>
      <c r="C58" s="2"/>
      <c r="D58" s="2"/>
      <c r="E58" s="106" t="s">
        <v>61</v>
      </c>
      <c r="F58" s="90">
        <f>(F55-F56)/F57</f>
        <v>0.8021697647058823</v>
      </c>
      <c r="G58" s="2"/>
      <c r="H58" s="102" t="s">
        <v>253</v>
      </c>
      <c r="I58" s="2"/>
      <c r="J58" s="4"/>
    </row>
    <row r="59" spans="1:10" ht="15.75">
      <c r="A59" s="2"/>
      <c r="B59" s="2"/>
      <c r="C59" s="2"/>
      <c r="D59" s="2"/>
      <c r="E59" s="3"/>
      <c r="F59" s="90"/>
      <c r="G59" s="2"/>
      <c r="H59" s="5"/>
      <c r="I59" s="2"/>
      <c r="J59" s="2"/>
    </row>
    <row r="60" spans="1:10" ht="15">
      <c r="A60" s="4"/>
      <c r="B60" s="4"/>
      <c r="C60" s="4"/>
      <c r="D60" s="4"/>
      <c r="E60" s="4"/>
      <c r="F60" s="4"/>
      <c r="G60" s="4"/>
      <c r="H60" s="4"/>
      <c r="I60" s="4"/>
      <c r="J60" s="2"/>
    </row>
    <row r="61" spans="1:8" ht="15.75">
      <c r="A61" s="1" t="s">
        <v>274</v>
      </c>
      <c r="B61" s="1"/>
      <c r="C61" s="1"/>
      <c r="D61" s="1"/>
      <c r="E61" s="1"/>
      <c r="F61" s="1"/>
      <c r="G61" s="1"/>
      <c r="H61" s="1"/>
    </row>
    <row r="63" ht="15">
      <c r="A63" t="s">
        <v>138</v>
      </c>
    </row>
    <row r="65" spans="1:6" ht="15">
      <c r="A65" t="s">
        <v>139</v>
      </c>
      <c r="F65" t="s">
        <v>140</v>
      </c>
    </row>
    <row r="66" spans="1:6" ht="15">
      <c r="A66" t="s">
        <v>275</v>
      </c>
      <c r="F66" t="s">
        <v>276</v>
      </c>
    </row>
    <row r="68" spans="1:6" ht="15">
      <c r="A68" t="s">
        <v>236</v>
      </c>
      <c r="E68" s="129"/>
      <c r="F68" t="s">
        <v>141</v>
      </c>
    </row>
    <row r="69" spans="1:6" ht="15">
      <c r="A69" t="s">
        <v>276</v>
      </c>
      <c r="E69" s="129"/>
      <c r="F69" t="s">
        <v>278</v>
      </c>
    </row>
    <row r="70" spans="1:6" ht="15">
      <c r="A70" t="s">
        <v>277</v>
      </c>
      <c r="E70" s="129"/>
      <c r="F70" t="s">
        <v>279</v>
      </c>
    </row>
    <row r="72" ht="15">
      <c r="A72" t="s">
        <v>300</v>
      </c>
    </row>
    <row r="73" ht="15">
      <c r="A73" t="s">
        <v>276</v>
      </c>
    </row>
    <row r="76" ht="15">
      <c r="E76" s="129"/>
    </row>
    <row r="77" ht="15">
      <c r="E77" s="129"/>
    </row>
    <row r="85" ht="15">
      <c r="E85" s="129"/>
    </row>
    <row r="90" ht="15">
      <c r="E90" s="129"/>
    </row>
    <row r="94" ht="15">
      <c r="E94" s="129"/>
    </row>
    <row r="96" ht="15">
      <c r="E96" s="129"/>
    </row>
    <row r="106" ht="15">
      <c r="E106" s="129"/>
    </row>
    <row r="107" ht="15">
      <c r="E107" s="129"/>
    </row>
    <row r="112" ht="15">
      <c r="E112" s="129"/>
    </row>
    <row r="113" ht="15">
      <c r="E113" s="129"/>
    </row>
    <row r="117" ht="15">
      <c r="E117" s="129"/>
    </row>
    <row r="124" ht="15">
      <c r="E124" s="129"/>
    </row>
    <row r="129" ht="15">
      <c r="E129" s="129"/>
    </row>
    <row r="135" ht="15">
      <c r="E135" s="129"/>
    </row>
    <row r="136" ht="15">
      <c r="E136" s="129"/>
    </row>
    <row r="143" ht="15">
      <c r="E143" s="129"/>
    </row>
    <row r="144" ht="15">
      <c r="E144" s="129"/>
    </row>
    <row r="145" ht="15">
      <c r="E145" s="129"/>
    </row>
    <row r="177" ht="15">
      <c r="E177" s="129"/>
    </row>
    <row r="178" ht="15">
      <c r="E178" s="129"/>
    </row>
    <row r="184" ht="15">
      <c r="E184" s="129"/>
    </row>
    <row r="185" ht="15">
      <c r="E185" s="129"/>
    </row>
    <row r="193" ht="15">
      <c r="E193" s="129"/>
    </row>
    <row r="194" ht="15">
      <c r="E194" s="129"/>
    </row>
    <row r="195" ht="15">
      <c r="E195" s="129"/>
    </row>
    <row r="201" ht="15">
      <c r="E201" s="129"/>
    </row>
    <row r="202" ht="15">
      <c r="E202" s="129"/>
    </row>
    <row r="203" ht="15">
      <c r="E203" s="129"/>
    </row>
    <row r="207" ht="15">
      <c r="E207" s="129"/>
    </row>
  </sheetData>
  <sheetProtection password="C7C6" sheet="1" objects="1" scenarios="1"/>
  <mergeCells count="1">
    <mergeCell ref="A2:J2"/>
  </mergeCells>
  <printOptions horizontalCentered="1"/>
  <pageMargins left="0.75" right="0.75" top="1" bottom="1" header="0.5" footer="0.5"/>
  <pageSetup firstPageNumber="9" useFirstPageNumber="1" horizontalDpi="180" verticalDpi="180" orientation="portrait" scale="84" r:id="rId1"/>
  <headerFooter alignWithMargins="0">
    <oddHeader>&amp;L&amp;9Guidelines: Shortkeep Cattle and Production Costs&amp;R&amp;P</oddHeader>
    <oddFooter>&amp;R&amp;"Arial,Italic"&amp;9MAFRI, Policy Analysis Branch</oddFooter>
  </headerFooter>
  <rowBreaks count="1" manualBreakCount="1">
    <brk id="44" max="255" man="1"/>
  </rowBreaks>
</worksheet>
</file>

<file path=xl/worksheets/sheet6.xml><?xml version="1.0" encoding="utf-8"?>
<worksheet xmlns="http://schemas.openxmlformats.org/spreadsheetml/2006/main" xmlns:r="http://schemas.openxmlformats.org/officeDocument/2006/relationships">
  <sheetPr codeName="Sheet6"/>
  <dimension ref="A2:H2"/>
  <sheetViews>
    <sheetView showGridLines="0" workbookViewId="0" topLeftCell="A1">
      <selection activeCell="A1" sqref="A1"/>
    </sheetView>
  </sheetViews>
  <sheetFormatPr defaultColWidth="8.88671875" defaultRowHeight="15"/>
  <sheetData>
    <row r="2" spans="1:8" ht="18">
      <c r="A2" s="181" t="s">
        <v>164</v>
      </c>
      <c r="B2" s="182"/>
      <c r="C2" s="182"/>
      <c r="D2" s="182"/>
      <c r="E2" s="182"/>
      <c r="F2" s="182"/>
      <c r="G2" s="182"/>
      <c r="H2" s="182"/>
    </row>
  </sheetData>
  <sheetProtection password="C7C6" sheet="1" objects="1" scenarios="1"/>
  <mergeCells count="1">
    <mergeCell ref="A2:H2"/>
  </mergeCells>
  <printOptions horizontalCentered="1" verticalCentered="1"/>
  <pageMargins left="0.7480314960629921" right="0.7480314960629921" top="0.984251968503937" bottom="0.984251968503937" header="0.5118110236220472" footer="0.5118110236220472"/>
  <pageSetup firstPageNumber="11" useFirstPageNumber="1" horizontalDpi="180" verticalDpi="180" orientation="portrait" scale="98" r:id="rId2"/>
  <headerFooter alignWithMargins="0">
    <oddHeader>&amp;L&amp;9Guidelines: Shortkeep Cattle Production Costs&amp;R&amp;P</oddHeader>
    <oddFooter>&amp;R&amp;"Arial,Italic"&amp;9MAFRI, Policy Analysis Branch</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Peter Blawat, P.Ag.</Manager>
  <Company>Manitoba Agriculture and Food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Beef Shortkeep Feeder 850-1400.xls</dc:title>
  <dc:subject>Cost of Production</dc:subject>
  <dc:creator>MAF Staff</dc:creator>
  <cp:keywords>Beef, Cost, Shortkeep, Feeder, </cp:keywords>
  <dc:description>Contact:
Farm Management Section
903-401 York Ave.
Winnipeg, MB
pblawat@gov.mb.ca</dc:description>
  <cp:lastModifiedBy>JGessner</cp:lastModifiedBy>
  <cp:lastPrinted>2006-10-05T15:11:26Z</cp:lastPrinted>
  <dcterms:created xsi:type="dcterms:W3CDTF">1999-08-20T16:20:49Z</dcterms:created>
  <dcterms:modified xsi:type="dcterms:W3CDTF">2008-07-10T19:57:36Z</dcterms:modified>
  <cp:category>Cost of Production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TemplateU">
    <vt:lpwstr/>
  </property>
  <property fmtid="{D5CDD505-2E9C-101B-9397-08002B2CF9AE}" pid="5" name="xd_Prog">
    <vt:lpwstr/>
  </property>
  <property fmtid="{D5CDD505-2E9C-101B-9397-08002B2CF9AE}" pid="6" name="PublishingStartDa">
    <vt:lpwstr/>
  </property>
  <property fmtid="{D5CDD505-2E9C-101B-9397-08002B2CF9AE}" pid="7" name="PublishingExpiration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