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workbookProtection workbookAlgorithmName="SHA-512" workbookHashValue="fd2x4TGIjF6+jRiI7MM9e9AXi8jBL52dhAHUrIGJackvT+w/6B82U7NoCnS+g60l5sLkL6P5qUp4aq4ztjIydw==" workbookSaltValue="3xcZqq2H/odb7eowfB2lHQ==" workbookSpinCount="100000" lockStructure="1"/>
  <bookViews>
    <workbookView xWindow="-36" yWindow="-36" windowWidth="7716" windowHeight="8136"/>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Guide'!$A$3:$K$101</definedName>
    <definedName name="_xlnm.Print_Area" localSheetId="4">'WLPIP 2 (HIDE)'!$A$1:$V$69</definedName>
  </definedNames>
  <calcPr calcId="162913"/>
</workbook>
</file>

<file path=xl/calcChain.xml><?xml version="1.0" encoding="utf-8"?>
<calcChain xmlns="http://schemas.openxmlformats.org/spreadsheetml/2006/main">
  <c r="V50" i="1" l="1"/>
  <c r="U50" i="1"/>
  <c r="T50" i="1"/>
  <c r="S50" i="1"/>
  <c r="R50" i="1"/>
  <c r="B13" i="3" l="1"/>
  <c r="B14" i="3"/>
  <c r="B11" i="3"/>
  <c r="C85" i="5"/>
  <c r="A47" i="1"/>
  <c r="B37" i="1"/>
  <c r="A35" i="1"/>
  <c r="G29" i="2" l="1"/>
  <c r="G23" i="2"/>
  <c r="C41" i="2"/>
  <c r="C16" i="2"/>
  <c r="A26" i="1"/>
  <c r="E42" i="3"/>
  <c r="J58" i="3" s="1"/>
  <c r="V14" i="4"/>
  <c r="U14" i="4"/>
  <c r="T14" i="4"/>
  <c r="T33" i="4" s="1"/>
  <c r="S14" i="4"/>
  <c r="S34" i="4" s="1"/>
  <c r="R14" i="4"/>
  <c r="Q14" i="4"/>
  <c r="P14" i="4"/>
  <c r="O14" i="4"/>
  <c r="N14" i="4"/>
  <c r="M14" i="4"/>
  <c r="L14" i="4"/>
  <c r="K14" i="4"/>
  <c r="J14" i="4"/>
  <c r="I14" i="4"/>
  <c r="H14" i="4"/>
  <c r="G14" i="4"/>
  <c r="F14" i="4"/>
  <c r="E14" i="4"/>
  <c r="D14" i="4"/>
  <c r="C14" i="4"/>
  <c r="C13" i="4"/>
  <c r="D13" i="4" s="1"/>
  <c r="C6" i="4"/>
  <c r="B28" i="4" s="1"/>
  <c r="O5" i="4"/>
  <c r="N5" i="4"/>
  <c r="I5" i="4"/>
  <c r="A26" i="4" s="1"/>
  <c r="C5" i="4"/>
  <c r="BB37" i="4"/>
  <c r="BB3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BC8" i="4"/>
  <c r="V3" i="4"/>
  <c r="C55" i="3"/>
  <c r="B55" i="3"/>
  <c r="C82" i="3"/>
  <c r="B82" i="3"/>
  <c r="C43" i="3"/>
  <c r="B43" i="3"/>
  <c r="B2" i="3"/>
  <c r="C2" i="3"/>
  <c r="B10" i="3"/>
  <c r="C8" i="3"/>
  <c r="B8" i="3"/>
  <c r="V51" i="1"/>
  <c r="V13" i="3" s="1"/>
  <c r="V14" i="3"/>
  <c r="U14" i="3"/>
  <c r="V49" i="1"/>
  <c r="V48" i="1"/>
  <c r="U48" i="1"/>
  <c r="V36" i="1"/>
  <c r="V11" i="3" s="1"/>
  <c r="U36" i="1"/>
  <c r="U11" i="3" s="1"/>
  <c r="C36" i="1"/>
  <c r="V37" i="1"/>
  <c r="U37" i="1"/>
  <c r="BB29" i="1"/>
  <c r="BB30" i="1"/>
  <c r="V43" i="1"/>
  <c r="V5" i="3" s="1"/>
  <c r="U43" i="1"/>
  <c r="U5" i="3" s="1"/>
  <c r="V42" i="1"/>
  <c r="V15" i="3" s="1"/>
  <c r="U42" i="1"/>
  <c r="U15" i="3" s="1"/>
  <c r="U41" i="1"/>
  <c r="V40" i="1"/>
  <c r="V3" i="3" s="1"/>
  <c r="A21" i="1"/>
  <c r="B57" i="3" s="1"/>
  <c r="A25" i="1"/>
  <c r="V20" i="1"/>
  <c r="V9" i="3" s="1"/>
  <c r="V25" i="1"/>
  <c r="V30" i="1" s="1"/>
  <c r="U20" i="1"/>
  <c r="U9" i="3" s="1"/>
  <c r="U25" i="1"/>
  <c r="T20" i="1"/>
  <c r="T9" i="3" s="1"/>
  <c r="R20" i="1"/>
  <c r="R9" i="3" s="1"/>
  <c r="P20" i="1"/>
  <c r="P9" i="3" s="1"/>
  <c r="O20" i="1"/>
  <c r="O25" i="1" s="1"/>
  <c r="N20" i="1"/>
  <c r="N9" i="3" s="1"/>
  <c r="L20" i="1"/>
  <c r="L9" i="3" s="1"/>
  <c r="K20" i="1"/>
  <c r="K9" i="3" s="1"/>
  <c r="H20" i="1"/>
  <c r="H25" i="1" s="1"/>
  <c r="F20" i="1"/>
  <c r="F9" i="3" s="1"/>
  <c r="D20" i="1"/>
  <c r="D25" i="1" s="1"/>
  <c r="C21" i="1"/>
  <c r="C57" i="3" s="1"/>
  <c r="C16" i="1"/>
  <c r="C52" i="5" s="1"/>
  <c r="D9" i="1"/>
  <c r="E9" i="1" s="1"/>
  <c r="V3" i="1"/>
  <c r="V21" i="1"/>
  <c r="V57" i="3" s="1"/>
  <c r="V56" i="3" s="1"/>
  <c r="U21" i="1"/>
  <c r="U57" i="3" s="1"/>
  <c r="U56" i="3" s="1"/>
  <c r="V23" i="1"/>
  <c r="V83" i="3" s="1"/>
  <c r="V26" i="1"/>
  <c r="U23" i="1"/>
  <c r="U10" i="3" s="1"/>
  <c r="R25" i="1"/>
  <c r="R29" i="1" s="1"/>
  <c r="T25" i="1"/>
  <c r="R36" i="1"/>
  <c r="R11" i="3" s="1"/>
  <c r="R14" i="3"/>
  <c r="R51" i="1"/>
  <c r="R13" i="3" s="1"/>
  <c r="R49" i="1"/>
  <c r="R23" i="1"/>
  <c r="R83" i="3" s="1"/>
  <c r="R26" i="1"/>
  <c r="R43" i="1"/>
  <c r="R12" i="3" s="1"/>
  <c r="R42" i="1"/>
  <c r="R15" i="3" s="1"/>
  <c r="S36" i="1"/>
  <c r="S11" i="3" s="1"/>
  <c r="S51" i="1"/>
  <c r="S13" i="3" s="1"/>
  <c r="S49" i="1"/>
  <c r="S14" i="3"/>
  <c r="R37" i="1"/>
  <c r="S42" i="1"/>
  <c r="S15" i="3" s="1"/>
  <c r="S23" i="1"/>
  <c r="S10" i="3" s="1"/>
  <c r="S43" i="1"/>
  <c r="S40" i="1"/>
  <c r="S3" i="3" s="1"/>
  <c r="T21" i="1"/>
  <c r="T57" i="3" s="1"/>
  <c r="T56" i="3" s="1"/>
  <c r="S37" i="1"/>
  <c r="T37" i="1"/>
  <c r="T41" i="1"/>
  <c r="T43" i="1"/>
  <c r="T5" i="3" s="1"/>
  <c r="T26" i="1"/>
  <c r="T23" i="1"/>
  <c r="T83" i="3" s="1"/>
  <c r="T42" i="1"/>
  <c r="T15" i="3" s="1"/>
  <c r="T48" i="1"/>
  <c r="T51" i="1"/>
  <c r="T13" i="3" s="1"/>
  <c r="T49" i="1"/>
  <c r="N58" i="3"/>
  <c r="G58" i="3"/>
  <c r="D21" i="1"/>
  <c r="D43" i="3"/>
  <c r="R23" i="4"/>
  <c r="R24" i="4"/>
  <c r="R18" i="4"/>
  <c r="V28" i="4"/>
  <c r="R44" i="4"/>
  <c r="V12" i="3"/>
  <c r="U51" i="1"/>
  <c r="U13" i="3" s="1"/>
  <c r="U49" i="1"/>
  <c r="V41" i="1"/>
  <c r="U40" i="1"/>
  <c r="U3" i="3" s="1"/>
  <c r="A20" i="1"/>
  <c r="B9" i="3" s="1"/>
  <c r="S20" i="1"/>
  <c r="S9" i="3" s="1"/>
  <c r="Q20" i="1"/>
  <c r="Q25" i="1" s="1"/>
  <c r="M20" i="1"/>
  <c r="M9" i="3" s="1"/>
  <c r="J20" i="1"/>
  <c r="J25" i="1" s="1"/>
  <c r="I20" i="1"/>
  <c r="I9" i="3" s="1"/>
  <c r="G20" i="1"/>
  <c r="E20" i="1"/>
  <c r="E9" i="3" s="1"/>
  <c r="C20" i="1"/>
  <c r="C9" i="3" s="1"/>
  <c r="U26" i="1"/>
  <c r="S25" i="1"/>
  <c r="R21" i="1"/>
  <c r="R57" i="3" s="1"/>
  <c r="R56" i="3" s="1"/>
  <c r="R41" i="1"/>
  <c r="R40" i="1"/>
  <c r="R3" i="3" s="1"/>
  <c r="S48" i="1"/>
  <c r="S21" i="1"/>
  <c r="S57" i="3" s="1"/>
  <c r="S56" i="3" s="1"/>
  <c r="R48" i="1"/>
  <c r="S41" i="1"/>
  <c r="S26" i="1"/>
  <c r="T36" i="1"/>
  <c r="T11" i="3" s="1"/>
  <c r="T40" i="1"/>
  <c r="T3" i="3" s="1"/>
  <c r="T14" i="3"/>
  <c r="S58" i="3"/>
  <c r="V4" i="3"/>
  <c r="U12" i="3"/>
  <c r="R5" i="3"/>
  <c r="V23" i="4"/>
  <c r="V38" i="4" s="1"/>
  <c r="V27" i="4"/>
  <c r="V47" i="4"/>
  <c r="V34" i="4"/>
  <c r="T46" i="4"/>
  <c r="U83" i="3"/>
  <c r="U28" i="4"/>
  <c r="V33" i="4"/>
  <c r="T31" i="4"/>
  <c r="T44" i="4"/>
  <c r="T32" i="4"/>
  <c r="T19" i="4"/>
  <c r="T27" i="4"/>
  <c r="T21" i="4"/>
  <c r="T45" i="4"/>
  <c r="A24" i="4"/>
  <c r="U44" i="4"/>
  <c r="U32" i="4"/>
  <c r="U34" i="4"/>
  <c r="U21" i="4"/>
  <c r="V19" i="4"/>
  <c r="U27" i="4"/>
  <c r="A23" i="4"/>
  <c r="C7" i="4"/>
  <c r="U33" i="4"/>
  <c r="U47" i="4"/>
  <c r="K58" i="3" l="1"/>
  <c r="H58" i="3"/>
  <c r="U58" i="3"/>
  <c r="V58" i="3"/>
  <c r="B60" i="3"/>
  <c r="D58" i="3"/>
  <c r="O58" i="3"/>
  <c r="E58" i="3"/>
  <c r="L58" i="3"/>
  <c r="T58" i="3"/>
  <c r="B58" i="3"/>
  <c r="F58" i="3"/>
  <c r="I58" i="3"/>
  <c r="P58" i="3"/>
  <c r="P25" i="1"/>
  <c r="O29" i="1" s="1"/>
  <c r="C26" i="1"/>
  <c r="E21" i="1"/>
  <c r="E26" i="1" s="1"/>
  <c r="E82" i="3"/>
  <c r="E43" i="3"/>
  <c r="F9" i="1"/>
  <c r="E36" i="1"/>
  <c r="E11" i="3" s="1"/>
  <c r="T47" i="4"/>
  <c r="D2" i="3"/>
  <c r="R21" i="4"/>
  <c r="S4" i="3"/>
  <c r="H23" i="4"/>
  <c r="H18" i="4" s="1"/>
  <c r="C29" i="2"/>
  <c r="C31" i="2" s="1"/>
  <c r="M25" i="1"/>
  <c r="M23" i="4" s="1"/>
  <c r="M18" i="4" s="1"/>
  <c r="S32" i="4"/>
  <c r="F21" i="1"/>
  <c r="D8" i="3"/>
  <c r="T30" i="1"/>
  <c r="E55" i="3"/>
  <c r="A55" i="1"/>
  <c r="C67" i="5" s="1"/>
  <c r="G9" i="1"/>
  <c r="G82" i="3" s="1"/>
  <c r="S45" i="4"/>
  <c r="T24" i="4"/>
  <c r="T31" i="1"/>
  <c r="T84" i="3" s="1"/>
  <c r="U18" i="4"/>
  <c r="T10" i="3"/>
  <c r="F82" i="3"/>
  <c r="J9" i="3"/>
  <c r="S31" i="1"/>
  <c r="S84" i="3" s="1"/>
  <c r="U31" i="1"/>
  <c r="U84" i="3" s="1"/>
  <c r="U30" i="1"/>
  <c r="F55" i="3"/>
  <c r="E2" i="3"/>
  <c r="V10" i="3"/>
  <c r="U29" i="1"/>
  <c r="R58" i="3"/>
  <c r="B46" i="3"/>
  <c r="C58" i="3"/>
  <c r="Q58" i="3"/>
  <c r="M58" i="3"/>
  <c r="I25" i="1"/>
  <c r="I23" i="4" s="1"/>
  <c r="I18" i="4" s="1"/>
  <c r="E25" i="1"/>
  <c r="E23" i="4" s="1"/>
  <c r="E18" i="4" s="1"/>
  <c r="D23" i="1"/>
  <c r="D83" i="3" s="1"/>
  <c r="C25" i="1"/>
  <c r="C29" i="1" s="1"/>
  <c r="S28" i="4"/>
  <c r="R34" i="4"/>
  <c r="U19" i="4"/>
  <c r="U45" i="4"/>
  <c r="V31" i="4"/>
  <c r="V45" i="4"/>
  <c r="V24" i="4"/>
  <c r="U46" i="4"/>
  <c r="U24" i="4"/>
  <c r="A43" i="4"/>
  <c r="Q30" i="1"/>
  <c r="E8" i="3"/>
  <c r="R10" i="3"/>
  <c r="S33" i="4"/>
  <c r="S31" i="4"/>
  <c r="T28" i="4"/>
  <c r="T29" i="1"/>
  <c r="S46" i="4"/>
  <c r="R47" i="4"/>
  <c r="V32" i="4"/>
  <c r="T12" i="3"/>
  <c r="V18" i="4"/>
  <c r="J23" i="4"/>
  <c r="J18" i="4" s="1"/>
  <c r="A51" i="4" s="1"/>
  <c r="V31" i="1"/>
  <c r="V84" i="3" s="1"/>
  <c r="A18" i="4"/>
  <c r="V37" i="4"/>
  <c r="T18" i="4"/>
  <c r="R46" i="4"/>
  <c r="R45" i="4"/>
  <c r="U31" i="4"/>
  <c r="U23" i="4"/>
  <c r="U38" i="4" s="1"/>
  <c r="S21" i="4"/>
  <c r="T4" i="3"/>
  <c r="F36" i="1"/>
  <c r="V44" i="4"/>
  <c r="R4" i="3"/>
  <c r="R31" i="1"/>
  <c r="R84" i="3" s="1"/>
  <c r="S19" i="4"/>
  <c r="R33" i="4"/>
  <c r="R31" i="4"/>
  <c r="C37" i="1"/>
  <c r="R19" i="4"/>
  <c r="S44" i="4"/>
  <c r="R32" i="4"/>
  <c r="A19" i="4"/>
  <c r="T34" i="4"/>
  <c r="S27" i="4"/>
  <c r="D9" i="3"/>
  <c r="F43" i="3"/>
  <c r="S24" i="4"/>
  <c r="R27" i="4"/>
  <c r="S18" i="4"/>
  <c r="S30" i="1"/>
  <c r="S47" i="4"/>
  <c r="R28" i="4"/>
  <c r="S23" i="4"/>
  <c r="R30" i="1"/>
  <c r="V46" i="4"/>
  <c r="T23" i="4"/>
  <c r="S38" i="4" s="1"/>
  <c r="V21" i="4"/>
  <c r="C11" i="3"/>
  <c r="U4" i="3"/>
  <c r="C49" i="1"/>
  <c r="C48" i="1"/>
  <c r="O23" i="4"/>
  <c r="N25" i="1"/>
  <c r="M29" i="1" s="1"/>
  <c r="L25" i="1"/>
  <c r="L23" i="4" s="1"/>
  <c r="L18" i="4" s="1"/>
  <c r="D26" i="1"/>
  <c r="D57" i="3"/>
  <c r="D23" i="4"/>
  <c r="Q29" i="1"/>
  <c r="Q23" i="4"/>
  <c r="Q39" i="4" s="1"/>
  <c r="Q31" i="1"/>
  <c r="Q84" i="3" s="1"/>
  <c r="E13" i="4"/>
  <c r="V39" i="4"/>
  <c r="S12" i="3"/>
  <c r="S5" i="3"/>
  <c r="G9" i="3"/>
  <c r="G25" i="1"/>
  <c r="G29" i="1" s="1"/>
  <c r="H9" i="3"/>
  <c r="O9" i="3"/>
  <c r="Q9" i="3"/>
  <c r="V29" i="1"/>
  <c r="C23" i="1"/>
  <c r="S83" i="3"/>
  <c r="K25" i="1"/>
  <c r="D41" i="1"/>
  <c r="F25" i="1"/>
  <c r="D36" i="1"/>
  <c r="S29" i="1"/>
  <c r="D82" i="3"/>
  <c r="D55" i="3"/>
  <c r="G36" i="1"/>
  <c r="E50" i="1" l="1"/>
  <c r="E14" i="3" s="1"/>
  <c r="D50" i="1"/>
  <c r="C40" i="1"/>
  <c r="C3" i="3" s="1"/>
  <c r="C41" i="1"/>
  <c r="C42" i="2"/>
  <c r="C42" i="1" s="1"/>
  <c r="C4" i="3" s="1"/>
  <c r="C49" i="2"/>
  <c r="D40" i="1"/>
  <c r="D3" i="3" s="1"/>
  <c r="C50" i="1"/>
  <c r="C14" i="3" s="1"/>
  <c r="F40" i="1"/>
  <c r="F3" i="3" s="1"/>
  <c r="F48" i="1"/>
  <c r="P29" i="1"/>
  <c r="P23" i="4"/>
  <c r="P18" i="4" s="1"/>
  <c r="E57" i="3"/>
  <c r="E41" i="1"/>
  <c r="E23" i="1"/>
  <c r="E10" i="3" s="1"/>
  <c r="D30" i="1"/>
  <c r="G2" i="3"/>
  <c r="E48" i="1"/>
  <c r="G43" i="3"/>
  <c r="E49" i="1"/>
  <c r="E40" i="1"/>
  <c r="E3" i="3" s="1"/>
  <c r="D29" i="1"/>
  <c r="E37" i="1"/>
  <c r="F2" i="3"/>
  <c r="F8" i="3"/>
  <c r="F50" i="1"/>
  <c r="F14" i="3" s="1"/>
  <c r="F57" i="3"/>
  <c r="F23" i="1"/>
  <c r="F83" i="3" s="1"/>
  <c r="F26" i="1"/>
  <c r="E31" i="1" s="1"/>
  <c r="E84" i="3" s="1"/>
  <c r="F41" i="1"/>
  <c r="S39" i="4"/>
  <c r="G50" i="1"/>
  <c r="G14" i="3" s="1"/>
  <c r="H29" i="1"/>
  <c r="G21" i="1"/>
  <c r="G40" i="1" s="1"/>
  <c r="G3" i="3" s="1"/>
  <c r="E19" i="4"/>
  <c r="E33" i="4" s="1"/>
  <c r="U37" i="4"/>
  <c r="T37" i="4"/>
  <c r="T38" i="4"/>
  <c r="U39" i="4"/>
  <c r="S37" i="4"/>
  <c r="D10" i="3"/>
  <c r="G8" i="3"/>
  <c r="H9" i="1"/>
  <c r="G55" i="3"/>
  <c r="F37" i="1"/>
  <c r="F49" i="1"/>
  <c r="N23" i="4"/>
  <c r="N18" i="4" s="1"/>
  <c r="L29" i="1"/>
  <c r="H37" i="4"/>
  <c r="I29" i="1"/>
  <c r="G26" i="1"/>
  <c r="F11" i="3"/>
  <c r="D31" i="1"/>
  <c r="D84" i="3" s="1"/>
  <c r="C23" i="4"/>
  <c r="C18" i="4" s="1"/>
  <c r="C19" i="4" s="1"/>
  <c r="C24" i="4" s="1"/>
  <c r="C30" i="1"/>
  <c r="K29" i="1"/>
  <c r="R38" i="4"/>
  <c r="T39" i="4"/>
  <c r="C31" i="1"/>
  <c r="C84" i="3" s="1"/>
  <c r="I37" i="4"/>
  <c r="R39" i="4"/>
  <c r="R37" i="4"/>
  <c r="C46" i="2"/>
  <c r="E42" i="1"/>
  <c r="E15" i="3" s="1"/>
  <c r="F42" i="1"/>
  <c r="O18" i="4"/>
  <c r="O37" i="4" s="1"/>
  <c r="N29" i="1"/>
  <c r="L37" i="4"/>
  <c r="G23" i="4"/>
  <c r="F29" i="1"/>
  <c r="C10" i="3"/>
  <c r="C83" i="3"/>
  <c r="G11" i="3"/>
  <c r="G48" i="1"/>
  <c r="G49" i="1"/>
  <c r="G37" i="1"/>
  <c r="D11" i="3"/>
  <c r="D48" i="1"/>
  <c r="D14" i="3"/>
  <c r="D37" i="1"/>
  <c r="D49" i="1"/>
  <c r="D18" i="4"/>
  <c r="Q38" i="4"/>
  <c r="Q37" i="4"/>
  <c r="Q18" i="4"/>
  <c r="P37" i="4" s="1"/>
  <c r="K23" i="4"/>
  <c r="J29" i="1"/>
  <c r="E30" i="1"/>
  <c r="F23" i="4"/>
  <c r="E29" i="1"/>
  <c r="E27" i="4"/>
  <c r="E28" i="4" s="1"/>
  <c r="F13" i="4"/>
  <c r="C50" i="2" l="1"/>
  <c r="D42" i="1"/>
  <c r="D15" i="3" s="1"/>
  <c r="G41" i="1"/>
  <c r="E83" i="3"/>
  <c r="E21" i="4"/>
  <c r="E34" i="4"/>
  <c r="E24" i="4"/>
  <c r="E31" i="4"/>
  <c r="G42" i="1"/>
  <c r="G15" i="3" s="1"/>
  <c r="F30" i="1"/>
  <c r="F31" i="1"/>
  <c r="F84" i="3" s="1"/>
  <c r="F10" i="3"/>
  <c r="G57" i="3"/>
  <c r="G23" i="1"/>
  <c r="H21" i="1"/>
  <c r="H43" i="1" s="1"/>
  <c r="H82" i="3"/>
  <c r="H43" i="3"/>
  <c r="H2" i="3"/>
  <c r="H55" i="3"/>
  <c r="I9" i="1"/>
  <c r="H8" i="3"/>
  <c r="H36" i="1"/>
  <c r="H48" i="1" s="1"/>
  <c r="C27" i="4"/>
  <c r="C28" i="4" s="1"/>
  <c r="E4" i="3"/>
  <c r="C37" i="4"/>
  <c r="D51" i="1"/>
  <c r="D13" i="3" s="1"/>
  <c r="C15" i="3"/>
  <c r="F15" i="3"/>
  <c r="D59" i="3"/>
  <c r="G46" i="3"/>
  <c r="G44" i="3" s="1"/>
  <c r="G45" i="3" s="1"/>
  <c r="H46" i="3"/>
  <c r="H44" i="3" s="1"/>
  <c r="H45" i="3" s="1"/>
  <c r="E59" i="3"/>
  <c r="L59" i="3"/>
  <c r="L60" i="3" s="1"/>
  <c r="F46" i="3"/>
  <c r="F44" i="3" s="1"/>
  <c r="F45" i="3" s="1"/>
  <c r="O46" i="3"/>
  <c r="R46" i="3"/>
  <c r="M59" i="3"/>
  <c r="M60" i="3" s="1"/>
  <c r="U59" i="3"/>
  <c r="U60" i="3" s="1"/>
  <c r="N59" i="3"/>
  <c r="N60" i="3" s="1"/>
  <c r="T46" i="3"/>
  <c r="L46" i="3"/>
  <c r="G59" i="3"/>
  <c r="C51" i="1"/>
  <c r="A61" i="1" s="1"/>
  <c r="C46" i="3"/>
  <c r="C44" i="3" s="1"/>
  <c r="C45" i="3" s="1"/>
  <c r="C59" i="3"/>
  <c r="R59" i="3"/>
  <c r="R60" i="3" s="1"/>
  <c r="E46" i="3"/>
  <c r="E44" i="3" s="1"/>
  <c r="E45" i="3" s="1"/>
  <c r="D46" i="3"/>
  <c r="D44" i="3" s="1"/>
  <c r="D45" i="3" s="1"/>
  <c r="M46" i="3"/>
  <c r="C43" i="1"/>
  <c r="C12" i="3" s="1"/>
  <c r="T59" i="3"/>
  <c r="T60" i="3" s="1"/>
  <c r="U46" i="3"/>
  <c r="O59" i="3"/>
  <c r="O60" i="3" s="1"/>
  <c r="F51" i="1"/>
  <c r="F13" i="3" s="1"/>
  <c r="C51" i="2"/>
  <c r="C61" i="5" s="1"/>
  <c r="N46" i="3"/>
  <c r="F43" i="1"/>
  <c r="F12" i="3" s="1"/>
  <c r="J46" i="3"/>
  <c r="V46" i="3"/>
  <c r="K46" i="3"/>
  <c r="E43" i="1"/>
  <c r="Q59" i="3"/>
  <c r="Q60" i="3" s="1"/>
  <c r="S46" i="3"/>
  <c r="D43" i="1"/>
  <c r="S59" i="3"/>
  <c r="S60" i="3" s="1"/>
  <c r="K59" i="3"/>
  <c r="K60" i="3" s="1"/>
  <c r="E51" i="1"/>
  <c r="E13" i="3" s="1"/>
  <c r="G43" i="1"/>
  <c r="F59" i="3"/>
  <c r="I59" i="3"/>
  <c r="I60" i="3" s="1"/>
  <c r="Q46" i="3"/>
  <c r="P46" i="3"/>
  <c r="J59" i="3"/>
  <c r="J60" i="3" s="1"/>
  <c r="V59" i="3"/>
  <c r="V60" i="3" s="1"/>
  <c r="I46" i="3"/>
  <c r="I44" i="3" s="1"/>
  <c r="I45" i="3" s="1"/>
  <c r="C58" i="5"/>
  <c r="P59" i="3"/>
  <c r="P60" i="3" s="1"/>
  <c r="H59" i="3"/>
  <c r="F4" i="3"/>
  <c r="E32" i="4"/>
  <c r="G51" i="1"/>
  <c r="G13" i="3" s="1"/>
  <c r="C31" i="4"/>
  <c r="C34" i="4"/>
  <c r="C21" i="4"/>
  <c r="C32" i="4"/>
  <c r="C33" i="4"/>
  <c r="E45" i="4"/>
  <c r="G13" i="4"/>
  <c r="D27" i="4"/>
  <c r="D19" i="4"/>
  <c r="D33" i="4" s="1"/>
  <c r="D31" i="4"/>
  <c r="E44" i="4"/>
  <c r="E46" i="4"/>
  <c r="F18" i="4"/>
  <c r="E37" i="4" s="1"/>
  <c r="K18" i="4"/>
  <c r="K37" i="4" s="1"/>
  <c r="E47" i="4"/>
  <c r="G18" i="4"/>
  <c r="N37" i="4"/>
  <c r="M37" i="4"/>
  <c r="D37" i="4"/>
  <c r="D4" i="3" l="1"/>
  <c r="J37" i="4"/>
  <c r="H49" i="1"/>
  <c r="G4" i="3"/>
  <c r="C44" i="4"/>
  <c r="C45" i="4"/>
  <c r="C47" i="4"/>
  <c r="C46" i="4"/>
  <c r="G83" i="3"/>
  <c r="G10" i="3"/>
  <c r="H50" i="1"/>
  <c r="H14" i="3" s="1"/>
  <c r="D32" i="4"/>
  <c r="H51" i="1"/>
  <c r="H13" i="3" s="1"/>
  <c r="H37" i="1"/>
  <c r="H11" i="3"/>
  <c r="I21" i="1"/>
  <c r="I8" i="3"/>
  <c r="I43" i="3"/>
  <c r="I2" i="3"/>
  <c r="I36" i="1"/>
  <c r="I50" i="1" s="1"/>
  <c r="I82" i="3"/>
  <c r="I55" i="3"/>
  <c r="J9" i="1"/>
  <c r="H26" i="1"/>
  <c r="G31" i="1" s="1"/>
  <c r="G84" i="3" s="1"/>
  <c r="H41" i="1"/>
  <c r="H57" i="3"/>
  <c r="H56" i="3" s="1"/>
  <c r="H23" i="1"/>
  <c r="H40" i="1"/>
  <c r="H3" i="3" s="1"/>
  <c r="H42" i="1"/>
  <c r="G30" i="1"/>
  <c r="F5" i="3"/>
  <c r="C5" i="3"/>
  <c r="G5" i="3"/>
  <c r="G12" i="3"/>
  <c r="C56" i="3"/>
  <c r="C60" i="3"/>
  <c r="F60" i="3"/>
  <c r="F56" i="3"/>
  <c r="E60" i="3"/>
  <c r="E56" i="3"/>
  <c r="C13" i="3"/>
  <c r="C97" i="5"/>
  <c r="G60" i="3"/>
  <c r="G56" i="3"/>
  <c r="H60" i="3"/>
  <c r="D5" i="3"/>
  <c r="D12" i="3"/>
  <c r="D60" i="3"/>
  <c r="D56" i="3"/>
  <c r="E12" i="3"/>
  <c r="E5" i="3"/>
  <c r="H12" i="3"/>
  <c r="H5" i="3"/>
  <c r="G19" i="4"/>
  <c r="H13" i="4"/>
  <c r="G27" i="4"/>
  <c r="G28" i="4" s="1"/>
  <c r="F19" i="4"/>
  <c r="F33" i="4" s="1"/>
  <c r="D24" i="4"/>
  <c r="D38" i="4"/>
  <c r="D45" i="4"/>
  <c r="D28" i="4"/>
  <c r="D46" i="4"/>
  <c r="D44" i="4"/>
  <c r="D47" i="4"/>
  <c r="G37" i="4"/>
  <c r="F27" i="4"/>
  <c r="F37" i="4"/>
  <c r="D21" i="4"/>
  <c r="C38" i="4"/>
  <c r="D34" i="4"/>
  <c r="I51" i="1" l="1"/>
  <c r="I13" i="3" s="1"/>
  <c r="I49" i="1"/>
  <c r="I48" i="1"/>
  <c r="J44" i="3"/>
  <c r="J45" i="3" s="1"/>
  <c r="J43" i="3"/>
  <c r="J55" i="3"/>
  <c r="J21" i="1"/>
  <c r="J82" i="3"/>
  <c r="J36" i="1"/>
  <c r="J50" i="1" s="1"/>
  <c r="J14" i="3" s="1"/>
  <c r="J8" i="3"/>
  <c r="K9" i="1"/>
  <c r="J2" i="3"/>
  <c r="I14" i="3"/>
  <c r="I11" i="3"/>
  <c r="I37" i="1"/>
  <c r="H4" i="3"/>
  <c r="H15" i="3"/>
  <c r="H83" i="3"/>
  <c r="H10" i="3"/>
  <c r="I26" i="1"/>
  <c r="H31" i="1" s="1"/>
  <c r="H84" i="3" s="1"/>
  <c r="I43" i="1"/>
  <c r="I57" i="3"/>
  <c r="I56" i="3" s="1"/>
  <c r="I42" i="1"/>
  <c r="I41" i="1"/>
  <c r="H30" i="1"/>
  <c r="I23" i="1"/>
  <c r="I40" i="1"/>
  <c r="I3" i="3" s="1"/>
  <c r="F34" i="4"/>
  <c r="G47" i="4"/>
  <c r="F28" i="4"/>
  <c r="F44" i="4"/>
  <c r="F45" i="4"/>
  <c r="F47" i="4"/>
  <c r="F46" i="4"/>
  <c r="F31" i="4"/>
  <c r="H19" i="4"/>
  <c r="G38" i="4" s="1"/>
  <c r="H27" i="4"/>
  <c r="H28" i="4" s="1"/>
  <c r="I13" i="4"/>
  <c r="G45" i="4"/>
  <c r="F21" i="4"/>
  <c r="G46" i="4"/>
  <c r="F32" i="4"/>
  <c r="G24" i="4"/>
  <c r="D39" i="4"/>
  <c r="C39" i="4"/>
  <c r="G33" i="4"/>
  <c r="G32" i="4"/>
  <c r="G21" i="4"/>
  <c r="G44" i="4"/>
  <c r="G31" i="4"/>
  <c r="F24" i="4"/>
  <c r="E38" i="4"/>
  <c r="F38" i="4"/>
  <c r="G34" i="4"/>
  <c r="J48" i="1" l="1"/>
  <c r="J49" i="1"/>
  <c r="A59" i="1"/>
  <c r="C86" i="5" s="1"/>
  <c r="I12" i="3"/>
  <c r="I5" i="3"/>
  <c r="K36" i="1"/>
  <c r="K48" i="1" s="1"/>
  <c r="K82" i="3"/>
  <c r="K8" i="3"/>
  <c r="K55" i="3"/>
  <c r="K2" i="3"/>
  <c r="K43" i="3"/>
  <c r="K21" i="1"/>
  <c r="K44" i="3"/>
  <c r="K45" i="3" s="1"/>
  <c r="L9" i="1"/>
  <c r="J51" i="1"/>
  <c r="J13" i="3" s="1"/>
  <c r="J11" i="3"/>
  <c r="J37" i="1"/>
  <c r="A60" i="1"/>
  <c r="C89" i="5" s="1"/>
  <c r="J43" i="1"/>
  <c r="J23" i="1"/>
  <c r="I30" i="1"/>
  <c r="J41" i="1"/>
  <c r="J26" i="1"/>
  <c r="I31" i="1" s="1"/>
  <c r="I84" i="3" s="1"/>
  <c r="J40" i="1"/>
  <c r="J3" i="3" s="1"/>
  <c r="A57" i="1"/>
  <c r="C71" i="5" s="1"/>
  <c r="J57" i="3"/>
  <c r="J56" i="3" s="1"/>
  <c r="A56" i="1"/>
  <c r="C69" i="5" s="1"/>
  <c r="J42" i="1"/>
  <c r="I15" i="3"/>
  <c r="I4" i="3"/>
  <c r="I83" i="3"/>
  <c r="I10" i="3"/>
  <c r="H47" i="4"/>
  <c r="H45" i="4"/>
  <c r="H44" i="4"/>
  <c r="H46" i="4"/>
  <c r="E39" i="4"/>
  <c r="F39" i="4"/>
  <c r="H33" i="4"/>
  <c r="H34" i="4"/>
  <c r="H24" i="4"/>
  <c r="G39" i="4" s="1"/>
  <c r="H31" i="4"/>
  <c r="H21" i="4"/>
  <c r="H32" i="4"/>
  <c r="J13" i="4"/>
  <c r="I19" i="4"/>
  <c r="H38" i="4" s="1"/>
  <c r="I27" i="4"/>
  <c r="I28" i="4" s="1"/>
  <c r="K49" i="1" l="1"/>
  <c r="K51" i="1"/>
  <c r="K13" i="3" s="1"/>
  <c r="K50" i="1"/>
  <c r="K14" i="3" s="1"/>
  <c r="L36" i="1"/>
  <c r="L49" i="1" s="1"/>
  <c r="M9" i="1"/>
  <c r="L8" i="3"/>
  <c r="L82" i="3"/>
  <c r="L43" i="3"/>
  <c r="L55" i="3"/>
  <c r="L2" i="3"/>
  <c r="L44" i="3"/>
  <c r="L45" i="3" s="1"/>
  <c r="L21" i="1"/>
  <c r="J30" i="1"/>
  <c r="K41" i="1"/>
  <c r="K23" i="1"/>
  <c r="K40" i="1"/>
  <c r="K3" i="3" s="1"/>
  <c r="K57" i="3"/>
  <c r="K56" i="3" s="1"/>
  <c r="K43" i="1"/>
  <c r="K42" i="1"/>
  <c r="K26" i="1"/>
  <c r="J31" i="1" s="1"/>
  <c r="J84" i="3" s="1"/>
  <c r="J10" i="3"/>
  <c r="J83" i="3"/>
  <c r="J12" i="3"/>
  <c r="J5" i="3"/>
  <c r="J15" i="3"/>
  <c r="J4" i="3"/>
  <c r="K37" i="1"/>
  <c r="K11" i="3"/>
  <c r="I45" i="4"/>
  <c r="I46" i="4"/>
  <c r="I44" i="4"/>
  <c r="I47" i="4"/>
  <c r="I21" i="4"/>
  <c r="I33" i="4"/>
  <c r="I24" i="4"/>
  <c r="I31" i="4"/>
  <c r="I34" i="4"/>
  <c r="I32" i="4"/>
  <c r="J27" i="4"/>
  <c r="J44" i="4" s="1"/>
  <c r="K13" i="4"/>
  <c r="J19" i="4"/>
  <c r="A52" i="4" s="1"/>
  <c r="A58" i="1" l="1"/>
  <c r="C80" i="5" s="1"/>
  <c r="L48" i="1"/>
  <c r="L50" i="1"/>
  <c r="L14" i="3" s="1"/>
  <c r="J47" i="4"/>
  <c r="A57" i="4" s="1"/>
  <c r="K30" i="1"/>
  <c r="L40" i="1"/>
  <c r="L3" i="3" s="1"/>
  <c r="L42" i="1"/>
  <c r="L23" i="1"/>
  <c r="L26" i="1"/>
  <c r="K31" i="1" s="1"/>
  <c r="K84" i="3" s="1"/>
  <c r="L43" i="1"/>
  <c r="L41" i="1"/>
  <c r="L57" i="3"/>
  <c r="L56" i="3" s="1"/>
  <c r="K15" i="3"/>
  <c r="K4" i="3"/>
  <c r="K10" i="3"/>
  <c r="K83" i="3"/>
  <c r="K12" i="3"/>
  <c r="K5" i="3"/>
  <c r="M44" i="3"/>
  <c r="M45" i="3" s="1"/>
  <c r="M55" i="3"/>
  <c r="M82" i="3"/>
  <c r="N9" i="1"/>
  <c r="M36" i="1"/>
  <c r="M48" i="1" s="1"/>
  <c r="M8" i="3"/>
  <c r="M2" i="3"/>
  <c r="M21" i="1"/>
  <c r="M43" i="3"/>
  <c r="L51" i="1"/>
  <c r="L13" i="3" s="1"/>
  <c r="L37" i="1"/>
  <c r="L11" i="3"/>
  <c r="J46" i="4"/>
  <c r="J45" i="4"/>
  <c r="I38" i="4"/>
  <c r="H39" i="4"/>
  <c r="J28" i="4"/>
  <c r="J24" i="4"/>
  <c r="A55" i="4"/>
  <c r="J21" i="4"/>
  <c r="A53" i="4" s="1"/>
  <c r="J31" i="4"/>
  <c r="J33" i="4"/>
  <c r="J32" i="4"/>
  <c r="J34" i="4"/>
  <c r="K27" i="4"/>
  <c r="K28" i="4" s="1"/>
  <c r="L13" i="4"/>
  <c r="K19" i="4"/>
  <c r="J38" i="4" s="1"/>
  <c r="A54" i="4"/>
  <c r="K47" i="4" l="1"/>
  <c r="K44" i="4"/>
  <c r="M49" i="1"/>
  <c r="K45" i="4"/>
  <c r="M50" i="1"/>
  <c r="M14" i="3" s="1"/>
  <c r="K46" i="4"/>
  <c r="M40" i="1"/>
  <c r="M3" i="3" s="1"/>
  <c r="M41" i="1"/>
  <c r="M42" i="1"/>
  <c r="M43" i="1"/>
  <c r="M57" i="3"/>
  <c r="M56" i="3" s="1"/>
  <c r="M26" i="1"/>
  <c r="L31" i="1" s="1"/>
  <c r="L84" i="3" s="1"/>
  <c r="L30" i="1"/>
  <c r="M23" i="1"/>
  <c r="M51" i="1"/>
  <c r="M13" i="3" s="1"/>
  <c r="M11" i="3"/>
  <c r="M37" i="1"/>
  <c r="N55" i="3"/>
  <c r="N36" i="1"/>
  <c r="N50" i="1" s="1"/>
  <c r="N14" i="3" s="1"/>
  <c r="N2" i="3"/>
  <c r="N21" i="1"/>
  <c r="N44" i="3"/>
  <c r="N45" i="3" s="1"/>
  <c r="N43" i="3"/>
  <c r="N8" i="3"/>
  <c r="O9" i="1"/>
  <c r="N82" i="3"/>
  <c r="L12" i="3"/>
  <c r="L5" i="3"/>
  <c r="L83" i="3"/>
  <c r="L10" i="3"/>
  <c r="L15" i="3"/>
  <c r="L4" i="3"/>
  <c r="M13" i="4"/>
  <c r="L27" i="4"/>
  <c r="L28" i="4" s="1"/>
  <c r="L19" i="4"/>
  <c r="K38" i="4" s="1"/>
  <c r="K24" i="4"/>
  <c r="K34" i="4"/>
  <c r="K32" i="4"/>
  <c r="K31" i="4"/>
  <c r="K21" i="4"/>
  <c r="K33" i="4"/>
  <c r="I39" i="4"/>
  <c r="N48" i="1" l="1"/>
  <c r="N51" i="1"/>
  <c r="N13" i="3" s="1"/>
  <c r="O2" i="3"/>
  <c r="O36" i="1"/>
  <c r="O50" i="1" s="1"/>
  <c r="O14" i="3" s="1"/>
  <c r="O82" i="3"/>
  <c r="P9" i="1"/>
  <c r="O44" i="3"/>
  <c r="O45" i="3" s="1"/>
  <c r="O8" i="3"/>
  <c r="O21" i="1"/>
  <c r="O43" i="3"/>
  <c r="O55" i="3"/>
  <c r="M10" i="3"/>
  <c r="M83" i="3"/>
  <c r="M12" i="3"/>
  <c r="M5" i="3"/>
  <c r="M30" i="1"/>
  <c r="N23" i="1"/>
  <c r="N43" i="1"/>
  <c r="N40" i="1"/>
  <c r="N3" i="3" s="1"/>
  <c r="N41" i="1"/>
  <c r="N42" i="1"/>
  <c r="N26" i="1"/>
  <c r="N57" i="3"/>
  <c r="N56" i="3" s="1"/>
  <c r="M15" i="3"/>
  <c r="M4" i="3"/>
  <c r="N49" i="1"/>
  <c r="N37" i="1"/>
  <c r="N11" i="3"/>
  <c r="L47" i="4"/>
  <c r="L44" i="4"/>
  <c r="L46" i="4"/>
  <c r="L45" i="4"/>
  <c r="L24" i="4"/>
  <c r="K39" i="4" s="1"/>
  <c r="L31" i="4"/>
  <c r="L32" i="4"/>
  <c r="L34" i="4"/>
  <c r="L21" i="4"/>
  <c r="L33" i="4"/>
  <c r="N13" i="4"/>
  <c r="M27" i="4"/>
  <c r="M28" i="4" s="1"/>
  <c r="M19" i="4"/>
  <c r="L38" i="4" s="1"/>
  <c r="J39" i="4"/>
  <c r="A56" i="4" s="1"/>
  <c r="O48" i="1" l="1"/>
  <c r="O51" i="1"/>
  <c r="O13" i="3" s="1"/>
  <c r="M31" i="1"/>
  <c r="M84" i="3" s="1"/>
  <c r="N4" i="3"/>
  <c r="N15" i="3"/>
  <c r="N30" i="1"/>
  <c r="O57" i="3"/>
  <c r="O56" i="3" s="1"/>
  <c r="O43" i="1"/>
  <c r="O40" i="1"/>
  <c r="O3" i="3" s="1"/>
  <c r="O26" i="1"/>
  <c r="N31" i="1" s="1"/>
  <c r="N84" i="3" s="1"/>
  <c r="O23" i="1"/>
  <c r="O42" i="1"/>
  <c r="O41" i="1"/>
  <c r="N83" i="3"/>
  <c r="N10" i="3"/>
  <c r="P36" i="1"/>
  <c r="P48" i="1" s="1"/>
  <c r="P8" i="3"/>
  <c r="P55" i="3"/>
  <c r="P21" i="1"/>
  <c r="O30" i="1" s="1"/>
  <c r="Q9" i="1"/>
  <c r="P2" i="3"/>
  <c r="P43" i="3"/>
  <c r="P44" i="3"/>
  <c r="P45" i="3" s="1"/>
  <c r="P82" i="3"/>
  <c r="O49" i="1"/>
  <c r="O11" i="3"/>
  <c r="O37" i="1"/>
  <c r="N5" i="3"/>
  <c r="N12" i="3"/>
  <c r="M45" i="4"/>
  <c r="M46" i="4"/>
  <c r="M47" i="4"/>
  <c r="M44" i="4"/>
  <c r="O13" i="4"/>
  <c r="N27" i="4"/>
  <c r="N28" i="4" s="1"/>
  <c r="N19" i="4"/>
  <c r="M38" i="4" s="1"/>
  <c r="M24" i="4"/>
  <c r="L39" i="4" s="1"/>
  <c r="M31" i="4"/>
  <c r="M33" i="4"/>
  <c r="M21" i="4"/>
  <c r="M32" i="4"/>
  <c r="M34" i="4"/>
  <c r="P49" i="1" l="1"/>
  <c r="P50" i="1"/>
  <c r="P14" i="3" s="1"/>
  <c r="O83" i="3"/>
  <c r="O10" i="3"/>
  <c r="Q43" i="3"/>
  <c r="Q55" i="3"/>
  <c r="Q2" i="3"/>
  <c r="Q82" i="3"/>
  <c r="Q36" i="1"/>
  <c r="Q50" i="1" s="1"/>
  <c r="Q14" i="3" s="1"/>
  <c r="Q8" i="3"/>
  <c r="R9" i="1"/>
  <c r="Q21" i="1"/>
  <c r="Q44" i="3"/>
  <c r="Q45" i="3" s="1"/>
  <c r="P26" i="1"/>
  <c r="O31" i="1" s="1"/>
  <c r="O84" i="3" s="1"/>
  <c r="P23" i="1"/>
  <c r="P57" i="3"/>
  <c r="P56" i="3" s="1"/>
  <c r="P41" i="1"/>
  <c r="P40" i="1"/>
  <c r="P3" i="3" s="1"/>
  <c r="P43" i="1"/>
  <c r="P42" i="1"/>
  <c r="O5" i="3"/>
  <c r="O12" i="3"/>
  <c r="O15" i="3"/>
  <c r="O4" i="3"/>
  <c r="P51" i="1"/>
  <c r="P13" i="3" s="1"/>
  <c r="P11" i="3"/>
  <c r="P37" i="1"/>
  <c r="N44" i="4"/>
  <c r="N45" i="4"/>
  <c r="N47" i="4"/>
  <c r="N46" i="4"/>
  <c r="N24" i="4"/>
  <c r="N33" i="4"/>
  <c r="N21" i="4"/>
  <c r="N32" i="4"/>
  <c r="N34" i="4"/>
  <c r="N31" i="4"/>
  <c r="O27" i="4"/>
  <c r="O28" i="4" s="1"/>
  <c r="P13" i="4"/>
  <c r="O19" i="4"/>
  <c r="N38" i="4" s="1"/>
  <c r="Q48" i="1" l="1"/>
  <c r="Q51" i="1"/>
  <c r="Q13" i="3" s="1"/>
  <c r="P30" i="1"/>
  <c r="Q26" i="1"/>
  <c r="P31" i="1" s="1"/>
  <c r="P84" i="3" s="1"/>
  <c r="Q40" i="1"/>
  <c r="Q3" i="3" s="1"/>
  <c r="Q43" i="1"/>
  <c r="Q57" i="3"/>
  <c r="Q56" i="3" s="1"/>
  <c r="Q42" i="1"/>
  <c r="Q41" i="1"/>
  <c r="Q23" i="1"/>
  <c r="R2" i="3"/>
  <c r="R43" i="3"/>
  <c r="R8" i="3"/>
  <c r="S9" i="1"/>
  <c r="R55" i="3"/>
  <c r="R44" i="3"/>
  <c r="R45" i="3" s="1"/>
  <c r="R82" i="3"/>
  <c r="Q49" i="1"/>
  <c r="Q37" i="1"/>
  <c r="Q11" i="3"/>
  <c r="P15" i="3"/>
  <c r="P4" i="3"/>
  <c r="P12" i="3"/>
  <c r="P5" i="3"/>
  <c r="P83" i="3"/>
  <c r="P10" i="3"/>
  <c r="O47" i="4"/>
  <c r="O46" i="4"/>
  <c r="O45" i="4"/>
  <c r="O44" i="4"/>
  <c r="M39" i="4"/>
  <c r="O24" i="4"/>
  <c r="O33" i="4"/>
  <c r="O34" i="4"/>
  <c r="O21" i="4"/>
  <c r="O32" i="4"/>
  <c r="O31" i="4"/>
  <c r="P27" i="4"/>
  <c r="P28" i="4" s="1"/>
  <c r="P19" i="4"/>
  <c r="Q13" i="4"/>
  <c r="P46" i="4" l="1"/>
  <c r="S43" i="3"/>
  <c r="S82" i="3"/>
  <c r="S2" i="3"/>
  <c r="S44" i="3"/>
  <c r="S45" i="3" s="1"/>
  <c r="S8" i="3"/>
  <c r="S55" i="3"/>
  <c r="T9" i="1"/>
  <c r="Q83" i="3"/>
  <c r="Q10" i="3"/>
  <c r="Q4" i="3"/>
  <c r="Q15" i="3"/>
  <c r="Q12" i="3"/>
  <c r="Q5" i="3"/>
  <c r="P45" i="4"/>
  <c r="P44" i="4"/>
  <c r="P47" i="4"/>
  <c r="P32" i="4"/>
  <c r="P34" i="4"/>
  <c r="P21" i="4"/>
  <c r="P24" i="4"/>
  <c r="O39" i="4" s="1"/>
  <c r="P33" i="4"/>
  <c r="P31" i="4"/>
  <c r="O38" i="4"/>
  <c r="Q27" i="4"/>
  <c r="Q28" i="4" s="1"/>
  <c r="R13" i="4"/>
  <c r="S13" i="4" s="1"/>
  <c r="T13" i="4" s="1"/>
  <c r="U13" i="4" s="1"/>
  <c r="V13" i="4" s="1"/>
  <c r="Q19" i="4"/>
  <c r="N39" i="4"/>
  <c r="T55" i="3" l="1"/>
  <c r="T43" i="3"/>
  <c r="T2" i="3"/>
  <c r="T82" i="3"/>
  <c r="T8" i="3"/>
  <c r="T44" i="3"/>
  <c r="T45" i="3" s="1"/>
  <c r="U9" i="1"/>
  <c r="Q45" i="4"/>
  <c r="Q44" i="4"/>
  <c r="Q47" i="4"/>
  <c r="Q46" i="4"/>
  <c r="Q24" i="4"/>
  <c r="P39" i="4" s="1"/>
  <c r="Q34" i="4"/>
  <c r="Q31" i="4"/>
  <c r="Q21" i="4"/>
  <c r="Q33" i="4"/>
  <c r="Q32" i="4"/>
  <c r="P38" i="4"/>
  <c r="U82" i="3" l="1"/>
  <c r="U55" i="3"/>
  <c r="V9" i="1"/>
  <c r="U43" i="3"/>
  <c r="U44" i="3"/>
  <c r="U45" i="3" s="1"/>
  <c r="U2" i="3"/>
  <c r="U8" i="3"/>
  <c r="V82" i="3" l="1"/>
  <c r="V43" i="3"/>
  <c r="V44" i="3"/>
  <c r="V45" i="3" s="1"/>
  <c r="V2" i="3"/>
  <c r="V8" i="3"/>
  <c r="V55" i="3"/>
</calcChain>
</file>

<file path=xl/sharedStrings.xml><?xml version="1.0" encoding="utf-8"?>
<sst xmlns="http://schemas.openxmlformats.org/spreadsheetml/2006/main" count="236" uniqueCount="178">
  <si>
    <t>Over Operating Costs</t>
  </si>
  <si>
    <t>Over Operating &amp; Labour Costs</t>
  </si>
  <si>
    <t>Over Operating &amp; Fixed Costs</t>
  </si>
  <si>
    <t>Over Total Costs (Net Profit)</t>
  </si>
  <si>
    <t>lbs</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</si>
  <si>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</si>
  <si>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</si>
  <si>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</si>
  <si>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</si>
  <si>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</si>
  <si>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</si>
  <si>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</si>
  <si>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</si>
  <si>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</si>
  <si>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</si>
  <si>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1.  Feed Costs</t>
  </si>
  <si>
    <t>Total Feed Cost</t>
  </si>
  <si>
    <t>2.  Other Operating Costs</t>
  </si>
  <si>
    <t/>
  </si>
  <si>
    <t xml:space="preserve">    2.05   Utilities</t>
  </si>
  <si>
    <t xml:space="preserve">    2.08   Manure Removal</t>
  </si>
  <si>
    <t>Subtotal Operating Costs</t>
  </si>
  <si>
    <t>Total Operating Costs</t>
  </si>
  <si>
    <t>B.  Fixed Costs</t>
  </si>
  <si>
    <t>3.  Depreciation</t>
  </si>
  <si>
    <t xml:space="preserve">    3.01   Buildings</t>
  </si>
  <si>
    <t xml:space="preserve">    3.02   Machinery &amp; Equipment</t>
  </si>
  <si>
    <t>4.  Investment</t>
  </si>
  <si>
    <t xml:space="preserve">    4.01   Buildings</t>
  </si>
  <si>
    <t xml:space="preserve">    4.02   Machinery &amp; Equipment</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</si>
  <si>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</si>
  <si>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</si>
  <si>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</si>
  <si>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</si>
  <si>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</si>
  <si>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</si>
  <si>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</si>
  <si>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</si>
  <si>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</si>
  <si>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</si>
  <si>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</si>
  <si>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</si>
  <si>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</si>
  <si>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</si>
  <si>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</si>
  <si>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</si>
  <si>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</si>
  <si>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</si>
  <si>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</si>
  <si>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</si>
  <si>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</si>
  <si>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</si>
  <si>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</si>
  <si>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</si>
  <si>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</si>
  <si>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</si>
  <si>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</si>
  <si>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</si>
  <si>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</si>
  <si>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</si>
  <si>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</si>
  <si>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</si>
  <si>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</si>
  <si>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</si>
  <si>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</si>
  <si>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</si>
  <si>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</si>
  <si>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</si>
  <si>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</si>
  <si>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</si>
  <si>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</si>
  <si>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</si>
  <si>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</si>
  <si>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</si>
  <si>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</si>
  <si>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</si>
  <si>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</si>
  <si>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</si>
  <si>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$/cwt Exposed Risk</t>
  </si>
  <si>
    <t>Potential Market Price</t>
  </si>
  <si>
    <t>$/cwt Reward = Market Price - B/E price pver total costs</t>
  </si>
  <si>
    <t>$/cwt Exposed Risk = B/E price over total costs - insured index</t>
  </si>
  <si>
    <t>B/E price over total costs = toal costs / # cwt</t>
  </si>
  <si>
    <t>Total Production Costs</t>
  </si>
  <si>
    <t>WLPIP Coverage of Total Costs (Risk)</t>
  </si>
  <si>
    <t>total</t>
  </si>
  <si>
    <t>Maximum WLPIP Premium</t>
  </si>
  <si>
    <t>***Note that you want to cap the max prememum, but you run out of room for animals and lbs.</t>
  </si>
  <si>
    <t>…………………</t>
  </si>
  <si>
    <t>This is now junk</t>
  </si>
  <si>
    <t>Maximum Insured Weight</t>
  </si>
  <si>
    <t>$/cwt WLPIP Covered Risk</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</si>
  <si>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</si>
  <si>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</si>
  <si>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</si>
  <si>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</si>
  <si>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</si>
  <si>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</si>
  <si>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</si>
  <si>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 xml:space="preserve">Enter Number of Calves (head) </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</si>
  <si>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</si>
  <si>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</si>
  <si>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</si>
  <si>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</si>
  <si>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</si>
  <si>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</si>
  <si>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</si>
  <si>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</si>
  <si>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</si>
  <si>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</si>
  <si>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The cost per dollar of increased coverage to move up from the next lower coverage level to a higher level of coverage.</t>
  </si>
  <si>
    <t>Backgrounding Production Costs - Input</t>
  </si>
  <si>
    <t>Cost/Head</t>
  </si>
  <si>
    <t xml:space="preserve">    1.01   Alfalfa Grass Hay</t>
  </si>
  <si>
    <t xml:space="preserve">    1.02   Corn Silage </t>
  </si>
  <si>
    <t xml:space="preserve">    1.03   Barley Grain </t>
  </si>
  <si>
    <t xml:space="preserve">    1.04   DDGS</t>
  </si>
  <si>
    <t xml:space="preserve">    1.05   2:1 Premix</t>
  </si>
  <si>
    <t xml:space="preserve">    1.06   Limestone</t>
  </si>
  <si>
    <t xml:space="preserve">    2.01   Feeder Cost </t>
  </si>
  <si>
    <t>2.01  Feeder Cattle Cost Input</t>
  </si>
  <si>
    <t xml:space="preserve">    2.02   Straw</t>
  </si>
  <si>
    <t>Feeder</t>
  </si>
  <si>
    <t>lbs/feeder</t>
  </si>
  <si>
    <t xml:space="preserve">    2.03   Veterinary Medicine &amp; Supplies</t>
  </si>
  <si>
    <t>x</t>
  </si>
  <si>
    <t>/cwt</t>
  </si>
  <si>
    <t xml:space="preserve">    2.04   Annual Fuel &amp; Repair Costs</t>
  </si>
  <si>
    <t>÷</t>
  </si>
  <si>
    <t>lbs/cwt</t>
  </si>
  <si>
    <t>=</t>
  </si>
  <si>
    <t>/feeder</t>
  </si>
  <si>
    <t xml:space="preserve">    2.06  Feeder Selling Costs</t>
  </si>
  <si>
    <t>Commission</t>
  </si>
  <si>
    <t xml:space="preserve">    2.07   Insurance </t>
  </si>
  <si>
    <t>Insurance</t>
  </si>
  <si>
    <t>Trucking-in</t>
  </si>
  <si>
    <t xml:space="preserve">    2.09   Barn and Office Supplies </t>
  </si>
  <si>
    <t xml:space="preserve">    2.10   Death Loss</t>
  </si>
  <si>
    <t xml:space="preserve">    2.11   Operating Interest</t>
  </si>
  <si>
    <r>
      <rPr>
        <b/>
        <sz val="12"/>
        <rFont val="Arial"/>
        <family val="2"/>
      </rPr>
      <t>Premiums</t>
    </r>
    <r>
      <rPr>
        <sz val="12"/>
        <rFont val="Arial"/>
        <family val="2"/>
      </rPr>
      <t xml:space="preserve"> - to get current WLPIP Premiums, </t>
    </r>
    <r>
      <rPr>
        <u/>
        <sz val="12"/>
        <rFont val="Arial"/>
        <family val="2"/>
      </rPr>
      <t>select program</t>
    </r>
    <r>
      <rPr>
        <sz val="12"/>
        <rFont val="Arial"/>
        <family val="2"/>
      </rPr>
      <t xml:space="preserve"> - from the dropdown menu (ie. 'WCPIP-Feeder'),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</si>
  <si>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Enter the Insured Weight (lbs) in the calculator.  This could be the average calf market weight per head on your farm, for example - 873 lbs or simply the number of pounds per head that you would like to insure, for example - 100 lbs.</t>
  </si>
  <si>
    <t>Enter the number of Feeders (head) in the calculator.  This could be the total number of market calves on your farm, for example - 100 head or simply the number of head that you would like to insure, for example - 10 head.</t>
  </si>
  <si>
    <t>Review Backgrounding Cost of Production Values</t>
  </si>
  <si>
    <t xml:space="preserve">Break Even Selling Price </t>
  </si>
  <si>
    <t xml:space="preserve">Over Operating and Fixed </t>
  </si>
  <si>
    <t xml:space="preserve">Over Operating Fixed and Labour </t>
  </si>
  <si>
    <t xml:space="preserve">Over Operating Cost </t>
  </si>
  <si>
    <t>LPI - Decision Calculator</t>
  </si>
  <si>
    <t>Step #1:  LPIP Premium Table</t>
  </si>
  <si>
    <t>Step#2:  LPIP - Insured Feeders on Your Farm</t>
  </si>
  <si>
    <t>Step#3:  LPIP Analysis - Premiums &amp; Insured Value</t>
  </si>
  <si>
    <t>Step#4:  Estimated LPIP Payments &amp; Production Costs Not Covered Analysis</t>
  </si>
  <si>
    <t>LPIP ($ per Head)</t>
  </si>
  <si>
    <t>Costs per Head (incl. LPIP Premium) Not Covered By the LPIP Insured Value</t>
  </si>
  <si>
    <t xml:space="preserve">LPIP Decision Calculator - User Guide </t>
  </si>
  <si>
    <r>
      <rPr>
        <b/>
        <sz val="12"/>
        <rFont val="Arial"/>
        <family val="2"/>
      </rPr>
      <t>LPIP Decision Calculator</t>
    </r>
    <r>
      <rPr>
        <sz val="12"/>
        <rFont val="Arial"/>
        <family val="2"/>
      </rPr>
      <t xml:space="preserve"> can be used by Manitoba farm producers to assist in the determination the LPIP coverage levels to manage livestock price risk by setting a 'floor price' for their farm.  Follow the steps below to successfully use the calculator for your farm. </t>
    </r>
  </si>
  <si>
    <t>Step #1 - LPIP Premium Table:</t>
  </si>
  <si>
    <t>Step #2 - LPIP Insured Feeders on Your Farm:</t>
  </si>
  <si>
    <t>Step #3 - LPIP Analysis - Premiums &amp; Insured Value:</t>
  </si>
  <si>
    <t xml:space="preserve">Total premium - if you have a maximum dollar amount that you have decided on for LPIP, note the insured index ($/cwt) review the analysis in Step#4 and determine if it is a suitable level of risk coverage for your farm.   </t>
  </si>
  <si>
    <t>Step #4 - Estimated LPIP Payments  &amp; Production Costs Not Covered:</t>
  </si>
  <si>
    <t>Review Estimated LPIP Payment</t>
  </si>
  <si>
    <t>Review Production Costs Not Covered by the LPIP Insured Price</t>
  </si>
  <si>
    <t>Knowing your farms profitability at the estimated settlement price plus the LPIP payment can help you determine a LPIP Insured Index ($/cwt) that adequately manages both your risk and liabilities.</t>
  </si>
  <si>
    <t xml:space="preserve">Knowing your farm's operating, fixed and labour costs not covered by each LPIP Insured Price alongside your breakeven prices (in Step#2 above) can help you determine a LPIP Insured Index ($/cwt) that adequately manages both your risk and liabilities. </t>
  </si>
  <si>
    <t>Costs Not Covered By LPIP Insured Value</t>
  </si>
  <si>
    <t>LPIP - Per Head</t>
  </si>
  <si>
    <t>LPIP - Monetizing Risk &amp; Reward ($/cwt)</t>
  </si>
  <si>
    <t>LPIP - Risk &amp; Reward Analysis</t>
  </si>
  <si>
    <t>LPIP - Insured Value Analysis</t>
  </si>
  <si>
    <t>Total Costs per Head (incl. LPIP Premium) Not Covered By the LPIP Insured Value</t>
  </si>
  <si>
    <t>Op. &amp; Fixed Costs per Head (incl. LPIP Premium) Not Covered By the LPIP Insured Value</t>
  </si>
  <si>
    <t>Go to LPI - Feeder website</t>
  </si>
  <si>
    <t>Enter the corresponding LPIP Premiums ($/cwt) for each Insured Index price into the calculator.  For example, the 28 weeks 22-April-2024, $332 ($/cwt) premium is $8.64 ($/cwt)</t>
  </si>
  <si>
    <t>Enter the highest LPIP Insured Index for the time period you would like to chose into the calculator.  For example, the 28 weeks 22-April-2024 highest Insured Index is $332 ($/cwt).</t>
  </si>
  <si>
    <t>October, 2023</t>
  </si>
  <si>
    <t>Enter a potential Settlement Price ($/cwt) in the calculator.  This would ususally be a value below the highest insured index.  For example - $220/cwt.  This is used to estimate potential LPIP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</si>
</sst>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4" formatCode="_-&quot;$&quot;* #,##0.00_-;\-&quot;$&quot;* #,##0.00_-;_-&quot;$&quot;* &quot;-&quot;??_-;_-@_-"/>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6"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sz val="11"/>
      <color theme="1"/>
      <name val="Calibri"/>
      <family val="2"/>
      <scheme val="minor"/>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FF"/>
      </left>
      <right style="medium">
        <color rgb="FF0000FF"/>
      </right>
      <top style="medium">
        <color rgb="FF0000FF"/>
      </top>
      <bottom style="medium">
        <color rgb="FF0000FF"/>
      </bottom>
      <diagonal/>
    </border>
  </borders>
  <cellStyleXfs count="29">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202">
    <xf numFmtId="0" fontId="0" fillId="0" borderId="0" xfId="0">
      <alignment vertical="top"/>
    </xf>
    <xf numFmtId="0" fontId="2" fillId="0" borderId="0" xfId="16" applyFont="1" applyFill="1" applyAlignment="1" applyProtection="1"/>
    <xf numFmtId="0" fontId="3" fillId="0" borderId="0" xfId="16" applyFont="1" applyAlignment="1"/>
    <xf numFmtId="0" fontId="4" fillId="0" borderId="0" xfId="16" applyFont="1" applyAlignment="1"/>
    <xf numFmtId="0" fontId="2" fillId="0" borderId="0" xfId="16" applyFont="1" applyAlignment="1" applyProtection="1"/>
    <xf numFmtId="3" fontId="3" fillId="0" borderId="0" xfId="0" applyNumberFormat="1" applyFont="1" applyAlignment="1"/>
    <xf numFmtId="0" fontId="2" fillId="0" borderId="0" xfId="16" applyFont="1" applyAlignment="1"/>
    <xf numFmtId="0" fontId="4" fillId="0" borderId="0" xfId="16" applyFont="1" applyAlignment="1" applyProtection="1"/>
    <xf numFmtId="3" fontId="4" fillId="0" borderId="0" xfId="0" applyNumberFormat="1" applyFont="1" applyAlignment="1" applyProtection="1"/>
    <xf numFmtId="0" fontId="5" fillId="0" borderId="0" xfId="16" applyFont="1" applyAlignment="1">
      <alignment horizontal="right"/>
    </xf>
    <xf numFmtId="165" fontId="6" fillId="0" borderId="0" xfId="4" applyNumberFormat="1">
      <protection locked="0"/>
    </xf>
    <xf numFmtId="0" fontId="1" fillId="0" borderId="0" xfId="16" applyFont="1" applyAlignment="1"/>
    <xf numFmtId="165" fontId="20" fillId="0" borderId="0" xfId="16" applyNumberFormat="1" applyFont="1" applyAlignment="1" applyProtection="1">
      <protection locked="0"/>
    </xf>
    <xf numFmtId="3" fontId="0" fillId="0" borderId="0" xfId="0" applyNumberFormat="1" applyAlignment="1" applyProtection="1"/>
    <xf numFmtId="3" fontId="0" fillId="0" borderId="0" xfId="0" applyNumberFormat="1" applyAlignment="1"/>
    <xf numFmtId="38" fontId="6" fillId="0" borderId="0" xfId="6">
      <protection locked="0"/>
    </xf>
    <xf numFmtId="3" fontId="2" fillId="0" borderId="0" xfId="0" applyNumberFormat="1" applyFont="1" applyAlignment="1"/>
    <xf numFmtId="0" fontId="21" fillId="0" borderId="0" xfId="0" applyFont="1" applyFill="1" applyAlignment="1" applyProtection="1"/>
    <xf numFmtId="0" fontId="21" fillId="0" borderId="0" xfId="0" applyFont="1" applyFill="1" applyAlignment="1" applyProtection="1">
      <alignment horizontal="center"/>
    </xf>
    <xf numFmtId="0" fontId="0" fillId="0" borderId="0" xfId="0" applyFill="1" applyAlignment="1" applyProtection="1"/>
    <xf numFmtId="0" fontId="22" fillId="0" borderId="0" xfId="0" applyFont="1" applyFill="1" applyAlignment="1" applyProtection="1"/>
    <xf numFmtId="0" fontId="23" fillId="0" borderId="0" xfId="0" applyFont="1" applyFill="1" applyAlignment="1" applyProtection="1">
      <alignment horizontal="right"/>
    </xf>
    <xf numFmtId="14" fontId="8" fillId="0" borderId="0" xfId="0" applyNumberFormat="1" applyFont="1" applyAlignment="1" applyProtection="1">
      <alignment horizontal="right"/>
    </xf>
    <xf numFmtId="0" fontId="0" fillId="0" borderId="0" xfId="0" applyAlignment="1"/>
    <xf numFmtId="0" fontId="24" fillId="0" borderId="0" xfId="0" applyFont="1" applyBorder="1" applyAlignment="1" applyProtection="1"/>
    <xf numFmtId="0" fontId="25" fillId="0" borderId="2" xfId="0" applyFont="1" applyBorder="1" applyAlignment="1" applyProtection="1">
      <alignment horizontal="left"/>
    </xf>
    <xf numFmtId="0" fontId="25" fillId="0" borderId="2" xfId="0" applyFont="1" applyBorder="1" applyAlignment="1" applyProtection="1">
      <alignment horizontal="left" wrapText="1"/>
    </xf>
    <xf numFmtId="0" fontId="0" fillId="0" borderId="2" xfId="0" applyBorder="1" applyAlignment="1" applyProtection="1"/>
    <xf numFmtId="0" fontId="0" fillId="0" borderId="2" xfId="0" applyBorder="1" applyAlignment="1"/>
    <xf numFmtId="0" fontId="2" fillId="0" borderId="0" xfId="0" applyFont="1" applyAlignment="1"/>
    <xf numFmtId="0" fontId="26" fillId="0" borderId="0" xfId="0" applyFont="1" applyFill="1" applyAlignment="1" applyProtection="1"/>
    <xf numFmtId="0" fontId="4" fillId="0" borderId="0" xfId="0" applyFont="1" applyAlignment="1"/>
    <xf numFmtId="0" fontId="4" fillId="0" borderId="2" xfId="0" applyFont="1" applyBorder="1" applyAlignment="1"/>
    <xf numFmtId="0" fontId="24" fillId="0" borderId="2" xfId="0" applyFont="1" applyBorder="1" applyAlignment="1" applyProtection="1">
      <alignment horizontal="right"/>
    </xf>
    <xf numFmtId="0" fontId="24" fillId="0" borderId="3" xfId="0" applyFont="1" applyBorder="1" applyAlignment="1" applyProtection="1">
      <alignment horizontal="left" vertical="center"/>
    </xf>
    <xf numFmtId="0" fontId="4" fillId="0" borderId="0" xfId="0" applyFont="1" applyBorder="1" applyAlignment="1" applyProtection="1"/>
    <xf numFmtId="0" fontId="24" fillId="0" borderId="2" xfId="0" applyFont="1" applyBorder="1" applyAlignment="1" applyProtection="1"/>
    <xf numFmtId="0" fontId="4" fillId="0" borderId="2" xfId="16" applyFont="1" applyBorder="1" applyAlignment="1"/>
    <xf numFmtId="3" fontId="2" fillId="0" borderId="0" xfId="0" applyNumberFormat="1" applyFont="1" applyAlignment="1" applyProtection="1"/>
    <xf numFmtId="164" fontId="5" fillId="0" borderId="0" xfId="0" applyNumberFormat="1" applyFont="1" applyBorder="1" applyAlignment="1" applyProtection="1">
      <alignment horizontal="right"/>
    </xf>
    <xf numFmtId="164" fontId="4" fillId="0" borderId="0" xfId="0" applyNumberFormat="1" applyFont="1" applyAlignment="1" applyProtection="1"/>
    <xf numFmtId="165" fontId="4" fillId="0" borderId="0" xfId="9" applyNumberFormat="1"/>
    <xf numFmtId="165" fontId="11" fillId="0" borderId="0" xfId="9" applyNumberFormat="1" applyFont="1" applyBorder="1"/>
    <xf numFmtId="0" fontId="2" fillId="0" borderId="0" xfId="0" applyFont="1" applyAlignment="1" applyProtection="1"/>
    <xf numFmtId="165" fontId="2" fillId="0" borderId="0" xfId="3" applyNumberFormat="1" applyFont="1" applyAlignment="1">
      <alignment horizontal="right"/>
    </xf>
    <xf numFmtId="165" fontId="2" fillId="0" borderId="0" xfId="0" applyNumberFormat="1" applyFont="1" applyAlignment="1" applyProtection="1"/>
    <xf numFmtId="165" fontId="2" fillId="0" borderId="0" xfId="3" applyNumberFormat="1" applyFont="1"/>
    <xf numFmtId="165" fontId="4" fillId="0" borderId="0" xfId="0" applyNumberFormat="1" applyFont="1" applyAlignment="1" applyProtection="1"/>
    <xf numFmtId="165" fontId="5" fillId="0" borderId="0" xfId="3" applyNumberFormat="1" applyFont="1" applyBorder="1"/>
    <xf numFmtId="171" fontId="20" fillId="0" borderId="0" xfId="16" applyNumberFormat="1" applyFont="1" applyAlignment="1" applyProtection="1">
      <protection locked="0"/>
    </xf>
    <xf numFmtId="3" fontId="4" fillId="0" borderId="0" xfId="0" applyNumberFormat="1" applyFont="1" applyAlignment="1"/>
    <xf numFmtId="165" fontId="2" fillId="0" borderId="0" xfId="16" applyNumberFormat="1" applyFont="1" applyAlignment="1">
      <alignment horizontal="right"/>
    </xf>
    <xf numFmtId="10" fontId="2" fillId="0" borderId="0" xfId="16" applyNumberFormat="1" applyFont="1" applyAlignment="1">
      <alignment horizontal="right"/>
    </xf>
    <xf numFmtId="171" fontId="2" fillId="0" borderId="0" xfId="16" applyNumberFormat="1" applyFont="1" applyAlignment="1">
      <alignment horizontal="right"/>
    </xf>
    <xf numFmtId="165" fontId="2" fillId="0" borderId="0" xfId="9" applyNumberFormat="1" applyFont="1"/>
    <xf numFmtId="0" fontId="27" fillId="0" borderId="0" xfId="16" applyFont="1" applyFill="1" applyAlignment="1" applyProtection="1">
      <alignment horizontal="center" vertical="center"/>
    </xf>
    <xf numFmtId="0" fontId="3" fillId="0" borderId="0" xfId="16" applyFont="1" applyFill="1" applyAlignment="1"/>
    <xf numFmtId="165" fontId="1" fillId="0" borderId="0" xfId="17" applyFont="1" applyAlignment="1" applyProtection="1">
      <alignment vertical="top"/>
    </xf>
    <xf numFmtId="165" fontId="20" fillId="0" borderId="0" xfId="9" applyNumberFormat="1" applyFont="1" applyFill="1" applyProtection="1">
      <protection locked="0"/>
    </xf>
    <xf numFmtId="165" fontId="20" fillId="0" borderId="0" xfId="9" applyNumberFormat="1" applyFont="1" applyFill="1" applyAlignment="1" applyProtection="1">
      <alignment horizontal="right"/>
      <protection locked="0"/>
    </xf>
    <xf numFmtId="165" fontId="20" fillId="0" borderId="0" xfId="9" applyNumberFormat="1" applyFont="1" applyFill="1" applyBorder="1" applyProtection="1">
      <protection locked="0"/>
    </xf>
    <xf numFmtId="165" fontId="20" fillId="0" borderId="0" xfId="9" applyNumberFormat="1" applyFont="1" applyProtection="1">
      <protection locked="0"/>
    </xf>
    <xf numFmtId="165" fontId="28" fillId="0" borderId="0" xfId="9" applyNumberFormat="1" applyFont="1" applyProtection="1">
      <protection locked="0"/>
    </xf>
    <xf numFmtId="0" fontId="29" fillId="0" borderId="0" xfId="0" applyFont="1" applyFill="1" applyBorder="1" applyAlignment="1">
      <alignment horizontal="left" vertical="center"/>
    </xf>
    <xf numFmtId="0" fontId="0" fillId="0" borderId="0" xfId="0" applyFill="1" applyBorder="1" applyAlignment="1"/>
    <xf numFmtId="0" fontId="25" fillId="0" borderId="0" xfId="0" applyFont="1" applyFill="1" applyBorder="1" applyAlignment="1"/>
    <xf numFmtId="165" fontId="4" fillId="0" borderId="0" xfId="16" applyNumberFormat="1" applyFont="1" applyAlignment="1">
      <alignment horizontal="right"/>
    </xf>
    <xf numFmtId="0" fontId="30" fillId="0" borderId="0" xfId="0" applyFont="1" applyAlignment="1">
      <alignment vertical="center" wrapText="1"/>
    </xf>
    <xf numFmtId="165" fontId="1" fillId="0" borderId="2" xfId="17" applyFont="1" applyBorder="1" applyAlignment="1" applyProtection="1">
      <alignment vertical="top"/>
    </xf>
    <xf numFmtId="0" fontId="2" fillId="0" borderId="2" xfId="16" applyFont="1" applyBorder="1" applyAlignment="1">
      <alignment horizontal="right"/>
    </xf>
    <xf numFmtId="0" fontId="4" fillId="0" borderId="2" xfId="16" applyFont="1" applyBorder="1" applyAlignment="1">
      <alignment horizontal="right"/>
    </xf>
    <xf numFmtId="0" fontId="3" fillId="0" borderId="2" xfId="16" applyFont="1" applyBorder="1" applyAlignment="1"/>
    <xf numFmtId="38" fontId="2" fillId="0" borderId="0" xfId="6" applyFont="1" applyProtection="1"/>
    <xf numFmtId="171" fontId="2" fillId="0" borderId="0" xfId="16" applyNumberFormat="1" applyFont="1" applyAlignment="1" applyProtection="1"/>
    <xf numFmtId="0" fontId="4" fillId="0" borderId="0" xfId="16" applyFont="1" applyFill="1" applyAlignment="1" applyProtection="1"/>
    <xf numFmtId="0" fontId="4" fillId="0" borderId="0" xfId="16" applyFont="1" applyFill="1" applyAlignment="1"/>
    <xf numFmtId="165" fontId="2" fillId="0" borderId="0" xfId="16" applyNumberFormat="1" applyFont="1" applyFill="1" applyAlignment="1">
      <alignment horizontal="right"/>
    </xf>
    <xf numFmtId="0" fontId="31" fillId="0" borderId="0" xfId="0" applyFont="1">
      <alignment vertical="top"/>
    </xf>
    <xf numFmtId="0" fontId="18" fillId="0" borderId="0" xfId="12" applyProtection="1">
      <alignment vertical="top"/>
    </xf>
    <xf numFmtId="0" fontId="12" fillId="0" borderId="0" xfId="16" applyFont="1" applyAlignment="1"/>
    <xf numFmtId="6" fontId="6" fillId="0" borderId="0" xfId="6" applyNumberFormat="1">
      <protection locked="0"/>
    </xf>
    <xf numFmtId="171" fontId="2" fillId="0" borderId="0" xfId="16" applyNumberFormat="1" applyFont="1" applyFill="1" applyAlignment="1">
      <alignment horizontal="right"/>
    </xf>
    <xf numFmtId="3" fontId="0" fillId="0" borderId="0" xfId="0" applyNumberFormat="1" applyAlignment="1">
      <alignment horizontal="right"/>
    </xf>
    <xf numFmtId="3" fontId="4" fillId="0" borderId="0" xfId="0" applyNumberFormat="1" applyFont="1" applyAlignment="1">
      <alignment horizontal="right"/>
    </xf>
    <xf numFmtId="172" fontId="4" fillId="0" borderId="0" xfId="16" applyNumberFormat="1" applyFont="1" applyFill="1" applyAlignment="1">
      <alignment horizontal="right"/>
    </xf>
    <xf numFmtId="172" fontId="2" fillId="0" borderId="0" xfId="16" applyNumberFormat="1" applyFont="1" applyFill="1" applyAlignment="1">
      <alignment horizontal="right"/>
    </xf>
    <xf numFmtId="165" fontId="4" fillId="0" borderId="0" xfId="17" applyFont="1" applyFill="1" applyAlignment="1"/>
    <xf numFmtId="3" fontId="32" fillId="6" borderId="13" xfId="0" applyNumberFormat="1" applyFont="1" applyFill="1" applyBorder="1" applyAlignment="1" applyProtection="1">
      <alignment horizontal="center"/>
      <protection locked="0"/>
    </xf>
    <xf numFmtId="3" fontId="33" fillId="6" borderId="13" xfId="0" applyNumberFormat="1" applyFont="1" applyFill="1" applyBorder="1" applyAlignment="1" applyProtection="1">
      <alignment horizontal="center"/>
      <protection locked="0"/>
    </xf>
    <xf numFmtId="165" fontId="1" fillId="0" borderId="0" xfId="17" applyFont="1" applyFill="1" applyAlignment="1"/>
    <xf numFmtId="0" fontId="1" fillId="0" borderId="0" xfId="16" applyFont="1" applyFill="1" applyAlignment="1"/>
    <xf numFmtId="165" fontId="13" fillId="0" borderId="0" xfId="17" applyFont="1" applyBorder="1" applyProtection="1">
      <alignment vertical="top"/>
    </xf>
    <xf numFmtId="0" fontId="13" fillId="0" borderId="0" xfId="16"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2" fillId="0" borderId="0" xfId="0" applyFont="1" applyFill="1" applyAlignment="1"/>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20" fillId="0" borderId="0" xfId="6" applyNumberFormat="1" applyFont="1">
      <protection locked="0"/>
    </xf>
    <xf numFmtId="171" fontId="2" fillId="0" borderId="0" xfId="16" applyNumberFormat="1" applyFont="1" applyAlignment="1" applyProtection="1">
      <protection locked="0"/>
    </xf>
    <xf numFmtId="165" fontId="2" fillId="0" borderId="0" xfId="16" applyNumberFormat="1" applyFont="1" applyAlignment="1" applyProtection="1">
      <protection locked="0"/>
    </xf>
    <xf numFmtId="165" fontId="2" fillId="7" borderId="0" xfId="16" applyNumberFormat="1" applyFont="1" applyFill="1" applyAlignment="1">
      <alignment horizontal="right"/>
    </xf>
    <xf numFmtId="0" fontId="5" fillId="7" borderId="0" xfId="16" applyFont="1" applyFill="1" applyAlignment="1">
      <alignment horizontal="right"/>
    </xf>
    <xf numFmtId="0" fontId="4" fillId="7" borderId="0" xfId="16" applyFont="1" applyFill="1" applyAlignment="1"/>
    <xf numFmtId="10" fontId="2" fillId="0" borderId="0" xfId="16" applyNumberFormat="1" applyFont="1" applyFill="1" applyAlignment="1">
      <alignment horizontal="right"/>
    </xf>
    <xf numFmtId="0" fontId="5" fillId="0" borderId="0" xfId="16" applyFont="1" applyFill="1" applyAlignment="1">
      <alignment horizontal="right"/>
    </xf>
    <xf numFmtId="171" fontId="2" fillId="8" borderId="0" xfId="16" applyNumberFormat="1" applyFont="1" applyFill="1" applyAlignment="1">
      <alignment horizontal="right"/>
    </xf>
    <xf numFmtId="0" fontId="2" fillId="7" borderId="0" xfId="16" applyFont="1" applyFill="1" applyAlignment="1" applyProtection="1"/>
    <xf numFmtId="0" fontId="4" fillId="7" borderId="0" xfId="16" applyFont="1" applyFill="1" applyAlignment="1" applyProtection="1"/>
    <xf numFmtId="165" fontId="4" fillId="7" borderId="0" xfId="16" applyNumberFormat="1" applyFont="1" applyFill="1" applyAlignment="1">
      <alignment horizontal="right"/>
    </xf>
    <xf numFmtId="0" fontId="3" fillId="7" borderId="0" xfId="16" applyFont="1" applyFill="1" applyAlignment="1"/>
    <xf numFmtId="165" fontId="1" fillId="7" borderId="0" xfId="17" applyFont="1" applyFill="1" applyAlignment="1"/>
    <xf numFmtId="0" fontId="1" fillId="7" borderId="0" xfId="16" applyFont="1" applyFill="1" applyAlignment="1"/>
    <xf numFmtId="6" fontId="6" fillId="0" borderId="0" xfId="6" applyNumberFormat="1" applyFill="1">
      <protection locked="0"/>
    </xf>
    <xf numFmtId="3" fontId="4" fillId="0" borderId="0" xfId="0" applyNumberFormat="1" applyFont="1" applyFill="1" applyAlignment="1"/>
    <xf numFmtId="0" fontId="2" fillId="0" borderId="5" xfId="0" applyFont="1" applyFill="1" applyBorder="1">
      <alignment vertical="top"/>
    </xf>
    <xf numFmtId="0" fontId="2" fillId="0" borderId="6" xfId="0" applyFont="1" applyFill="1" applyBorder="1">
      <alignment vertical="top"/>
    </xf>
    <xf numFmtId="171" fontId="2" fillId="0" borderId="4" xfId="0" applyNumberFormat="1" applyFont="1" applyFill="1" applyBorder="1">
      <alignment vertical="top"/>
    </xf>
    <xf numFmtId="0" fontId="4" fillId="0" borderId="0" xfId="0" applyFont="1" applyFill="1">
      <alignment vertical="top"/>
    </xf>
    <xf numFmtId="165" fontId="0" fillId="0" borderId="0" xfId="0" applyNumberFormat="1" applyFill="1">
      <alignment vertical="top"/>
    </xf>
    <xf numFmtId="0" fontId="0" fillId="0" borderId="0" xfId="0" applyFill="1">
      <alignment vertical="top"/>
    </xf>
    <xf numFmtId="171" fontId="0" fillId="0" borderId="0" xfId="0" applyNumberFormat="1" applyFill="1">
      <alignment vertical="top"/>
    </xf>
    <xf numFmtId="10" fontId="0" fillId="0" borderId="0" xfId="0" applyNumberFormat="1" applyFill="1">
      <alignment vertical="top"/>
    </xf>
    <xf numFmtId="171" fontId="0" fillId="9" borderId="0" xfId="0" applyNumberFormat="1" applyFill="1">
      <alignment vertical="top"/>
    </xf>
    <xf numFmtId="165" fontId="0" fillId="9" borderId="0" xfId="0" applyNumberFormat="1" applyFill="1">
      <alignment vertical="top"/>
    </xf>
    <xf numFmtId="165" fontId="4" fillId="0" borderId="0" xfId="17" applyAlignment="1">
      <alignment vertical="center"/>
    </xf>
    <xf numFmtId="165" fontId="4" fillId="0" borderId="0" xfId="17" applyFill="1">
      <alignment vertical="top"/>
    </xf>
    <xf numFmtId="165" fontId="4" fillId="0" borderId="0" xfId="17">
      <alignment vertical="top"/>
    </xf>
    <xf numFmtId="165" fontId="4" fillId="0" borderId="0" xfId="17" applyFont="1" applyFill="1" applyAlignment="1">
      <alignment vertical="center"/>
    </xf>
    <xf numFmtId="165" fontId="4" fillId="0" borderId="0" xfId="17" applyFont="1" applyFill="1">
      <alignment vertical="top"/>
    </xf>
    <xf numFmtId="165" fontId="2" fillId="0" borderId="0" xfId="17" applyFont="1" applyFill="1" applyAlignment="1">
      <alignment horizontal="center" vertical="center"/>
    </xf>
    <xf numFmtId="165" fontId="2" fillId="0" borderId="0" xfId="17" applyFont="1" applyAlignment="1">
      <alignment vertical="center"/>
    </xf>
    <xf numFmtId="165" fontId="2" fillId="0" borderId="0" xfId="17" applyFont="1">
      <alignment vertical="top"/>
    </xf>
    <xf numFmtId="165" fontId="35" fillId="0" borderId="0" xfId="13" applyNumberFormat="1" applyFont="1" applyAlignment="1" applyProtection="1">
      <alignment horizontal="left" vertical="center"/>
    </xf>
    <xf numFmtId="165" fontId="4" fillId="0" borderId="0" xfId="17" applyAlignment="1">
      <alignment horizontal="left" vertical="center" wrapText="1"/>
    </xf>
    <xf numFmtId="0" fontId="1" fillId="0" borderId="0" xfId="16" applyAlignment="1">
      <alignment vertical="center"/>
    </xf>
    <xf numFmtId="0" fontId="1" fillId="0" borderId="0" xfId="16" applyAlignment="1"/>
    <xf numFmtId="0" fontId="14" fillId="0" borderId="0" xfId="0" applyFont="1" applyAlignment="1"/>
    <xf numFmtId="3" fontId="2" fillId="0" borderId="0" xfId="0" applyNumberFormat="1" applyFont="1" applyFill="1" applyAlignment="1">
      <alignment horizontal="right"/>
    </xf>
    <xf numFmtId="165" fontId="35" fillId="0" borderId="0" xfId="12" applyNumberFormat="1" applyFont="1" applyAlignment="1" applyProtection="1">
      <alignment horizontal="left" vertical="center"/>
    </xf>
    <xf numFmtId="0" fontId="4" fillId="0" borderId="0" xfId="16" applyFont="1" applyAlignment="1">
      <alignment horizontal="left" vertical="center" wrapText="1"/>
    </xf>
    <xf numFmtId="0" fontId="4" fillId="0" borderId="0" xfId="16" applyFont="1" applyAlignment="1">
      <alignment vertical="center"/>
    </xf>
    <xf numFmtId="0" fontId="2" fillId="0" borderId="0" xfId="0" applyFont="1" applyAlignment="1">
      <alignment vertical="top"/>
    </xf>
    <xf numFmtId="165" fontId="4" fillId="0" borderId="0" xfId="16"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165" fontId="2" fillId="0" borderId="0" xfId="9" applyNumberFormat="1" applyFont="1" applyFill="1" applyProtection="1"/>
    <xf numFmtId="0" fontId="2" fillId="0" borderId="7" xfId="0" applyFont="1" applyBorder="1" applyAlignment="1" applyProtection="1"/>
    <xf numFmtId="172" fontId="4" fillId="0" borderId="3" xfId="0" applyNumberFormat="1" applyFont="1" applyBorder="1" applyAlignment="1" applyProtection="1"/>
    <xf numFmtId="172" fontId="4" fillId="0" borderId="8" xfId="0" applyNumberFormat="1" applyFont="1" applyBorder="1" applyAlignment="1" applyProtection="1"/>
    <xf numFmtId="172" fontId="4" fillId="0" borderId="9" xfId="0" applyNumberFormat="1" applyFont="1" applyBorder="1" applyAlignment="1" applyProtection="1"/>
    <xf numFmtId="172" fontId="4" fillId="0" borderId="0" xfId="0" applyNumberFormat="1" applyFont="1" applyBorder="1" applyAlignment="1" applyProtection="1"/>
    <xf numFmtId="4" fontId="20" fillId="0" borderId="0" xfId="9" applyNumberFormat="1" applyFont="1" applyFill="1" applyBorder="1" applyProtection="1">
      <protection locked="0"/>
    </xf>
    <xf numFmtId="172" fontId="4" fillId="0" borderId="10" xfId="0" applyNumberFormat="1" applyFont="1" applyBorder="1" applyAlignment="1" applyProtection="1"/>
    <xf numFmtId="0" fontId="11" fillId="0" borderId="0" xfId="0" applyFont="1" applyBorder="1" applyAlignment="1" applyProtection="1"/>
    <xf numFmtId="3" fontId="11" fillId="0" borderId="0" xfId="5" applyNumberFormat="1" applyFont="1" applyBorder="1"/>
    <xf numFmtId="0" fontId="11" fillId="0" borderId="10" xfId="0" applyFont="1" applyBorder="1" applyAlignment="1" applyProtection="1"/>
    <xf numFmtId="165" fontId="2" fillId="0" borderId="0" xfId="3" applyNumberFormat="1" applyFont="1" applyBorder="1"/>
    <xf numFmtId="172" fontId="2" fillId="0" borderId="10" xfId="0" applyNumberFormat="1" applyFont="1" applyBorder="1" applyAlignment="1" applyProtection="1"/>
    <xf numFmtId="3" fontId="4" fillId="0" borderId="0" xfId="5" applyNumberFormat="1" applyBorder="1"/>
    <xf numFmtId="172" fontId="4" fillId="0" borderId="11" xfId="0" applyNumberFormat="1" applyFont="1" applyBorder="1" applyAlignment="1" applyProtection="1"/>
    <xf numFmtId="0" fontId="4" fillId="0" borderId="2" xfId="0" applyFont="1" applyBorder="1" applyAlignment="1" applyProtection="1"/>
    <xf numFmtId="165" fontId="2" fillId="0" borderId="2" xfId="3" applyNumberFormat="1" applyFont="1" applyBorder="1"/>
    <xf numFmtId="172" fontId="2" fillId="0" borderId="12" xfId="0" applyNumberFormat="1" applyFont="1" applyBorder="1" applyAlignment="1" applyProtection="1"/>
    <xf numFmtId="165" fontId="28" fillId="0" borderId="0" xfId="9" applyNumberFormat="1" applyFont="1" applyBorder="1" applyProtection="1">
      <protection locked="0"/>
    </xf>
    <xf numFmtId="165" fontId="34" fillId="0" borderId="0" xfId="12" applyNumberFormat="1" applyFont="1" applyAlignment="1" applyProtection="1">
      <alignment horizontal="left" vertical="center"/>
    </xf>
    <xf numFmtId="44" fontId="4" fillId="0" borderId="0" xfId="11" applyFont="1" applyAlignment="1" applyProtection="1">
      <alignment horizontal="right"/>
      <protection locked="0"/>
    </xf>
    <xf numFmtId="44" fontId="0" fillId="0" borderId="0" xfId="11" applyFont="1" applyAlignment="1">
      <alignment vertical="top"/>
    </xf>
    <xf numFmtId="0" fontId="2" fillId="7" borderId="0" xfId="0" applyFont="1" applyFill="1">
      <alignment vertical="top"/>
    </xf>
    <xf numFmtId="0" fontId="25" fillId="0" borderId="0" xfId="0" applyFont="1" applyBorder="1" applyAlignment="1" applyProtection="1">
      <alignment horizontal="left"/>
    </xf>
    <xf numFmtId="0" fontId="25" fillId="0" borderId="0" xfId="0" applyFont="1" applyBorder="1" applyAlignment="1" applyProtection="1">
      <alignment horizontal="left" wrapText="1"/>
    </xf>
    <xf numFmtId="0" fontId="0" fillId="0" borderId="0" xfId="0" applyBorder="1" applyAlignment="1" applyProtection="1"/>
    <xf numFmtId="0" fontId="0" fillId="0" borderId="0" xfId="0" applyBorder="1" applyAlignment="1"/>
    <xf numFmtId="0" fontId="2" fillId="0" borderId="0" xfId="16" applyFont="1" applyBorder="1" applyAlignment="1">
      <alignment horizontal="right"/>
    </xf>
    <xf numFmtId="0" fontId="27" fillId="10" borderId="0" xfId="16" applyFont="1" applyFill="1" applyAlignment="1" applyProtection="1">
      <alignment horizontal="center" vertical="center"/>
    </xf>
    <xf numFmtId="0" fontId="27" fillId="10" borderId="0" xfId="16" applyFont="1" applyFill="1" applyAlignment="1" applyProtection="1">
      <alignment horizontal="left" vertical="center"/>
    </xf>
    <xf numFmtId="0" fontId="2" fillId="0" borderId="2" xfId="16" applyFont="1" applyBorder="1" applyAlignment="1">
      <alignment horizontal="center"/>
    </xf>
    <xf numFmtId="165" fontId="27" fillId="10" borderId="0" xfId="17" applyFont="1" applyFill="1" applyAlignment="1">
      <alignment horizontal="center" vertical="center"/>
    </xf>
    <xf numFmtId="165" fontId="4" fillId="0" borderId="0" xfId="17" applyFont="1" applyFill="1" applyAlignment="1">
      <alignment horizontal="left" vertical="center" wrapText="1"/>
    </xf>
    <xf numFmtId="165" fontId="4" fillId="0" borderId="0" xfId="17" applyAlignment="1">
      <alignment horizontal="left" vertical="center" wrapText="1"/>
    </xf>
    <xf numFmtId="165" fontId="35" fillId="0" borderId="0" xfId="12" applyNumberFormat="1" applyFont="1" applyAlignment="1" applyProtection="1">
      <alignment horizontal="left" vertical="center"/>
    </xf>
    <xf numFmtId="0" fontId="35" fillId="0" borderId="0" xfId="12" applyFont="1" applyAlignment="1" applyProtection="1">
      <alignment horizontal="left" vertical="center"/>
    </xf>
    <xf numFmtId="165" fontId="4" fillId="0" borderId="0" xfId="17" applyAlignment="1">
      <alignment horizontal="left" vertical="top" wrapText="1"/>
    </xf>
    <xf numFmtId="0" fontId="4" fillId="0" borderId="0" xfId="16" applyFont="1" applyFill="1" applyAlignment="1">
      <alignment horizontal="left" vertical="center" wrapText="1"/>
    </xf>
    <xf numFmtId="0" fontId="4" fillId="0" borderId="0" xfId="16" applyFont="1" applyAlignment="1">
      <alignment horizontal="left" vertical="center" wrapText="1"/>
    </xf>
    <xf numFmtId="0" fontId="4" fillId="0" borderId="0" xfId="16" applyFont="1" applyAlignment="1">
      <alignment horizontal="left" vertical="top" wrapText="1"/>
    </xf>
    <xf numFmtId="165" fontId="4" fillId="0" borderId="0" xfId="17" applyFont="1" applyFill="1" applyAlignment="1">
      <alignment horizontal="left" vertical="top" wrapText="1"/>
    </xf>
    <xf numFmtId="0" fontId="4" fillId="0" borderId="0" xfId="16" applyFont="1" applyAlignment="1">
      <alignment horizontal="left" wrapText="1"/>
    </xf>
    <xf numFmtId="164" fontId="27" fillId="10" borderId="0" xfId="0" applyNumberFormat="1" applyFont="1" applyFill="1" applyAlignment="1" applyProtection="1">
      <alignment horizontal="center"/>
    </xf>
    <xf numFmtId="3" fontId="27" fillId="10" borderId="0" xfId="0" applyNumberFormat="1" applyFont="1" applyFill="1" applyAlignment="1" applyProtection="1">
      <alignment horizontal="center"/>
    </xf>
    <xf numFmtId="0" fontId="3" fillId="7" borderId="0" xfId="16" applyFont="1" applyFill="1" applyAlignment="1">
      <alignment horizontal="center" vertical="top" wrapText="1"/>
    </xf>
    <xf numFmtId="0" fontId="30" fillId="0" borderId="0" xfId="0" applyFont="1" applyBorder="1" applyAlignment="1">
      <alignment horizontal="left" vertical="center" wrapText="1"/>
    </xf>
    <xf numFmtId="165" fontId="34" fillId="0" borderId="0" xfId="12" applyNumberFormat="1" applyFont="1" applyAlignment="1" applyProtection="1">
      <alignment horizontal="left" vertical="top"/>
    </xf>
    <xf numFmtId="172" fontId="34" fillId="0" borderId="0" xfId="12" applyNumberFormat="1" applyFont="1" applyAlignment="1" applyProtection="1">
      <alignment horizontal="left"/>
    </xf>
    <xf numFmtId="0" fontId="34" fillId="0" borderId="0" xfId="12" applyFont="1" applyAlignment="1" applyProtection="1">
      <alignment horizontal="left" vertical="top"/>
    </xf>
  </cellXfs>
  <cellStyles count="29">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Currency" xfId="11" builtinId="4"/>
    <cellStyle name="Hyperlink" xfId="12" builtinId="8"/>
    <cellStyle name="Hyperlink 2" xfId="13"/>
    <cellStyle name="Normal" xfId="0" builtinId="0"/>
    <cellStyle name="Normal 2" xfId="14"/>
    <cellStyle name="Normal 2 2" xfId="15"/>
    <cellStyle name="Normal 3" xfId="16"/>
    <cellStyle name="Normal_Farrow-Wean 500" xfId="17"/>
    <cellStyle name="Num (1,234) L Black" xfId="18"/>
    <cellStyle name="Num (1,234) U Blue" xfId="19"/>
    <cellStyle name="Num (1,234.0) L Black" xfId="20"/>
    <cellStyle name="Num (1,234.0) U Blue" xfId="21"/>
    <cellStyle name="Num (1,234.10) L Black" xfId="22"/>
    <cellStyle name="Num (1,234.10) U Blue" xfId="23"/>
    <cellStyle name="Percent 00.00% L Black" xfId="24"/>
    <cellStyle name="Percent 00.00% U Blue" xfId="25"/>
    <cellStyle name="Standard_Anpassen der Amortisation" xfId="26"/>
    <cellStyle name="Währung [0]_Compiling Utility Macros" xfId="27"/>
    <cellStyle name="Währung_Compiling Utility Macros"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LPIP Insured Value</c:v>
            </c:pt>
          </c:strCache>
        </c:strRef>
      </c:tx>
      <c:layout/>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dLbl>
              <c:idx val="14"/>
              <c:delete val="1"/>
              <c:extLst>
                <c:ext xmlns:c15="http://schemas.microsoft.com/office/drawing/2012/chart" uri="{CE6537A1-D6FC-4f65-9D91-7224C49458BB}"/>
                <c:ext xmlns:c16="http://schemas.microsoft.com/office/drawing/2014/chart" uri="{C3380CC4-5D6E-409C-BE32-E72D297353CC}">
                  <c16:uniqueId val="{00000000-FD96-4B5F-A3BC-CC65363827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FD96-4B5F-A3BC-CC653638277E}"/>
            </c:ext>
          </c:extLst>
        </c:ser>
        <c:ser>
          <c:idx val="1"/>
          <c:order val="1"/>
          <c:tx>
            <c:strRef>
              <c:f>'Graph Data (HIDE)'!$B$4</c:f>
              <c:strCache>
                <c:ptCount val="1"/>
                <c:pt idx="0">
                  <c:v>Fixed Costs</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FD96-4B5F-A3BC-CC653638277E}"/>
            </c:ext>
          </c:extLst>
        </c:ser>
        <c:ser>
          <c:idx val="2"/>
          <c:order val="2"/>
          <c:tx>
            <c:strRef>
              <c:f>'Graph Data (HIDE)'!$B$5</c:f>
              <c:strCache>
                <c:ptCount val="1"/>
                <c:pt idx="0">
                  <c:v>Labour</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FD96-4B5F-A3BC-CC653638277E}"/>
            </c:ext>
          </c:extLst>
        </c:ser>
        <c:dLbls>
          <c:showLegendKey val="0"/>
          <c:showVal val="0"/>
          <c:showCatName val="0"/>
          <c:showSerName val="0"/>
          <c:showPercent val="0"/>
          <c:showBubbleSize val="0"/>
        </c:dLbls>
        <c:gapWidth val="75"/>
        <c:overlap val="100"/>
        <c:axId val="215194096"/>
        <c:axId val="1"/>
      </c:barChart>
      <c:catAx>
        <c:axId val="21519409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CA"/>
                  <a:t>Insured Index ($/cwt)</a:t>
                </a:r>
              </a:p>
            </c:rich>
          </c:tx>
          <c:layout/>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CA"/>
                  <a:t>$ per Head</a:t>
                </a:r>
              </a:p>
            </c:rich>
          </c:tx>
          <c:layout/>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194096"/>
        <c:crosses val="autoZero"/>
        <c:crossBetween val="between"/>
      </c:valAx>
      <c:spPr>
        <a:solidFill>
          <a:schemeClr val="bg1">
            <a:lumMod val="85000"/>
          </a:schemeClr>
        </a:solidFill>
      </c:spPr>
    </c:plotArea>
    <c:legend>
      <c:legendPos val="b"/>
      <c:layout>
        <c:manualLayout>
          <c:xMode val="edge"/>
          <c:yMode val="edge"/>
          <c:x val="0.21775326813431065"/>
          <c:y val="0.90296107018786187"/>
          <c:w val="0.55201146953793401"/>
          <c:h val="5.098687281570805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LPIP - Insured Value Analysis</c:v>
            </c:pt>
          </c:strCache>
        </c:strRef>
      </c:tx>
      <c:layout/>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(HIDE)'!$C$84:$V$84</c:f>
              <c:numCache>
                <c:formatCode>"$"#,##0.00</c:formatCode>
                <c:ptCount val="20"/>
                <c:pt idx="0">
                  <c:v>0.15000000000000083</c:v>
                </c:pt>
                <c:pt idx="1">
                  <c:v>0.10499999999999933</c:v>
                </c:pt>
                <c:pt idx="2">
                  <c:v>0.18500000000000033</c:v>
                </c:pt>
                <c:pt idx="3">
                  <c:v>0.12999999999999975</c:v>
                </c:pt>
                <c:pt idx="4">
                  <c:v>0.10500000000000058</c:v>
                </c:pt>
                <c:pt idx="5">
                  <c:v>0.13000000000000322</c:v>
                </c:pt>
                <c:pt idx="6">
                  <c:v>0.10499999999999975</c:v>
                </c:pt>
                <c:pt idx="7">
                  <c:v>0.13000000000000059</c:v>
                </c:pt>
                <c:pt idx="8">
                  <c:v>0.11999999999999941</c:v>
                </c:pt>
                <c:pt idx="9">
                  <c:v>9.9999999999997327E-2</c:v>
                </c:pt>
                <c:pt idx="10">
                  <c:v>0.1400000000000001</c:v>
                </c:pt>
                <c:pt idx="11">
                  <c:v>0.10500000000000016</c:v>
                </c:pt>
                <c:pt idx="12">
                  <c:v>3.499999999999992E-2</c:v>
                </c:pt>
                <c:pt idx="13">
                  <c:v>0.11500000000000009</c:v>
                </c:pt>
                <c:pt idx="14">
                  <c:v>0</c:v>
                </c:pt>
                <c:pt idx="15">
                  <c:v>0</c:v>
                </c:pt>
                <c:pt idx="16">
                  <c:v>0</c:v>
                </c:pt>
                <c:pt idx="17">
                  <c:v>0</c:v>
                </c:pt>
                <c:pt idx="18">
                  <c:v>0</c:v>
                </c:pt>
                <c:pt idx="19">
                  <c:v>0</c:v>
                </c:pt>
              </c:numCache>
            </c:numRef>
          </c:val>
          <c:extLst>
            <c:ext xmlns:c16="http://schemas.microsoft.com/office/drawing/2014/chart" uri="{C3380CC4-5D6E-409C-BE32-E72D297353CC}">
              <c16:uniqueId val="{00000000-BF23-472B-B6EA-E5903B3AD43D}"/>
            </c:ext>
          </c:extLst>
        </c:ser>
        <c:dLbls>
          <c:showLegendKey val="0"/>
          <c:showVal val="0"/>
          <c:showCatName val="0"/>
          <c:showSerName val="0"/>
          <c:showPercent val="0"/>
          <c:showBubbleSize val="0"/>
        </c:dLbls>
        <c:gapWidth val="75"/>
        <c:axId val="215193768"/>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F23-472B-B6EA-E5903B3AD43D}"/>
                </c:ext>
              </c:extLst>
            </c:dLbl>
            <c:dLbl>
              <c:idx val="6"/>
              <c:delete val="1"/>
              <c:extLst>
                <c:ext xmlns:c15="http://schemas.microsoft.com/office/drawing/2012/chart" uri="{CE6537A1-D6FC-4f65-9D91-7224C49458BB}"/>
                <c:ext xmlns:c16="http://schemas.microsoft.com/office/drawing/2014/chart" uri="{C3380CC4-5D6E-409C-BE32-E72D297353CC}">
                  <c16:uniqueId val="{00000002-BF23-472B-B6EA-E5903B3AD43D}"/>
                </c:ext>
              </c:extLst>
            </c:dLbl>
            <c:dLbl>
              <c:idx val="8"/>
              <c:delete val="1"/>
              <c:extLst>
                <c:ext xmlns:c15="http://schemas.microsoft.com/office/drawing/2012/chart" uri="{CE6537A1-D6FC-4f65-9D91-7224C49458BB}"/>
                <c:ext xmlns:c16="http://schemas.microsoft.com/office/drawing/2014/chart" uri="{C3380CC4-5D6E-409C-BE32-E72D297353CC}">
                  <c16:uniqueId val="{00000003-BF23-472B-B6EA-E5903B3AD43D}"/>
                </c:ext>
              </c:extLst>
            </c:dLbl>
            <c:dLbl>
              <c:idx val="10"/>
              <c:delete val="1"/>
              <c:extLst>
                <c:ext xmlns:c15="http://schemas.microsoft.com/office/drawing/2012/chart" uri="{CE6537A1-D6FC-4f65-9D91-7224C49458BB}"/>
                <c:ext xmlns:c16="http://schemas.microsoft.com/office/drawing/2014/chart" uri="{C3380CC4-5D6E-409C-BE32-E72D297353CC}">
                  <c16:uniqueId val="{00000004-BF23-472B-B6EA-E5903B3AD43D}"/>
                </c:ext>
              </c:extLst>
            </c:dLbl>
            <c:dLbl>
              <c:idx val="12"/>
              <c:delete val="1"/>
              <c:extLst>
                <c:ext xmlns:c15="http://schemas.microsoft.com/office/drawing/2012/chart" uri="{CE6537A1-D6FC-4f65-9D91-7224C49458BB}"/>
                <c:ext xmlns:c16="http://schemas.microsoft.com/office/drawing/2014/chart" uri="{C3380CC4-5D6E-409C-BE32-E72D297353CC}">
                  <c16:uniqueId val="{00000005-BF23-472B-B6EA-E5903B3AD43D}"/>
                </c:ext>
              </c:extLst>
            </c:dLbl>
            <c:dLbl>
              <c:idx val="14"/>
              <c:delete val="1"/>
              <c:extLst>
                <c:ext xmlns:c15="http://schemas.microsoft.com/office/drawing/2012/chart" uri="{CE6537A1-D6FC-4f65-9D91-7224C49458BB}"/>
                <c:ext xmlns:c16="http://schemas.microsoft.com/office/drawing/2014/chart" uri="{C3380CC4-5D6E-409C-BE32-E72D297353CC}">
                  <c16:uniqueId val="{00000006-BF23-472B-B6EA-E5903B3AD43D}"/>
                </c:ext>
              </c:extLst>
            </c:dLbl>
            <c:dLbl>
              <c:idx val="16"/>
              <c:delete val="1"/>
              <c:extLst>
                <c:ext xmlns:c15="http://schemas.microsoft.com/office/drawing/2012/chart" uri="{CE6537A1-D6FC-4f65-9D91-7224C49458BB}"/>
                <c:ext xmlns:c16="http://schemas.microsoft.com/office/drawing/2014/chart" uri="{C3380CC4-5D6E-409C-BE32-E72D297353CC}">
                  <c16:uniqueId val="{00000007-BF23-472B-B6EA-E5903B3AD43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(HIDE)'!$C$83:$V$83</c:f>
              <c:numCache>
                <c:formatCode>0.00%</c:formatCode>
                <c:ptCount val="20"/>
                <c:pt idx="0">
                  <c:v>2.6024096385542171E-2</c:v>
                </c:pt>
                <c:pt idx="1">
                  <c:v>2.5272727272727273E-2</c:v>
                </c:pt>
                <c:pt idx="2">
                  <c:v>2.478658536585366E-2</c:v>
                </c:pt>
                <c:pt idx="3">
                  <c:v>2.3803680981595091E-2</c:v>
                </c:pt>
                <c:pt idx="4">
                  <c:v>2.314814814814815E-2</c:v>
                </c:pt>
                <c:pt idx="5">
                  <c:v>2.2639751552795032E-2</c:v>
                </c:pt>
                <c:pt idx="6">
                  <c:v>2.1968749999999999E-2</c:v>
                </c:pt>
                <c:pt idx="7">
                  <c:v>2.1446540880503143E-2</c:v>
                </c:pt>
                <c:pt idx="8">
                  <c:v>2.0759493670886073E-2</c:v>
                </c:pt>
                <c:pt idx="9">
                  <c:v>2.0127388535031848E-2</c:v>
                </c:pt>
                <c:pt idx="10">
                  <c:v>1.9615384615384614E-2</c:v>
                </c:pt>
                <c:pt idx="11">
                  <c:v>1.8838709677419355E-2</c:v>
                </c:pt>
                <c:pt idx="12">
                  <c:v>1.827922077922078E-2</c:v>
                </c:pt>
                <c:pt idx="13">
                  <c:v>1.8169934640522876E-2</c:v>
                </c:pt>
                <c:pt idx="14">
                  <c:v>1.7532894736842105E-2</c:v>
                </c:pt>
                <c:pt idx="15">
                  <c:v>#N/A</c:v>
                </c:pt>
                <c:pt idx="16">
                  <c:v>#N/A</c:v>
                </c:pt>
                <c:pt idx="17">
                  <c:v>#N/A</c:v>
                </c:pt>
                <c:pt idx="18">
                  <c:v>#N/A</c:v>
                </c:pt>
                <c:pt idx="19">
                  <c:v>#N/A</c:v>
                </c:pt>
              </c:numCache>
            </c:numRef>
          </c:val>
          <c:smooth val="0"/>
          <c:extLst>
            <c:ext xmlns:c16="http://schemas.microsoft.com/office/drawing/2014/chart" uri="{C3380CC4-5D6E-409C-BE32-E72D297353CC}">
              <c16:uniqueId val="{00000008-BF23-472B-B6EA-E5903B3AD43D}"/>
            </c:ext>
          </c:extLst>
        </c:ser>
        <c:dLbls>
          <c:showLegendKey val="0"/>
          <c:showVal val="0"/>
          <c:showCatName val="0"/>
          <c:showSerName val="0"/>
          <c:showPercent val="0"/>
          <c:showBubbleSize val="0"/>
        </c:dLbls>
        <c:marker val="1"/>
        <c:smooth val="0"/>
        <c:axId val="3"/>
        <c:axId val="4"/>
      </c:lineChart>
      <c:catAx>
        <c:axId val="215193768"/>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 Cost Per $ Coverage</a:t>
                </a:r>
              </a:p>
            </c:rich>
          </c:tx>
          <c:layout/>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193768"/>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073080112262071E-2"/>
          <c:y val="0.90476281153266946"/>
          <c:w val="0.87299378973193154"/>
          <c:h val="5.0903170884778144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LPIP - Risk &amp; Reward Analysis</c:v>
            </c:pt>
          </c:strCache>
        </c:strRef>
      </c:tx>
      <c:layout/>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$320/cwt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D4-41C2-B38D-0ED9065E1645}"/>
                </c:ext>
              </c:extLst>
            </c:dLbl>
            <c:dLbl>
              <c:idx val="1"/>
              <c:delete val="1"/>
              <c:extLst>
                <c:ext xmlns:c15="http://schemas.microsoft.com/office/drawing/2012/chart" uri="{CE6537A1-D6FC-4f65-9D91-7224C49458BB}"/>
                <c:ext xmlns:c16="http://schemas.microsoft.com/office/drawing/2014/chart" uri="{C3380CC4-5D6E-409C-BE32-E72D297353CC}">
                  <c16:uniqueId val="{00000001-4BD4-41C2-B38D-0ED9065E1645}"/>
                </c:ext>
              </c:extLst>
            </c:dLbl>
            <c:dLbl>
              <c:idx val="2"/>
              <c:delete val="1"/>
              <c:extLst>
                <c:ext xmlns:c15="http://schemas.microsoft.com/office/drawing/2012/chart" uri="{CE6537A1-D6FC-4f65-9D91-7224C49458BB}"/>
                <c:ext xmlns:c16="http://schemas.microsoft.com/office/drawing/2014/chart" uri="{C3380CC4-5D6E-409C-BE32-E72D297353CC}">
                  <c16:uniqueId val="{00000002-4BD4-41C2-B38D-0ED9065E1645}"/>
                </c:ext>
              </c:extLst>
            </c:dLbl>
            <c:dLbl>
              <c:idx val="3"/>
              <c:delete val="1"/>
              <c:extLst>
                <c:ext xmlns:c15="http://schemas.microsoft.com/office/drawing/2012/chart" uri="{CE6537A1-D6FC-4f65-9D91-7224C49458BB}"/>
                <c:ext xmlns:c16="http://schemas.microsoft.com/office/drawing/2014/chart" uri="{C3380CC4-5D6E-409C-BE32-E72D297353CC}">
                  <c16:uniqueId val="{00000003-4BD4-41C2-B38D-0ED9065E1645}"/>
                </c:ext>
              </c:extLst>
            </c:dLbl>
            <c:dLbl>
              <c:idx val="4"/>
              <c:delete val="1"/>
              <c:extLst>
                <c:ext xmlns:c15="http://schemas.microsoft.com/office/drawing/2012/chart" uri="{CE6537A1-D6FC-4f65-9D91-7224C49458BB}"/>
                <c:ext xmlns:c16="http://schemas.microsoft.com/office/drawing/2014/chart" uri="{C3380CC4-5D6E-409C-BE32-E72D297353CC}">
                  <c16:uniqueId val="{00000004-4BD4-41C2-B38D-0ED9065E1645}"/>
                </c:ext>
              </c:extLst>
            </c:dLbl>
            <c:dLbl>
              <c:idx val="5"/>
              <c:delete val="1"/>
              <c:extLst>
                <c:ext xmlns:c15="http://schemas.microsoft.com/office/drawing/2012/chart" uri="{CE6537A1-D6FC-4f65-9D91-7224C49458BB}"/>
                <c:ext xmlns:c16="http://schemas.microsoft.com/office/drawing/2014/chart" uri="{C3380CC4-5D6E-409C-BE32-E72D297353CC}">
                  <c16:uniqueId val="{00000005-4BD4-41C2-B38D-0ED9065E1645}"/>
                </c:ext>
              </c:extLst>
            </c:dLbl>
            <c:dLbl>
              <c:idx val="6"/>
              <c:delete val="1"/>
              <c:extLst>
                <c:ext xmlns:c15="http://schemas.microsoft.com/office/drawing/2012/chart" uri="{CE6537A1-D6FC-4f65-9D91-7224C49458BB}"/>
                <c:ext xmlns:c16="http://schemas.microsoft.com/office/drawing/2014/chart" uri="{C3380CC4-5D6E-409C-BE32-E72D297353CC}">
                  <c16:uniqueId val="{00000006-4BD4-41C2-B38D-0ED9065E1645}"/>
                </c:ext>
              </c:extLst>
            </c:dLbl>
            <c:dLbl>
              <c:idx val="7"/>
              <c:delete val="1"/>
              <c:extLst>
                <c:ext xmlns:c15="http://schemas.microsoft.com/office/drawing/2012/chart" uri="{CE6537A1-D6FC-4f65-9D91-7224C49458BB}"/>
                <c:ext xmlns:c16="http://schemas.microsoft.com/office/drawing/2014/chart" uri="{C3380CC4-5D6E-409C-BE32-E72D297353CC}">
                  <c16:uniqueId val="{00000007-4BD4-41C2-B38D-0ED9065E1645}"/>
                </c:ext>
              </c:extLst>
            </c:dLbl>
            <c:dLbl>
              <c:idx val="8"/>
              <c:delete val="1"/>
              <c:extLst>
                <c:ext xmlns:c15="http://schemas.microsoft.com/office/drawing/2012/chart" uri="{CE6537A1-D6FC-4f65-9D91-7224C49458BB}"/>
                <c:ext xmlns:c16="http://schemas.microsoft.com/office/drawing/2014/chart" uri="{C3380CC4-5D6E-409C-BE32-E72D297353CC}">
                  <c16:uniqueId val="{00000008-4BD4-41C2-B38D-0ED9065E1645}"/>
                </c:ext>
              </c:extLst>
            </c:dLbl>
            <c:dLbl>
              <c:idx val="9"/>
              <c:delete val="1"/>
              <c:extLst>
                <c:ext xmlns:c15="http://schemas.microsoft.com/office/drawing/2012/chart" uri="{CE6537A1-D6FC-4f65-9D91-7224C49458BB}"/>
                <c:ext xmlns:c16="http://schemas.microsoft.com/office/drawing/2014/chart" uri="{C3380CC4-5D6E-409C-BE32-E72D297353CC}">
                  <c16:uniqueId val="{00000009-4BD4-41C2-B38D-0ED9065E1645}"/>
                </c:ext>
              </c:extLst>
            </c:dLbl>
            <c:dLbl>
              <c:idx val="10"/>
              <c:delete val="1"/>
              <c:extLst>
                <c:ext xmlns:c15="http://schemas.microsoft.com/office/drawing/2012/chart" uri="{CE6537A1-D6FC-4f65-9D91-7224C49458BB}"/>
                <c:ext xmlns:c16="http://schemas.microsoft.com/office/drawing/2014/chart" uri="{C3380CC4-5D6E-409C-BE32-E72D297353CC}">
                  <c16:uniqueId val="{0000000A-4BD4-41C2-B38D-0ED9065E1645}"/>
                </c:ext>
              </c:extLst>
            </c:dLbl>
            <c:dLbl>
              <c:idx val="11"/>
              <c:delete val="1"/>
              <c:extLst>
                <c:ext xmlns:c15="http://schemas.microsoft.com/office/drawing/2012/chart" uri="{CE6537A1-D6FC-4f65-9D91-7224C49458BB}"/>
                <c:ext xmlns:c16="http://schemas.microsoft.com/office/drawing/2014/chart" uri="{C3380CC4-5D6E-409C-BE32-E72D297353CC}">
                  <c16:uniqueId val="{0000000B-4BD4-41C2-B38D-0ED9065E1645}"/>
                </c:ext>
              </c:extLst>
            </c:dLbl>
            <c:dLbl>
              <c:idx val="12"/>
              <c:delete val="1"/>
              <c:extLst>
                <c:ext xmlns:c15="http://schemas.microsoft.com/office/drawing/2012/chart" uri="{CE6537A1-D6FC-4f65-9D91-7224C49458BB}"/>
                <c:ext xmlns:c16="http://schemas.microsoft.com/office/drawing/2014/chart" uri="{C3380CC4-5D6E-409C-BE32-E72D297353CC}">
                  <c16:uniqueId val="{0000000C-4BD4-41C2-B38D-0ED9065E1645}"/>
                </c:ext>
              </c:extLst>
            </c:dLbl>
            <c:dLbl>
              <c:idx val="13"/>
              <c:delete val="1"/>
              <c:extLst>
                <c:ext xmlns:c15="http://schemas.microsoft.com/office/drawing/2012/chart" uri="{CE6537A1-D6FC-4f65-9D91-7224C49458BB}"/>
                <c:ext xmlns:c16="http://schemas.microsoft.com/office/drawing/2014/chart" uri="{C3380CC4-5D6E-409C-BE32-E72D297353CC}">
                  <c16:uniqueId val="{0000000D-4BD4-41C2-B38D-0ED9065E1645}"/>
                </c:ext>
              </c:extLst>
            </c:dLbl>
            <c:dLbl>
              <c:idx val="14"/>
              <c:delete val="1"/>
              <c:extLst>
                <c:ext xmlns:c15="http://schemas.microsoft.com/office/drawing/2012/chart" uri="{CE6537A1-D6FC-4f65-9D91-7224C49458BB}"/>
                <c:ext xmlns:c16="http://schemas.microsoft.com/office/drawing/2014/chart" uri="{C3380CC4-5D6E-409C-BE32-E72D297353CC}">
                  <c16:uniqueId val="{0000000E-4BD4-41C2-B38D-0ED9065E1645}"/>
                </c:ext>
              </c:extLst>
            </c:dLbl>
            <c:dLbl>
              <c:idx val="15"/>
              <c:delete val="1"/>
              <c:extLst>
                <c:ext xmlns:c15="http://schemas.microsoft.com/office/drawing/2012/chart" uri="{CE6537A1-D6FC-4f65-9D91-7224C49458BB}"/>
                <c:ext xmlns:c16="http://schemas.microsoft.com/office/drawing/2014/chart" uri="{C3380CC4-5D6E-409C-BE32-E72D297353CC}">
                  <c16:uniqueId val="{0000000F-4BD4-41C2-B38D-0ED9065E1645}"/>
                </c:ext>
              </c:extLst>
            </c:dLbl>
            <c:dLbl>
              <c:idx val="16"/>
              <c:delete val="1"/>
              <c:extLst>
                <c:ext xmlns:c15="http://schemas.microsoft.com/office/drawing/2012/chart" uri="{CE6537A1-D6FC-4f65-9D91-7224C49458BB}"/>
                <c:ext xmlns:c16="http://schemas.microsoft.com/office/drawing/2014/chart" uri="{C3380CC4-5D6E-409C-BE32-E72D297353CC}">
                  <c16:uniqueId val="{00000010-4BD4-41C2-B38D-0ED9065E1645}"/>
                </c:ext>
              </c:extLst>
            </c:dLbl>
            <c:dLbl>
              <c:idx val="17"/>
              <c:delete val="1"/>
              <c:extLst>
                <c:ext xmlns:c15="http://schemas.microsoft.com/office/drawing/2012/chart" uri="{CE6537A1-D6FC-4f65-9D91-7224C49458BB}"/>
                <c:ext xmlns:c16="http://schemas.microsoft.com/office/drawing/2014/chart" uri="{C3380CC4-5D6E-409C-BE32-E72D297353CC}">
                  <c16:uniqueId val="{00000011-4BD4-41C2-B38D-0ED9065E1645}"/>
                </c:ext>
              </c:extLst>
            </c:dLbl>
            <c:dLbl>
              <c:idx val="18"/>
              <c:delete val="1"/>
              <c:extLst>
                <c:ext xmlns:c15="http://schemas.microsoft.com/office/drawing/2012/chart" uri="{CE6537A1-D6FC-4f65-9D91-7224C49458BB}"/>
                <c:ext xmlns:c16="http://schemas.microsoft.com/office/drawing/2014/chart" uri="{C3380CC4-5D6E-409C-BE32-E72D297353CC}">
                  <c16:uniqueId val="{00000012-4BD4-41C2-B38D-0ED9065E1645}"/>
                </c:ext>
              </c:extLst>
            </c:dLbl>
            <c:dLbl>
              <c:idx val="19"/>
              <c:delete val="1"/>
              <c:extLst>
                <c:ext xmlns:c15="http://schemas.microsoft.com/office/drawing/2012/chart" uri="{CE6537A1-D6FC-4f65-9D91-7224C49458BB}"/>
                <c:ext xmlns:c16="http://schemas.microsoft.com/office/drawing/2014/chart" uri="{C3380CC4-5D6E-409C-BE32-E72D297353CC}">
                  <c16:uniqueId val="{00000013-4BD4-41C2-B38D-0ED9065E164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(HIDE)'!$C$60:$V$60</c:f>
              <c:numCache>
                <c:formatCode>0.00%</c:formatCode>
                <c:ptCount val="20"/>
                <c:pt idx="0">
                  <c:v>7.9185048404169206E-2</c:v>
                </c:pt>
                <c:pt idx="1">
                  <c:v>7.9185048404169206E-2</c:v>
                </c:pt>
                <c:pt idx="2">
                  <c:v>7.9185048404169206E-2</c:v>
                </c:pt>
                <c:pt idx="3">
                  <c:v>7.9185048404169206E-2</c:v>
                </c:pt>
                <c:pt idx="4">
                  <c:v>7.9185048404169206E-2</c:v>
                </c:pt>
                <c:pt idx="5">
                  <c:v>7.9185048404169206E-2</c:v>
                </c:pt>
                <c:pt idx="6">
                  <c:v>7.9185048404169206E-2</c:v>
                </c:pt>
                <c:pt idx="7">
                  <c:v>7.9185048404169206E-2</c:v>
                </c:pt>
                <c:pt idx="8">
                  <c:v>7.9185048404169206E-2</c:v>
                </c:pt>
                <c:pt idx="9">
                  <c:v>7.9185048404169206E-2</c:v>
                </c:pt>
                <c:pt idx="10">
                  <c:v>7.9185048404169206E-2</c:v>
                </c:pt>
                <c:pt idx="11">
                  <c:v>7.9185048404169206E-2</c:v>
                </c:pt>
                <c:pt idx="12">
                  <c:v>7.9185048404169206E-2</c:v>
                </c:pt>
                <c:pt idx="13">
                  <c:v>7.9185048404169206E-2</c:v>
                </c:pt>
                <c:pt idx="14">
                  <c:v>7.9185048404169206E-2</c:v>
                </c:pt>
                <c:pt idx="15">
                  <c:v>7.9185048404169206E-2</c:v>
                </c:pt>
                <c:pt idx="16">
                  <c:v>7.9185048404169206E-2</c:v>
                </c:pt>
                <c:pt idx="17">
                  <c:v>7.9185048404169206E-2</c:v>
                </c:pt>
                <c:pt idx="18">
                  <c:v>7.9185048404169206E-2</c:v>
                </c:pt>
                <c:pt idx="19">
                  <c:v>7.9185048404169206E-2</c:v>
                </c:pt>
              </c:numCache>
            </c:numRef>
          </c:val>
          <c:smooth val="0"/>
          <c:extLst>
            <c:ext xmlns:c16="http://schemas.microsoft.com/office/drawing/2014/chart" uri="{C3380CC4-5D6E-409C-BE32-E72D297353CC}">
              <c16:uniqueId val="{00000014-4BD4-41C2-B38D-0ED9065E1645}"/>
            </c:ext>
          </c:extLst>
        </c:ser>
        <c:dLbls>
          <c:showLegendKey val="0"/>
          <c:showVal val="0"/>
          <c:showCatName val="0"/>
          <c:showSerName val="0"/>
          <c:showPercent val="0"/>
          <c:showBubbleSize val="0"/>
        </c:dLbls>
        <c:marker val="1"/>
        <c:smooth val="0"/>
        <c:axId val="214980328"/>
        <c:axId val="1"/>
      </c:lineChart>
      <c:lineChart>
        <c:grouping val="standard"/>
        <c:varyColors val="0"/>
        <c:ser>
          <c:idx val="2"/>
          <c:order val="1"/>
          <c:tx>
            <c:strRef>
              <c:f>'Graph Data (HIDE)'!$B$56</c:f>
              <c:strCache>
                <c:ptCount val="1"/>
                <c:pt idx="0">
                  <c:v>WLPIP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1.1196544877193255</c:v>
                </c:pt>
                <c:pt idx="1">
                  <c:v>1.1129095811667993</c:v>
                </c:pt>
                <c:pt idx="2">
                  <c:v>1.1061646746142733</c:v>
                </c:pt>
                <c:pt idx="3">
                  <c:v>1.0994197680617472</c:v>
                </c:pt>
                <c:pt idx="4">
                  <c:v>1.0926748615092212</c:v>
                </c:pt>
                <c:pt idx="5">
                  <c:v>1.0859299549566952</c:v>
                </c:pt>
                <c:pt idx="6">
                  <c:v>1.0791850484041692</c:v>
                </c:pt>
                <c:pt idx="7">
                  <c:v>1.0724401418516432</c:v>
                </c:pt>
                <c:pt idx="8">
                  <c:v>1.0656952352991171</c:v>
                </c:pt>
                <c:pt idx="9">
                  <c:v>1.0589503287465909</c:v>
                </c:pt>
                <c:pt idx="10">
                  <c:v>1.0522054221940649</c:v>
                </c:pt>
                <c:pt idx="11">
                  <c:v>1.0454605156415389</c:v>
                </c:pt>
                <c:pt idx="12">
                  <c:v>1.0387156090890128</c:v>
                </c:pt>
                <c:pt idx="13">
                  <c:v>1.0319707025364868</c:v>
                </c:pt>
                <c:pt idx="14">
                  <c:v>1.0252257959839606</c:v>
                </c:pt>
                <c:pt idx="15">
                  <c:v>#N/A</c:v>
                </c:pt>
                <c:pt idx="16">
                  <c:v>#N/A</c:v>
                </c:pt>
                <c:pt idx="17">
                  <c:v>#N/A</c:v>
                </c:pt>
                <c:pt idx="18">
                  <c:v>#N/A</c:v>
                </c:pt>
                <c:pt idx="19">
                  <c:v>#N/A</c:v>
                </c:pt>
              </c:numCache>
            </c:numRef>
          </c:val>
          <c:smooth val="0"/>
          <c:extLst>
            <c:ext xmlns:c16="http://schemas.microsoft.com/office/drawing/2014/chart" uri="{C3380CC4-5D6E-409C-BE32-E72D297353CC}">
              <c16:uniqueId val="{00000015-4BD4-41C2-B38D-0ED9065E1645}"/>
            </c:ext>
          </c:extLst>
        </c:ser>
        <c:dLbls>
          <c:showLegendKey val="0"/>
          <c:showVal val="0"/>
          <c:showCatName val="0"/>
          <c:showSerName val="0"/>
          <c:showPercent val="0"/>
          <c:showBubbleSize val="0"/>
        </c:dLbls>
        <c:marker val="1"/>
        <c:smooth val="0"/>
        <c:axId val="3"/>
        <c:axId val="4"/>
      </c:lineChart>
      <c:catAx>
        <c:axId val="214980328"/>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CA"/>
                  <a:t>Insured Index ($/cwt)</a:t>
                </a:r>
              </a:p>
            </c:rich>
          </c:tx>
          <c:layout/>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ROI (Reward) </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98032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CA"/>
                  <a:t>Cost Coverage (Risk)</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6957918354169144E-2"/>
          <c:y val="0.87149935153904146"/>
          <c:w val="0.9024762908605406"/>
          <c:h val="7.084021193984647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LPIP Premium) Not Covered By the LPIP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4499-4FC6-8D14-6BBE7445D466}"/>
            </c:ext>
          </c:extLst>
        </c:ser>
        <c:ser>
          <c:idx val="0"/>
          <c:order val="1"/>
          <c:tx>
            <c:strRef>
              <c:f>'Graph Data (HIDE)'!$B$13</c:f>
              <c:strCache>
                <c:ptCount val="1"/>
                <c:pt idx="0">
                  <c:v>Net Profit (based on Est. Settlement Price @ $280/cwt + LPIP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1-4499-4FC6-8D14-6BBE7445D466}"/>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4499-4FC6-8D14-6BBE7445D466}"/>
            </c:ext>
          </c:extLst>
        </c:ser>
        <c:ser>
          <c:idx val="5"/>
          <c:order val="3"/>
          <c:tx>
            <c:strRef>
              <c:f>'Graph Data (HIDE)'!$B$15</c:f>
              <c:strCache>
                <c:ptCount val="1"/>
                <c:pt idx="0">
                  <c:v>Op. &amp; Fixed Costs per Head (incl. LPIP Premium) Not Covered By the LPIP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4499-4FC6-8D14-6BBE7445D466}"/>
            </c:ext>
          </c:extLst>
        </c:ser>
        <c:dLbls>
          <c:showLegendKey val="0"/>
          <c:showVal val="0"/>
          <c:showCatName val="0"/>
          <c:showSerName val="0"/>
          <c:showPercent val="0"/>
          <c:showBubbleSize val="0"/>
        </c:dLbls>
        <c:smooth val="0"/>
        <c:axId val="215261704"/>
        <c:axId val="1"/>
      </c:lineChart>
      <c:catAx>
        <c:axId val="215261704"/>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1704"/>
        <c:crosses val="autoZero"/>
        <c:crossBetween val="between"/>
      </c:valAx>
      <c:spPr>
        <a:solidFill>
          <a:schemeClr val="bg1">
            <a:lumMod val="95000"/>
          </a:schemeClr>
        </a:solidFill>
        <a:ln>
          <a:noFill/>
        </a:ln>
        <a:effectLst/>
      </c:spPr>
    </c:plotArea>
    <c:legend>
      <c:legendPos val="r"/>
      <c:layout>
        <c:manualLayout>
          <c:xMode val="edge"/>
          <c:yMode val="edge"/>
          <c:x val="5.1867285596014126E-2"/>
          <c:y val="0.75901745667948661"/>
          <c:w val="0.90560280650640668"/>
          <c:h val="0.20327897327917141"/>
        </c:manualLayout>
      </c:layout>
      <c:overlay val="0"/>
      <c:spPr>
        <a:noFill/>
        <a:ln w="25400">
          <a:noFill/>
        </a:ln>
      </c:spPr>
      <c:txPr>
        <a:bodyPr/>
        <a:lstStyle/>
        <a:p>
          <a:pPr>
            <a:defRPr sz="84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LPIP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(HIDE)'!$B$44</c:f>
              <c:strCache>
                <c:ptCount val="1"/>
                <c:pt idx="0">
                  <c:v>$/cwt WLPIP Covered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(HIDE)'!$C$44:$V$44</c:f>
              <c:numCache>
                <c:formatCode>"$"#,##0</c:formatCode>
                <c:ptCount val="20"/>
                <c:pt idx="0">
                  <c:v>296.52004581901485</c:v>
                </c:pt>
                <c:pt idx="1">
                  <c:v>296.52004581901485</c:v>
                </c:pt>
                <c:pt idx="2">
                  <c:v>296.52004581901485</c:v>
                </c:pt>
                <c:pt idx="3">
                  <c:v>296.52004581901485</c:v>
                </c:pt>
                <c:pt idx="4">
                  <c:v>296.52004581901485</c:v>
                </c:pt>
                <c:pt idx="5">
                  <c:v>296.52004581901485</c:v>
                </c:pt>
                <c:pt idx="6">
                  <c:v>296.52004581901485</c:v>
                </c:pt>
                <c:pt idx="7">
                  <c:v>296.52004581901485</c:v>
                </c:pt>
                <c:pt idx="8">
                  <c:v>296.52004581901485</c:v>
                </c:pt>
                <c:pt idx="9">
                  <c:v>296.52004581901485</c:v>
                </c:pt>
                <c:pt idx="10">
                  <c:v>296.52004581901485</c:v>
                </c:pt>
                <c:pt idx="11">
                  <c:v>296.52004581901485</c:v>
                </c:pt>
                <c:pt idx="12">
                  <c:v>296.52004581901485</c:v>
                </c:pt>
                <c:pt idx="13">
                  <c:v>296.52004581901485</c:v>
                </c:pt>
                <c:pt idx="14">
                  <c:v>296.52004581901485</c:v>
                </c:pt>
                <c:pt idx="15">
                  <c:v>296.52004581901485</c:v>
                </c:pt>
                <c:pt idx="16">
                  <c:v>296.52004581901485</c:v>
                </c:pt>
                <c:pt idx="17">
                  <c:v>296.52004581901485</c:v>
                </c:pt>
                <c:pt idx="18">
                  <c:v>296</c:v>
                </c:pt>
                <c:pt idx="19">
                  <c:v>294</c:v>
                </c:pt>
              </c:numCache>
            </c:numRef>
          </c:val>
          <c:extLst>
            <c:ext xmlns:c16="http://schemas.microsoft.com/office/drawing/2014/chart" uri="{C3380CC4-5D6E-409C-BE32-E72D297353CC}">
              <c16:uniqueId val="{00000000-85E1-4782-8C46-48D25F16EDB4}"/>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0.52004581901485381</c:v>
                </c:pt>
                <c:pt idx="19">
                  <c:v>2.5200458190148538</c:v>
                </c:pt>
              </c:numCache>
            </c:numRef>
          </c:val>
          <c:extLst>
            <c:ext xmlns:c16="http://schemas.microsoft.com/office/drawing/2014/chart" uri="{C3380CC4-5D6E-409C-BE32-E72D297353CC}">
              <c16:uniqueId val="{00000001-85E1-4782-8C46-48D25F16EDB4}"/>
            </c:ext>
          </c:extLst>
        </c:ser>
        <c:ser>
          <c:idx val="2"/>
          <c:order val="2"/>
          <c:tx>
            <c:strRef>
              <c:f>'Graph Data (HIDE)'!$B$46</c:f>
              <c:strCache>
                <c:ptCount val="1"/>
                <c:pt idx="0">
                  <c:v>$/cwt Reward @ Est. Mkt. Price $320/cwt</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(HIDE)'!$C$46:$V$46</c:f>
              <c:numCache>
                <c:formatCode>"$"#,##0.00</c:formatCode>
                <c:ptCount val="20"/>
                <c:pt idx="0">
                  <c:v>23.479954180985146</c:v>
                </c:pt>
                <c:pt idx="1">
                  <c:v>23.479954180985146</c:v>
                </c:pt>
                <c:pt idx="2">
                  <c:v>23.479954180985146</c:v>
                </c:pt>
                <c:pt idx="3">
                  <c:v>23.479954180985146</c:v>
                </c:pt>
                <c:pt idx="4">
                  <c:v>23.479954180985146</c:v>
                </c:pt>
                <c:pt idx="5">
                  <c:v>23.479954180985146</c:v>
                </c:pt>
                <c:pt idx="6">
                  <c:v>23.479954180985146</c:v>
                </c:pt>
                <c:pt idx="7">
                  <c:v>23.479954180985146</c:v>
                </c:pt>
                <c:pt idx="8">
                  <c:v>23.479954180985146</c:v>
                </c:pt>
                <c:pt idx="9">
                  <c:v>23.479954180985146</c:v>
                </c:pt>
                <c:pt idx="10">
                  <c:v>23.479954180985146</c:v>
                </c:pt>
                <c:pt idx="11">
                  <c:v>23.479954180985146</c:v>
                </c:pt>
                <c:pt idx="12">
                  <c:v>23.479954180985146</c:v>
                </c:pt>
                <c:pt idx="13">
                  <c:v>23.479954180985146</c:v>
                </c:pt>
                <c:pt idx="14">
                  <c:v>23.479954180985146</c:v>
                </c:pt>
                <c:pt idx="15">
                  <c:v>23.479954180985146</c:v>
                </c:pt>
                <c:pt idx="16">
                  <c:v>23.479954180985146</c:v>
                </c:pt>
                <c:pt idx="17">
                  <c:v>23.479954180985146</c:v>
                </c:pt>
                <c:pt idx="18">
                  <c:v>23.479954180985146</c:v>
                </c:pt>
                <c:pt idx="19">
                  <c:v>23.479954180985146</c:v>
                </c:pt>
              </c:numCache>
            </c:numRef>
          </c:val>
          <c:extLst>
            <c:ext xmlns:c16="http://schemas.microsoft.com/office/drawing/2014/chart" uri="{C3380CC4-5D6E-409C-BE32-E72D297353CC}">
              <c16:uniqueId val="{00000002-85E1-4782-8C46-48D25F16EDB4}"/>
            </c:ext>
          </c:extLst>
        </c:ser>
        <c:dLbls>
          <c:showLegendKey val="0"/>
          <c:showVal val="0"/>
          <c:showCatName val="0"/>
          <c:showSerName val="0"/>
          <c:showPercent val="0"/>
          <c:showBubbleSize val="0"/>
        </c:dLbls>
        <c:gapWidth val="75"/>
        <c:overlap val="100"/>
        <c:axId val="215259080"/>
        <c:axId val="1"/>
      </c:barChart>
      <c:catAx>
        <c:axId val="2152590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259080"/>
        <c:crosses val="autoZero"/>
        <c:crossBetween val="between"/>
      </c:valAx>
      <c:spPr>
        <a:solidFill>
          <a:schemeClr val="bg1">
            <a:lumMod val="85000"/>
          </a:schemeClr>
        </a:solidFill>
      </c:spPr>
    </c:plotArea>
    <c:legend>
      <c:legendPos val="b"/>
      <c:layout>
        <c:manualLayout>
          <c:xMode val="edge"/>
          <c:yMode val="edge"/>
          <c:x val="4.2531174188731577E-2"/>
          <c:y val="0.8868864882583205"/>
          <c:w val="0.95124601783089913"/>
          <c:h val="8.3606674493852756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A462-4FE1-9F3D-A59DBDE03044}"/>
            </c:ext>
          </c:extLst>
        </c:ser>
        <c:ser>
          <c:idx val="3"/>
          <c:order val="1"/>
          <c:tx>
            <c:strRef>
              <c:f>'Graph Data (HIDE)'!$B$12</c:f>
              <c:strCache>
                <c:ptCount val="1"/>
                <c:pt idx="0">
                  <c:v>Total Costs per Head (incl. LPIP Premium) Not Covered By the LPIP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A462-4FE1-9F3D-A59DBDE03044}"/>
            </c:ext>
          </c:extLst>
        </c:ser>
        <c:ser>
          <c:idx val="2"/>
          <c:order val="2"/>
          <c:tx>
            <c:strRef>
              <c:f>'Graph Data (HIDE)'!$B$11</c:f>
              <c:strCache>
                <c:ptCount val="1"/>
                <c:pt idx="0">
                  <c:v>LPIP Payment ($/head at Est. Settlement Price = $280/cwt)</c:v>
                </c:pt>
              </c:strCache>
            </c:strRef>
          </c:tx>
          <c:spPr>
            <a:ln w="28575" cap="rnd">
              <a:solidFill>
                <a:schemeClr val="accent3"/>
              </a:solidFill>
              <a:round/>
            </a:ln>
            <a:effectLst/>
          </c:spPr>
          <c:marker>
            <c:symbol val="none"/>
          </c:marker>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2-A462-4FE1-9F3D-A59DBDE03044}"/>
            </c:ext>
          </c:extLst>
        </c:ser>
        <c:ser>
          <c:idx val="0"/>
          <c:order val="3"/>
          <c:tx>
            <c:strRef>
              <c:f>'Graph Data (HIDE)'!$B$13</c:f>
              <c:strCache>
                <c:ptCount val="1"/>
                <c:pt idx="0">
                  <c:v>Net Profit (based on Est. Settlement Price @ $280/cwt + LPIP Payment per head)</c:v>
                </c:pt>
              </c:strCache>
            </c:strRef>
          </c:tx>
          <c:spPr>
            <a:ln w="28575" cap="rnd">
              <a:solidFill>
                <a:schemeClr val="accent1"/>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3-A462-4FE1-9F3D-A59DBDE03044}"/>
            </c:ext>
          </c:extLst>
        </c:ser>
        <c:ser>
          <c:idx val="4"/>
          <c:order val="4"/>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4-A462-4FE1-9F3D-A59DBDE03044}"/>
            </c:ext>
          </c:extLst>
        </c:ser>
        <c:ser>
          <c:idx val="5"/>
          <c:order val="5"/>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A462-4FE1-9F3D-A59DBDE03044}"/>
            </c:ext>
          </c:extLst>
        </c:ser>
        <c:dLbls>
          <c:showLegendKey val="0"/>
          <c:showVal val="0"/>
          <c:showCatName val="0"/>
          <c:showSerName val="0"/>
          <c:showPercent val="0"/>
          <c:showBubbleSize val="0"/>
        </c:dLbls>
        <c:smooth val="0"/>
        <c:axId val="215265312"/>
        <c:axId val="1"/>
      </c:lineChart>
      <c:catAx>
        <c:axId val="215265312"/>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5312"/>
        <c:crosses val="autoZero"/>
        <c:crossBetween val="between"/>
      </c:valAx>
      <c:spPr>
        <a:solidFill>
          <a:schemeClr val="bg1">
            <a:lumMod val="95000"/>
          </a:schemeClr>
        </a:solidFill>
        <a:ln>
          <a:noFill/>
        </a:ln>
        <a:effectLst/>
      </c:spPr>
    </c:plotArea>
    <c:legend>
      <c:legendPos val="r"/>
      <c:layout>
        <c:manualLayout>
          <c:xMode val="edge"/>
          <c:yMode val="edge"/>
          <c:x val="5.3069746007244449E-2"/>
          <c:y val="0.76198216795305473"/>
          <c:w val="0.90218568212315564"/>
          <c:h val="0.206070649194851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0186-462C-89A0-735E12F9E3FB}"/>
            </c:ext>
          </c:extLst>
        </c:ser>
        <c:ser>
          <c:idx val="2"/>
          <c:order val="1"/>
          <c:tx>
            <c:strRef>
              <c:f>'Graph Data (HIDE)'!$B$11</c:f>
              <c:strCache>
                <c:ptCount val="1"/>
                <c:pt idx="0">
                  <c:v>LPIP Payment ($/head at Est. Settlement Price = $280/cwt)</c:v>
                </c:pt>
              </c:strCache>
            </c:strRef>
          </c:tx>
          <c:spPr>
            <a:ln w="28575" cap="rnd">
              <a:solidFill>
                <a:schemeClr val="accent3"/>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1-0186-462C-89A0-735E12F9E3FB}"/>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0186-462C-89A0-735E12F9E3FB}"/>
            </c:ext>
          </c:extLst>
        </c:ser>
        <c:ser>
          <c:idx val="5"/>
          <c:order val="3"/>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0186-462C-89A0-735E12F9E3FB}"/>
            </c:ext>
          </c:extLst>
        </c:ser>
        <c:dLbls>
          <c:showLegendKey val="0"/>
          <c:showVal val="0"/>
          <c:showCatName val="0"/>
          <c:showSerName val="0"/>
          <c:showPercent val="0"/>
          <c:showBubbleSize val="0"/>
        </c:dLbls>
        <c:smooth val="0"/>
        <c:axId val="215264656"/>
        <c:axId val="1"/>
      </c:lineChart>
      <c:catAx>
        <c:axId val="21526465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4656"/>
        <c:crosses val="autoZero"/>
        <c:crossBetween val="between"/>
      </c:valAx>
      <c:spPr>
        <a:solidFill>
          <a:schemeClr val="bg1">
            <a:lumMod val="95000"/>
          </a:schemeClr>
        </a:solidFill>
        <a:ln>
          <a:noFill/>
        </a:ln>
        <a:effectLst/>
      </c:spPr>
    </c:plotArea>
    <c:legend>
      <c:legendPos val="r"/>
      <c:layout>
        <c:manualLayout>
          <c:xMode val="edge"/>
          <c:yMode val="edge"/>
          <c:x val="5.2742670365521133E-2"/>
          <c:y val="0.7686920272639064"/>
          <c:w val="0.89978995643579052"/>
          <c:h val="0.205607593918613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https://www.gov.mb.ca/agriculture/farm-management/production-economics/pubs/cop-beef-backgrounding.xlsm" TargetMode="External"/><Relationship Id="rId2" Type="http://schemas.openxmlformats.org/officeDocument/2006/relationships/hyperlink" Target="#'User Guide'!A5"/><Relationship Id="rId1" Type="http://schemas.openxmlformats.org/officeDocument/2006/relationships/hyperlink" Target="#' WLPIP Calculator'!A1"/></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296467"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300991</xdr:colOff>
      <xdr:row>14</xdr:row>
      <xdr:rowOff>92872</xdr:rowOff>
    </xdr:from>
    <xdr:to>
      <xdr:col>10</xdr:col>
      <xdr:colOff>648182</xdr:colOff>
      <xdr:row>15</xdr:row>
      <xdr:rowOff>142876</xdr:rowOff>
    </xdr:to>
    <xdr:sp macro="" textlink="">
      <xdr:nvSpPr>
        <xdr:cNvPr id="8" name="TextBox 7">
          <a:hlinkClick xmlns:r="http://schemas.openxmlformats.org/officeDocument/2006/relationships" r:id="rId2" tooltip="Click here to go to the cow calf cost workshee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723900</xdr:colOff>
      <xdr:row>84</xdr:row>
      <xdr:rowOff>213360</xdr:rowOff>
    </xdr:to>
    <xdr:graphicFrame macro="">
      <xdr:nvGraphicFramePr>
        <xdr:cNvPr id="129647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502920</xdr:colOff>
      <xdr:row>64</xdr:row>
      <xdr:rowOff>7620</xdr:rowOff>
    </xdr:from>
    <xdr:to>
      <xdr:col>21</xdr:col>
      <xdr:colOff>601980</xdr:colOff>
      <xdr:row>85</xdr:row>
      <xdr:rowOff>7620</xdr:rowOff>
    </xdr:to>
    <xdr:graphicFrame macro="">
      <xdr:nvGraphicFramePr>
        <xdr:cNvPr id="12964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441960</xdr:colOff>
      <xdr:row>64</xdr:row>
      <xdr:rowOff>7620</xdr:rowOff>
    </xdr:from>
    <xdr:to>
      <xdr:col>13</xdr:col>
      <xdr:colOff>556260</xdr:colOff>
      <xdr:row>84</xdr:row>
      <xdr:rowOff>213360</xdr:rowOff>
    </xdr:to>
    <xdr:graphicFrame macro="">
      <xdr:nvGraphicFramePr>
        <xdr:cNvPr id="12964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381000</xdr:colOff>
      <xdr:row>107</xdr:row>
      <xdr:rowOff>7620</xdr:rowOff>
    </xdr:to>
    <xdr:graphicFrame macro="">
      <xdr:nvGraphicFramePr>
        <xdr:cNvPr id="1296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563880</xdr:colOff>
      <xdr:row>86</xdr:row>
      <xdr:rowOff>0</xdr:rowOff>
    </xdr:from>
    <xdr:to>
      <xdr:col>21</xdr:col>
      <xdr:colOff>594360</xdr:colOff>
      <xdr:row>107</xdr:row>
      <xdr:rowOff>7620</xdr:rowOff>
    </xdr:to>
    <xdr:graphicFrame macro="">
      <xdr:nvGraphicFramePr>
        <xdr:cNvPr id="12964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2</xdr:col>
      <xdr:colOff>66675</xdr:colOff>
      <xdr:row>7</xdr:row>
      <xdr:rowOff>70960</xdr:rowOff>
    </xdr:to>
    <xdr:sp macro="" textlink="">
      <xdr:nvSpPr>
        <xdr:cNvPr id="12" name="TextBox 11">
          <a:hlinkClick xmlns:r="http://schemas.openxmlformats.org/officeDocument/2006/relationships" r:id="rId8"/>
        </xdr:cNvPr>
        <xdr:cNvSpPr txBox="1"/>
      </xdr:nvSpPr>
      <xdr:spPr>
        <a:xfrm>
          <a:off x="59532" y="1373981"/>
          <a:ext cx="2645568" cy="287654"/>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xdr:from>
      <xdr:col>5</xdr:col>
      <xdr:colOff>306230</xdr:colOff>
      <xdr:row>14</xdr:row>
      <xdr:rowOff>78108</xdr:rowOff>
    </xdr:from>
    <xdr:to>
      <xdr:col>11</xdr:col>
      <xdr:colOff>311530</xdr:colOff>
      <xdr:row>15</xdr:row>
      <xdr:rowOff>177591</xdr:rowOff>
    </xdr:to>
    <xdr:sp macro="" textlink="">
      <xdr:nvSpPr>
        <xdr:cNvPr id="15" name="TextBox 14">
          <a:hlinkClick xmlns:r="http://schemas.openxmlformats.org/officeDocument/2006/relationships" r:id="rId2" tooltip="Click here to go to the backgrounding production cost worksheet."/>
        </xdr:cNvPr>
        <xdr:cNvSpPr txBox="1"/>
      </xdr:nvSpPr>
      <xdr:spPr>
        <a:xfrm>
          <a:off x="5207795" y="3009903"/>
          <a:ext cx="4529666" cy="32808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Click here to enter</a:t>
          </a:r>
          <a:r>
            <a:rPr lang="en-CA" sz="1200" b="1" i="0" u="sng" baseline="0">
              <a:solidFill>
                <a:srgbClr val="0000FF"/>
              </a:solidFill>
              <a:effectLst/>
              <a:latin typeface="Arial" panose="020B0604020202020204" pitchFamily="34" charset="0"/>
              <a:ea typeface="+mn-ea"/>
              <a:cs typeface="Arial" panose="020B0604020202020204" pitchFamily="34" charset="0"/>
            </a:rPr>
            <a:t> your backgrounding</a:t>
          </a:r>
          <a:r>
            <a:rPr lang="en-CA" sz="1200" b="1" i="0" u="sng">
              <a:solidFill>
                <a:srgbClr val="0000FF"/>
              </a:solidFill>
              <a:effectLst/>
              <a:latin typeface="Arial" panose="020B0604020202020204" pitchFamily="34" charset="0"/>
              <a:ea typeface="+mn-ea"/>
              <a:cs typeface="Arial" panose="020B0604020202020204" pitchFamily="34" charset="0"/>
            </a:rPr>
            <a:t> production costs</a:t>
          </a:r>
          <a:endParaRPr lang="en-US" sz="1200">
            <a:solidFill>
              <a:srgbClr val="0000FF"/>
            </a:solidFill>
            <a:effectLst/>
            <a:latin typeface="Arial" panose="020B0604020202020204" pitchFamily="34" charset="0"/>
            <a:cs typeface="Arial" panose="020B0604020202020204" pitchFamily="34" charset="0"/>
          </a:endParaRPr>
        </a:p>
        <a:p>
          <a:endParaRPr lang="en-CA" sz="1200" b="1">
            <a:solidFill>
              <a:srgbClr val="0000FF"/>
            </a:solidFill>
            <a:latin typeface="Arial" pitchFamily="34" charset="0"/>
            <a:cs typeface="Arial" pitchFamily="34" charset="0"/>
          </a:endParaRPr>
        </a:p>
      </xdr:txBody>
    </xdr:sp>
    <xdr:clientData/>
  </xdr:twoCellAnchor>
  <xdr:twoCellAnchor editAs="oneCell">
    <xdr:from>
      <xdr:col>1</xdr:col>
      <xdr:colOff>3175</xdr:colOff>
      <xdr:row>110</xdr:row>
      <xdr:rowOff>46567</xdr:rowOff>
    </xdr:from>
    <xdr:to>
      <xdr:col>3</xdr:col>
      <xdr:colOff>370467</xdr:colOff>
      <xdr:row>113</xdr:row>
      <xdr:rowOff>191823</xdr:rowOff>
    </xdr:to>
    <xdr:pic>
      <xdr:nvPicPr>
        <xdr:cNvPr id="13" name="Picture 12">
          <a:hlinkClick xmlns:r="http://schemas.openxmlformats.org/officeDocument/2006/relationships" r:id="rId9" tooltip="Click here for a list of Farm Management contacts."/>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1342" y="22641984"/>
          <a:ext cx="3732792" cy="8437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303608"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20956</xdr:colOff>
      <xdr:row>61</xdr:row>
      <xdr:rowOff>90380</xdr:rowOff>
    </xdr:from>
    <xdr:to>
      <xdr:col>10</xdr:col>
      <xdr:colOff>396230</xdr:colOff>
      <xdr:row>62</xdr:row>
      <xdr:rowOff>153916</xdr:rowOff>
    </xdr:to>
    <xdr:sp macro="" textlink="">
      <xdr:nvSpPr>
        <xdr:cNvPr id="3" name="TextBox 2">
          <a:hlinkClick xmlns:r="http://schemas.openxmlformats.org/officeDocument/2006/relationships" r:id="rId2" tooltip="Click here for list of Manitoba Agriculture office locations"/>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286916</xdr:colOff>
      <xdr:row>62</xdr:row>
      <xdr:rowOff>63556</xdr:rowOff>
    </xdr:from>
    <xdr:to>
      <xdr:col>5</xdr:col>
      <xdr:colOff>377214</xdr:colOff>
      <xdr:row>63</xdr:row>
      <xdr:rowOff>92566</xdr:rowOff>
    </xdr:to>
    <xdr:sp macro="" textlink="">
      <xdr:nvSpPr>
        <xdr:cNvPr id="4" name="TextBox 3">
          <a:hlinkClick xmlns:r="http://schemas.openxmlformats.org/officeDocument/2006/relationships" r:id="rId3" tooltip="Mail to:  mbfarmbusiness@gov.mb.ca - click once to follow."/>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78317</xdr:rowOff>
    </xdr:from>
    <xdr:to>
      <xdr:col>9</xdr:col>
      <xdr:colOff>190051</xdr:colOff>
      <xdr:row>63</xdr:row>
      <xdr:rowOff>103845</xdr:rowOff>
    </xdr:to>
    <xdr:sp macro="" textlink="">
      <xdr:nvSpPr>
        <xdr:cNvPr id="5" name="TextBox 4">
          <a:hlinkClick xmlns:r="http://schemas.openxmlformats.org/officeDocument/2006/relationships" r:id="rId4" tooltip="Click here for list of Manitoba Agriculture Farm Managment Specialists"/>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1980353</xdr:colOff>
      <xdr:row>65</xdr:row>
      <xdr:rowOff>3335</xdr:rowOff>
    </xdr:from>
    <xdr:to>
      <xdr:col>6</xdr:col>
      <xdr:colOff>386369</xdr:colOff>
      <xdr:row>66</xdr:row>
      <xdr:rowOff>199168</xdr:rowOff>
    </xdr:to>
    <xdr:sp macro="" textlink="">
      <xdr:nvSpPr>
        <xdr:cNvPr id="6" name="TextBox 5">
          <a:hlinkClick xmlns:r="http://schemas.openxmlformats.org/officeDocument/2006/relationships" r:id="rId4" tooltip="Click here for list of Manitoba Agriculture Farm Management Contacts"/>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282681</xdr:colOff>
      <xdr:row>65</xdr:row>
      <xdr:rowOff>211931</xdr:rowOff>
    </xdr:from>
    <xdr:to>
      <xdr:col>6</xdr:col>
      <xdr:colOff>341609</xdr:colOff>
      <xdr:row>67</xdr:row>
      <xdr:rowOff>1884</xdr:rowOff>
    </xdr:to>
    <xdr:sp macro="" textlink="">
      <xdr:nvSpPr>
        <xdr:cNvPr id="7" name="TextBox 6">
          <a:hlinkClick xmlns:r="http://schemas.openxmlformats.org/officeDocument/2006/relationships" r:id="rId2" tooltip="Click here for list of Manitoba Agriculture office locations"/>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64771</xdr:rowOff>
    </xdr:from>
    <xdr:to>
      <xdr:col>4</xdr:col>
      <xdr:colOff>38100</xdr:colOff>
      <xdr:row>8</xdr:row>
      <xdr:rowOff>152490</xdr:rowOff>
    </xdr:to>
    <xdr:sp macro="" textlink="">
      <xdr:nvSpPr>
        <xdr:cNvPr id="8" name="TextBox 7">
          <a:hlinkClick xmlns:r="http://schemas.openxmlformats.org/officeDocument/2006/relationships" r:id="rId5" tooltip="Click here to go to the cow calf cost workshee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0.71864</cdr:x>
      <cdr:y>0.95032</cdr:y>
    </cdr:from>
    <cdr:to>
      <cdr:x>0.99379</cdr:x>
      <cdr:y>1</cdr:y>
    </cdr:to>
    <cdr:sp macro="" textlink="">
      <cdr:nvSpPr>
        <cdr:cNvPr id="3" name="TextBox 1"/>
        <cdr:cNvSpPr txBox="1"/>
      </cdr:nvSpPr>
      <cdr:spPr>
        <a:xfrm xmlns:a="http://schemas.openxmlformats.org/drawingml/2006/main">
          <a:off x="4038600" y="4547623"/>
          <a:ext cx="1546251" cy="2377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0.7192</cdr:x>
      <cdr:y>0.95079</cdr:y>
    </cdr:from>
    <cdr:to>
      <cdr:x>0.99574</cdr:x>
      <cdr:y>1</cdr:y>
    </cdr:to>
    <cdr:sp macro="" textlink="">
      <cdr:nvSpPr>
        <cdr:cNvPr id="2" name="TextBox 1"/>
        <cdr:cNvSpPr txBox="1"/>
      </cdr:nvSpPr>
      <cdr:spPr>
        <a:xfrm xmlns:a="http://schemas.openxmlformats.org/drawingml/2006/main">
          <a:off x="3859530" y="4564362"/>
          <a:ext cx="1483994" cy="236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0.70018</cdr:x>
      <cdr:y>0.94158</cdr:y>
    </cdr:from>
    <cdr:to>
      <cdr:x>0.99588</cdr:x>
      <cdr:y>0.99689</cdr:y>
    </cdr:to>
    <cdr:sp macro="" textlink="">
      <cdr:nvSpPr>
        <cdr:cNvPr id="3" name="TextBox 1"/>
        <cdr:cNvSpPr txBox="1"/>
      </cdr:nvSpPr>
      <cdr:spPr>
        <a:xfrm xmlns:a="http://schemas.openxmlformats.org/drawingml/2006/main">
          <a:off x="3768089" y="4498624"/>
          <a:ext cx="1591363" cy="264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0.78003</cdr:x>
      <cdr:y>0.94493</cdr:y>
    </cdr:from>
    <cdr:to>
      <cdr:x>0.97472</cdr:x>
      <cdr:y>0.99445</cdr:y>
    </cdr:to>
    <cdr:sp macro="" textlink="">
      <cdr:nvSpPr>
        <cdr:cNvPr id="2" name="TextBox 1"/>
        <cdr:cNvSpPr txBox="1"/>
      </cdr:nvSpPr>
      <cdr:spPr>
        <a:xfrm xmlns:a="http://schemas.openxmlformats.org/drawingml/2006/main" rot="10800000" flipH="1" flipV="1">
          <a:off x="5876925" y="4543431"/>
          <a:ext cx="1466884" cy="238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6.xml><?xml version="1.0" encoding="utf-8"?>
<c:userShapes xmlns:c="http://schemas.openxmlformats.org/drawingml/2006/chart">
  <cdr:relSizeAnchor xmlns:cdr="http://schemas.openxmlformats.org/drawingml/2006/chartDrawing">
    <cdr:from>
      <cdr:x>0.79274</cdr:x>
      <cdr:y>0.95087</cdr:y>
    </cdr:from>
    <cdr:to>
      <cdr:x>0.99416</cdr:x>
      <cdr:y>1</cdr:y>
    </cdr:to>
    <cdr:sp macro="" textlink="">
      <cdr:nvSpPr>
        <cdr:cNvPr id="3" name="TextBox 1"/>
        <cdr:cNvSpPr txBox="1"/>
      </cdr:nvSpPr>
      <cdr:spPr>
        <a:xfrm xmlns:a="http://schemas.openxmlformats.org/drawingml/2006/main">
          <a:off x="5989320" y="4571992"/>
          <a:ext cx="1521787" cy="236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78105</xdr:colOff>
      <xdr:row>0</xdr:row>
      <xdr:rowOff>49530</xdr:rowOff>
    </xdr:from>
    <xdr:to>
      <xdr:col>3</xdr:col>
      <xdr:colOff>413396</xdr:colOff>
      <xdr:row>1</xdr:row>
      <xdr:rowOff>201930</xdr:rowOff>
    </xdr:to>
    <xdr:sp macro="" textlink="">
      <xdr:nvSpPr>
        <xdr:cNvPr id="2" name="TextBox 1">
          <a:hlinkClick xmlns:r="http://schemas.openxmlformats.org/officeDocument/2006/relationships" r:id="rId1" tooltip="Click here to go back to the LPI worksheet."/>
        </xdr:cNvPr>
        <xdr:cNvSpPr txBox="1"/>
      </xdr:nvSpPr>
      <xdr:spPr>
        <a:xfrm>
          <a:off x="78105" y="49530"/>
          <a:ext cx="1725941"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15240</xdr:colOff>
      <xdr:row>12</xdr:row>
      <xdr:rowOff>7620</xdr:rowOff>
    </xdr:from>
    <xdr:to>
      <xdr:col>9</xdr:col>
      <xdr:colOff>22860</xdr:colOff>
      <xdr:row>32</xdr:row>
      <xdr:rowOff>182879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 y="2461260"/>
          <a:ext cx="6286500" cy="4137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97155</xdr:colOff>
      <xdr:row>0</xdr:row>
      <xdr:rowOff>0</xdr:rowOff>
    </xdr:from>
    <xdr:to>
      <xdr:col>1</xdr:col>
      <xdr:colOff>1569686</xdr:colOff>
      <xdr:row>1</xdr:row>
      <xdr:rowOff>116297</xdr:rowOff>
    </xdr:to>
    <xdr:sp macro="" textlink="">
      <xdr:nvSpPr>
        <xdr:cNvPr id="3" name="TextBox 2">
          <a:hlinkClick xmlns:r="http://schemas.openxmlformats.org/officeDocument/2006/relationships" r:id="rId1" tooltip="Click here to go back to the WLPIP worksheet."/>
        </xdr:cNvPr>
        <xdr:cNvSpPr txBox="1"/>
      </xdr:nvSpPr>
      <xdr:spPr>
        <a:xfrm>
          <a:off x="104775" y="0"/>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2</xdr:col>
      <xdr:colOff>0</xdr:colOff>
      <xdr:row>0</xdr:row>
      <xdr:rowOff>0</xdr:rowOff>
    </xdr:from>
    <xdr:to>
      <xdr:col>3</xdr:col>
      <xdr:colOff>592149</xdr:colOff>
      <xdr:row>1</xdr:row>
      <xdr:rowOff>66675</xdr:rowOff>
    </xdr:to>
    <xdr:sp macro="" textlink="">
      <xdr:nvSpPr>
        <xdr:cNvPr id="4" name="TextBox 3">
          <a:hlinkClick xmlns:r="http://schemas.openxmlformats.org/officeDocument/2006/relationships" r:id="rId2"/>
        </xdr:cNvPr>
        <xdr:cNvSpPr txBox="1"/>
      </xdr:nvSpPr>
      <xdr:spPr>
        <a:xfrm>
          <a:off x="2990850" y="0"/>
          <a:ext cx="1481648"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twoCellAnchor>
    <xdr:from>
      <xdr:col>2</xdr:col>
      <xdr:colOff>0</xdr:colOff>
      <xdr:row>4</xdr:row>
      <xdr:rowOff>1</xdr:rowOff>
    </xdr:from>
    <xdr:to>
      <xdr:col>8</xdr:col>
      <xdr:colOff>571500</xdr:colOff>
      <xdr:row>5</xdr:row>
      <xdr:rowOff>85726</xdr:rowOff>
    </xdr:to>
    <xdr:sp macro="" textlink="">
      <xdr:nvSpPr>
        <xdr:cNvPr id="5" name="TextBox 4">
          <a:hlinkClick xmlns:r="http://schemas.openxmlformats.org/officeDocument/2006/relationships" r:id="rId3" tooltip="Click here for Guidelines for Estimating Beef Backgrounding Production Costs"/>
        </xdr:cNvPr>
        <xdr:cNvSpPr txBox="1"/>
      </xdr:nvSpPr>
      <xdr:spPr>
        <a:xfrm>
          <a:off x="2990850" y="800101"/>
          <a:ext cx="5219700" cy="2857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Backgrounding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83820</xdr:rowOff>
    </xdr:from>
    <xdr:to>
      <xdr:col>4</xdr:col>
      <xdr:colOff>45720</xdr:colOff>
      <xdr:row>40</xdr:row>
      <xdr:rowOff>91440</xdr:rowOff>
    </xdr:to>
    <xdr:graphicFrame macro="">
      <xdr:nvGraphicFramePr>
        <xdr:cNvPr id="36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160020</xdr:rowOff>
    </xdr:from>
    <xdr:to>
      <xdr:col>32</xdr:col>
      <xdr:colOff>640080</xdr:colOff>
      <xdr:row>41</xdr:row>
      <xdr:rowOff>0</xdr:rowOff>
    </xdr:to>
    <xdr:graphicFrame macro="">
      <xdr:nvGraphicFramePr>
        <xdr:cNvPr id="36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feed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F111"/>
  <sheetViews>
    <sheetView showGridLines="0" tabSelected="1" zoomScale="90" zoomScaleNormal="90" zoomScaleSheetLayoutView="30" workbookViewId="0">
      <selection activeCell="T57" sqref="T57"/>
    </sheetView>
  </sheetViews>
  <sheetFormatPr defaultColWidth="8" defaultRowHeight="17.399999999999999" x14ac:dyDescent="0.3"/>
  <cols>
    <col min="1" max="1" width="1.6328125" style="3" customWidth="1"/>
    <col min="2" max="2" width="29.08984375" style="3" customWidth="1"/>
    <col min="3" max="3" width="10.08984375" style="3" customWidth="1"/>
    <col min="4" max="4" width="10.7265625" style="3" customWidth="1"/>
    <col min="5" max="5" width="9.6328125" style="3" customWidth="1"/>
    <col min="6" max="6" width="9.7265625" style="3" customWidth="1"/>
    <col min="7" max="7" width="10.1796875" style="3" customWidth="1"/>
    <col min="8" max="8" width="11.08984375" style="3" customWidth="1"/>
    <col min="9" max="9" width="9.6328125" style="3" customWidth="1"/>
    <col min="10" max="10" width="9.90625" style="3" customWidth="1"/>
    <col min="11" max="11" width="9.6328125" style="3" customWidth="1"/>
    <col min="12" max="12" width="9.7265625" style="3" customWidth="1"/>
    <col min="13" max="13" width="9.6328125" style="3" customWidth="1"/>
    <col min="14" max="15" width="10" style="3" customWidth="1"/>
    <col min="16" max="16" width="10.36328125" style="3" customWidth="1"/>
    <col min="17" max="17" width="9.81640625" style="3" customWidth="1"/>
    <col min="18" max="22" width="8.7265625" style="3" customWidth="1"/>
    <col min="23" max="16384" width="8" style="2"/>
  </cols>
  <sheetData>
    <row r="1" spans="1:84" s="19" customFormat="1" ht="27" customHeight="1" x14ac:dyDescent="0.25">
      <c r="A1" s="17"/>
      <c r="B1" s="17"/>
      <c r="C1" s="18"/>
      <c r="D1" s="18"/>
      <c r="E1" s="18"/>
      <c r="F1" s="18"/>
    </row>
    <row r="2" spans="1:84" s="19" customFormat="1" ht="27.6" x14ac:dyDescent="0.45">
      <c r="A2" s="20" t="s">
        <v>45</v>
      </c>
      <c r="B2" s="17"/>
      <c r="C2" s="18"/>
      <c r="D2" s="18"/>
      <c r="E2" s="18"/>
      <c r="F2" s="18"/>
    </row>
    <row r="3" spans="1:84" s="19" customFormat="1" ht="21" x14ac:dyDescent="0.4">
      <c r="A3" s="30" t="s">
        <v>148</v>
      </c>
      <c r="B3" s="17"/>
      <c r="C3" s="18"/>
      <c r="D3" s="18"/>
      <c r="M3" s="143" t="s">
        <v>92</v>
      </c>
      <c r="N3" s="92"/>
      <c r="O3" s="92"/>
      <c r="P3" s="92"/>
      <c r="Q3" s="92"/>
      <c r="T3" s="92"/>
      <c r="U3" s="21" t="s">
        <v>5</v>
      </c>
      <c r="V3" s="22">
        <f ca="1">TODAY()</f>
        <v>45209</v>
      </c>
    </row>
    <row r="4" spans="1:84" ht="7.5" customHeight="1" x14ac:dyDescent="0.3">
      <c r="A4" s="8"/>
      <c r="B4" s="13"/>
      <c r="C4" s="10"/>
      <c r="D4" s="14"/>
      <c r="E4" s="2"/>
      <c r="F4" s="2"/>
      <c r="BB4" s="2" t="s">
        <v>61</v>
      </c>
      <c r="BC4" s="2" t="s">
        <v>62</v>
      </c>
      <c r="BD4" s="2" t="s">
        <v>63</v>
      </c>
      <c r="BE4" s="56" t="s">
        <v>64</v>
      </c>
      <c r="BF4" s="2" t="s">
        <v>65</v>
      </c>
      <c r="BG4" s="2" t="s">
        <v>66</v>
      </c>
      <c r="BH4" s="2" t="s">
        <v>67</v>
      </c>
      <c r="BI4" s="2" t="s">
        <v>68</v>
      </c>
      <c r="BJ4" s="2" t="s">
        <v>69</v>
      </c>
      <c r="BK4" s="56" t="s">
        <v>70</v>
      </c>
      <c r="BL4" s="2" t="s">
        <v>71</v>
      </c>
      <c r="BM4" s="2" t="s">
        <v>72</v>
      </c>
    </row>
    <row r="5" spans="1:84" x14ac:dyDescent="0.3">
      <c r="A5" s="182" t="s">
        <v>149</v>
      </c>
      <c r="B5" s="182"/>
      <c r="C5" s="182"/>
      <c r="D5" s="182"/>
      <c r="E5" s="182"/>
      <c r="F5" s="182"/>
      <c r="G5" s="182"/>
      <c r="H5" s="182"/>
      <c r="I5" s="182"/>
      <c r="J5" s="182"/>
      <c r="K5" s="182"/>
      <c r="L5" s="182"/>
      <c r="M5" s="182"/>
      <c r="N5" s="182"/>
      <c r="O5" s="182"/>
      <c r="P5" s="182"/>
      <c r="Q5" s="182"/>
      <c r="R5" s="182"/>
      <c r="S5" s="182"/>
      <c r="T5" s="182"/>
      <c r="U5" s="182"/>
      <c r="V5" s="182"/>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s="56" customFormat="1" ht="7.5" customHeight="1" thickBot="1" x14ac:dyDescent="0.35">
      <c r="A6" s="55"/>
      <c r="B6" s="55"/>
      <c r="C6" s="55"/>
      <c r="D6" s="55"/>
      <c r="E6" s="55"/>
      <c r="F6" s="55"/>
      <c r="G6" s="55"/>
      <c r="H6" s="55"/>
      <c r="I6" s="55"/>
      <c r="J6" s="55"/>
      <c r="K6" s="55"/>
      <c r="L6" s="55"/>
      <c r="M6" s="55"/>
      <c r="N6" s="55"/>
      <c r="O6" s="55"/>
      <c r="P6" s="55"/>
      <c r="Q6" s="55"/>
      <c r="R6" s="55"/>
      <c r="S6" s="55"/>
      <c r="T6" s="55"/>
      <c r="U6" s="55"/>
      <c r="V6" s="55"/>
      <c r="W6" s="1"/>
      <c r="X6" s="1"/>
      <c r="Y6" s="1"/>
      <c r="Z6" s="1"/>
      <c r="AA6" s="1"/>
      <c r="BB6" s="2"/>
    </row>
    <row r="7" spans="1:84" s="56" customFormat="1" ht="18" customHeight="1" thickBot="1" x14ac:dyDescent="0.35">
      <c r="A7" s="55"/>
      <c r="B7" s="55"/>
      <c r="E7" s="14"/>
      <c r="F7" s="83" t="s">
        <v>73</v>
      </c>
      <c r="G7" s="87" t="s">
        <v>70</v>
      </c>
      <c r="H7" s="88">
        <v>3</v>
      </c>
      <c r="I7" s="55"/>
      <c r="J7" s="55"/>
      <c r="K7" s="55"/>
      <c r="L7" s="55"/>
      <c r="M7" s="55"/>
      <c r="N7" s="55"/>
      <c r="O7" s="55"/>
      <c r="P7" s="55"/>
      <c r="Q7" s="55"/>
      <c r="R7" s="55"/>
      <c r="S7" s="55"/>
      <c r="T7" s="55"/>
      <c r="U7" s="55"/>
      <c r="V7" s="55"/>
      <c r="W7" s="1"/>
      <c r="X7" s="1"/>
      <c r="Y7" s="1"/>
      <c r="Z7" s="1"/>
      <c r="AA7" s="1"/>
      <c r="BB7" s="2"/>
    </row>
    <row r="8" spans="1:84" x14ac:dyDescent="0.3">
      <c r="A8" s="4"/>
      <c r="C8" s="183" t="s">
        <v>46</v>
      </c>
      <c r="D8" s="183"/>
      <c r="E8" s="183"/>
      <c r="F8" s="183"/>
      <c r="G8" s="183"/>
      <c r="H8" s="183"/>
      <c r="I8" s="183"/>
      <c r="J8" s="183"/>
      <c r="K8" s="183"/>
      <c r="L8" s="183"/>
      <c r="M8" s="183"/>
      <c r="N8" s="183"/>
      <c r="O8" s="183"/>
      <c r="P8" s="183"/>
      <c r="Q8" s="183"/>
      <c r="R8" s="183"/>
      <c r="S8" s="183"/>
      <c r="T8" s="183"/>
      <c r="U8" s="183"/>
      <c r="V8" s="183"/>
      <c r="X8" s="56"/>
      <c r="Y8" s="56"/>
    </row>
    <row r="9" spans="1:84" x14ac:dyDescent="0.3">
      <c r="A9" s="6" t="s">
        <v>55</v>
      </c>
      <c r="B9" s="2"/>
      <c r="C9" s="49">
        <v>332</v>
      </c>
      <c r="D9" s="73">
        <f>SUM(C9-2)</f>
        <v>330</v>
      </c>
      <c r="E9" s="73">
        <f t="shared" ref="E9:V9" si="0">SUM(D9-2)</f>
        <v>328</v>
      </c>
      <c r="F9" s="73">
        <f t="shared" si="0"/>
        <v>326</v>
      </c>
      <c r="G9" s="73">
        <f t="shared" si="0"/>
        <v>324</v>
      </c>
      <c r="H9" s="73">
        <f t="shared" si="0"/>
        <v>322</v>
      </c>
      <c r="I9" s="73">
        <f t="shared" si="0"/>
        <v>320</v>
      </c>
      <c r="J9" s="73">
        <f t="shared" si="0"/>
        <v>318</v>
      </c>
      <c r="K9" s="73">
        <f t="shared" si="0"/>
        <v>316</v>
      </c>
      <c r="L9" s="73">
        <f t="shared" si="0"/>
        <v>314</v>
      </c>
      <c r="M9" s="73">
        <f t="shared" si="0"/>
        <v>312</v>
      </c>
      <c r="N9" s="73">
        <f t="shared" si="0"/>
        <v>310</v>
      </c>
      <c r="O9" s="73">
        <f t="shared" si="0"/>
        <v>308</v>
      </c>
      <c r="P9" s="73">
        <f t="shared" si="0"/>
        <v>306</v>
      </c>
      <c r="Q9" s="73">
        <f t="shared" si="0"/>
        <v>304</v>
      </c>
      <c r="R9" s="73">
        <f t="shared" si="0"/>
        <v>302</v>
      </c>
      <c r="S9" s="73">
        <f t="shared" si="0"/>
        <v>300</v>
      </c>
      <c r="T9" s="73">
        <f t="shared" si="0"/>
        <v>298</v>
      </c>
      <c r="U9" s="73">
        <f t="shared" si="0"/>
        <v>296</v>
      </c>
      <c r="V9" s="73">
        <f t="shared" si="0"/>
        <v>294</v>
      </c>
    </row>
    <row r="10" spans="1:84" x14ac:dyDescent="0.3">
      <c r="A10" s="6" t="s">
        <v>56</v>
      </c>
      <c r="B10" s="2"/>
      <c r="C10" s="12">
        <v>8.64</v>
      </c>
      <c r="D10" s="12">
        <v>8.34</v>
      </c>
      <c r="E10" s="12">
        <v>8.1300000000000008</v>
      </c>
      <c r="F10" s="12">
        <v>7.76</v>
      </c>
      <c r="G10" s="12">
        <v>7.5</v>
      </c>
      <c r="H10" s="12">
        <v>7.29</v>
      </c>
      <c r="I10" s="12">
        <v>7.03</v>
      </c>
      <c r="J10" s="12">
        <v>6.82</v>
      </c>
      <c r="K10" s="12">
        <v>6.56</v>
      </c>
      <c r="L10" s="12">
        <v>6.32</v>
      </c>
      <c r="M10" s="12">
        <v>6.12</v>
      </c>
      <c r="N10" s="12">
        <v>5.84</v>
      </c>
      <c r="O10" s="12">
        <v>5.63</v>
      </c>
      <c r="P10" s="12">
        <v>5.56</v>
      </c>
      <c r="Q10" s="12">
        <v>5.33</v>
      </c>
      <c r="R10" s="12"/>
      <c r="S10" s="12"/>
      <c r="T10" s="12"/>
      <c r="U10" s="12"/>
      <c r="V10" s="12"/>
    </row>
    <row r="11" spans="1:84" ht="7.5" customHeight="1" x14ac:dyDescent="0.3">
      <c r="A11" s="7"/>
      <c r="C11" s="12"/>
      <c r="D11" s="12"/>
      <c r="E11" s="12"/>
      <c r="F11" s="12"/>
      <c r="G11" s="12"/>
      <c r="H11" s="12"/>
      <c r="I11" s="12"/>
      <c r="J11" s="12"/>
      <c r="K11" s="12"/>
      <c r="L11" s="12"/>
      <c r="M11" s="12"/>
      <c r="N11" s="12"/>
      <c r="O11" s="12"/>
      <c r="P11" s="12"/>
      <c r="Q11" s="12"/>
      <c r="R11" s="12"/>
      <c r="S11" s="12"/>
      <c r="T11" s="12"/>
      <c r="U11" s="12"/>
      <c r="V11" s="12"/>
    </row>
    <row r="12" spans="1:84" x14ac:dyDescent="0.3">
      <c r="A12" s="182" t="s">
        <v>150</v>
      </c>
      <c r="B12" s="182"/>
      <c r="C12" s="182"/>
      <c r="D12" s="182"/>
      <c r="E12" s="182"/>
      <c r="F12" s="182"/>
      <c r="G12" s="182"/>
      <c r="H12" s="182"/>
      <c r="I12" s="182"/>
      <c r="J12" s="182"/>
      <c r="K12" s="182"/>
      <c r="L12" s="182"/>
      <c r="M12" s="182"/>
      <c r="N12" s="182"/>
      <c r="O12" s="182"/>
      <c r="P12" s="182"/>
      <c r="Q12" s="182"/>
      <c r="R12" s="182"/>
      <c r="S12" s="182"/>
      <c r="T12" s="182"/>
      <c r="U12" s="182"/>
      <c r="V12" s="182"/>
      <c r="W12" s="1"/>
      <c r="X12" s="1"/>
      <c r="Y12" s="1"/>
      <c r="Z12" s="1"/>
      <c r="AA12" s="1"/>
    </row>
    <row r="13" spans="1:84" s="56" customFormat="1" ht="7.5" customHeight="1" x14ac:dyDescent="0.3">
      <c r="A13" s="55"/>
      <c r="B13" s="55"/>
      <c r="C13" s="55"/>
      <c r="D13" s="55"/>
      <c r="E13" s="55"/>
      <c r="F13" s="55"/>
      <c r="G13" s="55"/>
      <c r="H13" s="55"/>
      <c r="I13" s="55"/>
      <c r="J13" s="55"/>
      <c r="K13" s="55"/>
      <c r="L13" s="55"/>
      <c r="M13" s="55"/>
      <c r="N13" s="55"/>
      <c r="O13" s="55"/>
      <c r="P13" s="55"/>
      <c r="Q13" s="55"/>
      <c r="R13" s="55"/>
      <c r="S13" s="55"/>
      <c r="T13" s="55"/>
      <c r="U13" s="55"/>
      <c r="V13" s="55"/>
      <c r="W13" s="1"/>
      <c r="X13" s="1"/>
      <c r="Y13" s="1"/>
      <c r="Z13" s="1"/>
      <c r="AA13" s="1"/>
      <c r="BB13" s="2"/>
    </row>
    <row r="14" spans="1:84" s="14" customFormat="1" ht="18" customHeight="1" x14ac:dyDescent="0.3">
      <c r="A14" s="8" t="s">
        <v>34</v>
      </c>
      <c r="B14" s="13"/>
      <c r="C14" s="15">
        <v>873</v>
      </c>
      <c r="D14" s="14" t="s">
        <v>4</v>
      </c>
      <c r="G14" s="13"/>
      <c r="H14" s="82" t="s">
        <v>58</v>
      </c>
      <c r="I14" s="80">
        <v>280</v>
      </c>
      <c r="J14" s="50" t="s">
        <v>59</v>
      </c>
    </row>
    <row r="15" spans="1:84" ht="18" customHeight="1" x14ac:dyDescent="0.3">
      <c r="A15" s="8" t="s">
        <v>35</v>
      </c>
      <c r="B15" s="13"/>
      <c r="C15" s="15">
        <v>500</v>
      </c>
      <c r="D15" s="50" t="s">
        <v>36</v>
      </c>
      <c r="E15" s="2"/>
    </row>
    <row r="16" spans="1:84" ht="18" customHeight="1" x14ac:dyDescent="0.3">
      <c r="A16" s="8" t="s">
        <v>37</v>
      </c>
      <c r="B16" s="13"/>
      <c r="C16" s="72">
        <f>SUM(C15*C14)</f>
        <v>436500</v>
      </c>
      <c r="D16" s="14" t="s">
        <v>4</v>
      </c>
      <c r="E16" s="2"/>
    </row>
    <row r="17" spans="1:54" s="56" customFormat="1" ht="7.5" customHeight="1" x14ac:dyDescent="0.3">
      <c r="A17" s="55"/>
      <c r="B17" s="55"/>
      <c r="C17" s="55"/>
      <c r="D17" s="55"/>
      <c r="E17" s="55"/>
      <c r="F17" s="55"/>
      <c r="G17" s="55"/>
      <c r="H17" s="55"/>
      <c r="I17" s="55"/>
      <c r="J17" s="55"/>
      <c r="K17" s="55"/>
      <c r="L17" s="55"/>
      <c r="M17" s="55"/>
      <c r="N17" s="55"/>
      <c r="O17" s="55"/>
      <c r="P17" s="55"/>
      <c r="Q17" s="55"/>
      <c r="R17" s="55"/>
      <c r="S17" s="55"/>
      <c r="T17" s="55"/>
      <c r="U17" s="55"/>
      <c r="V17" s="55"/>
      <c r="W17" s="1"/>
      <c r="X17" s="1"/>
      <c r="Y17" s="1"/>
      <c r="Z17" s="1"/>
      <c r="AA17" s="1"/>
      <c r="BB17" s="2"/>
    </row>
    <row r="18" spans="1:54" x14ac:dyDescent="0.3">
      <c r="A18" s="182" t="s">
        <v>151</v>
      </c>
      <c r="B18" s="182"/>
      <c r="C18" s="182"/>
      <c r="D18" s="182"/>
      <c r="E18" s="182"/>
      <c r="F18" s="182"/>
      <c r="G18" s="182"/>
      <c r="H18" s="182"/>
      <c r="I18" s="182"/>
      <c r="J18" s="182"/>
      <c r="K18" s="182"/>
      <c r="L18" s="182"/>
      <c r="M18" s="182"/>
      <c r="N18" s="182"/>
      <c r="O18" s="182"/>
      <c r="P18" s="182"/>
      <c r="Q18" s="182"/>
      <c r="R18" s="182"/>
      <c r="S18" s="182"/>
      <c r="T18" s="182"/>
      <c r="U18" s="182"/>
      <c r="V18" s="182"/>
      <c r="W18" s="1"/>
      <c r="X18" s="1"/>
      <c r="Y18" s="1"/>
      <c r="Z18" s="1"/>
      <c r="AA18" s="1"/>
    </row>
    <row r="19" spans="1:54" s="56" customFormat="1" ht="7.5" customHeight="1" x14ac:dyDescent="0.3">
      <c r="A19" s="55"/>
      <c r="B19" s="55"/>
      <c r="C19" s="55"/>
      <c r="D19" s="55"/>
      <c r="E19" s="55"/>
      <c r="F19" s="55"/>
      <c r="G19" s="55"/>
      <c r="H19" s="55"/>
      <c r="I19" s="55"/>
      <c r="J19" s="55"/>
      <c r="K19" s="55"/>
      <c r="L19" s="55"/>
      <c r="M19" s="55"/>
      <c r="N19" s="55"/>
      <c r="O19" s="55"/>
      <c r="P19" s="55"/>
      <c r="Q19" s="55"/>
      <c r="R19" s="55"/>
      <c r="S19" s="55"/>
      <c r="T19" s="55"/>
      <c r="U19" s="55"/>
      <c r="V19" s="55"/>
      <c r="W19" s="1"/>
      <c r="X19" s="1"/>
      <c r="Y19" s="1"/>
      <c r="Z19" s="1"/>
      <c r="AA19" s="1"/>
      <c r="BB19" s="2"/>
    </row>
    <row r="20" spans="1:54" x14ac:dyDescent="0.3">
      <c r="A20" s="6" t="str">
        <f>"Premium Cost ($/head @ "&amp;C14&amp;" lbs)"</f>
        <v>Premium Cost ($/head @ 873 lbs)</v>
      </c>
      <c r="B20" s="79"/>
      <c r="C20" s="51">
        <f t="shared" ref="C20:V20" si="1">IF(SUM(C10*($C$14/100))=0,"",SUM(C10*($C$14/100)))</f>
        <v>75.427200000000013</v>
      </c>
      <c r="D20" s="51">
        <f t="shared" si="1"/>
        <v>72.808199999999999</v>
      </c>
      <c r="E20" s="51">
        <f t="shared" si="1"/>
        <v>70.974900000000005</v>
      </c>
      <c r="F20" s="51">
        <f t="shared" si="1"/>
        <v>67.744799999999998</v>
      </c>
      <c r="G20" s="51">
        <f t="shared" si="1"/>
        <v>65.475000000000009</v>
      </c>
      <c r="H20" s="51">
        <f t="shared" si="1"/>
        <v>63.6417</v>
      </c>
      <c r="I20" s="51">
        <f t="shared" si="1"/>
        <v>61.371900000000004</v>
      </c>
      <c r="J20" s="51">
        <f t="shared" si="1"/>
        <v>59.538600000000002</v>
      </c>
      <c r="K20" s="51">
        <f t="shared" si="1"/>
        <v>57.268799999999999</v>
      </c>
      <c r="L20" s="51">
        <f t="shared" si="1"/>
        <v>55.173600000000008</v>
      </c>
      <c r="M20" s="51">
        <f t="shared" si="1"/>
        <v>53.427600000000005</v>
      </c>
      <c r="N20" s="51">
        <f t="shared" si="1"/>
        <v>50.983200000000004</v>
      </c>
      <c r="O20" s="51">
        <f t="shared" si="1"/>
        <v>49.149900000000002</v>
      </c>
      <c r="P20" s="51">
        <f t="shared" si="1"/>
        <v>48.538800000000002</v>
      </c>
      <c r="Q20" s="51">
        <f t="shared" si="1"/>
        <v>46.530900000000003</v>
      </c>
      <c r="R20" s="51" t="str">
        <f t="shared" si="1"/>
        <v/>
      </c>
      <c r="S20" s="51" t="str">
        <f t="shared" si="1"/>
        <v/>
      </c>
      <c r="T20" s="51" t="str">
        <f t="shared" si="1"/>
        <v/>
      </c>
      <c r="U20" s="51" t="str">
        <f t="shared" si="1"/>
        <v/>
      </c>
      <c r="V20" s="51" t="str">
        <f t="shared" si="1"/>
        <v/>
      </c>
    </row>
    <row r="21" spans="1:54" x14ac:dyDescent="0.3">
      <c r="A21" s="6" t="str">
        <f>"Insured Value ($/head @ "&amp;C14&amp;" lbs)"</f>
        <v>Insured Value ($/head @ 873 lbs)</v>
      </c>
      <c r="B21" s="79"/>
      <c r="C21" s="53">
        <f t="shared" ref="C21:V21" si="2">IF(SUM(C10*($C$14/100))=0,"",SUM(C9*($C$14/100)))</f>
        <v>2898.36</v>
      </c>
      <c r="D21" s="53">
        <f t="shared" si="2"/>
        <v>2880.9</v>
      </c>
      <c r="E21" s="53">
        <f t="shared" si="2"/>
        <v>2863.44</v>
      </c>
      <c r="F21" s="53">
        <f t="shared" si="2"/>
        <v>2845.98</v>
      </c>
      <c r="G21" s="53">
        <f t="shared" si="2"/>
        <v>2828.52</v>
      </c>
      <c r="H21" s="53">
        <f t="shared" si="2"/>
        <v>2811.06</v>
      </c>
      <c r="I21" s="53">
        <f t="shared" si="2"/>
        <v>2793.6000000000004</v>
      </c>
      <c r="J21" s="53">
        <f t="shared" si="2"/>
        <v>2776.1400000000003</v>
      </c>
      <c r="K21" s="53">
        <f t="shared" si="2"/>
        <v>2758.6800000000003</v>
      </c>
      <c r="L21" s="53">
        <f t="shared" si="2"/>
        <v>2741.2200000000003</v>
      </c>
      <c r="M21" s="53">
        <f t="shared" si="2"/>
        <v>2723.76</v>
      </c>
      <c r="N21" s="53">
        <f t="shared" si="2"/>
        <v>2706.3</v>
      </c>
      <c r="O21" s="53">
        <f t="shared" si="2"/>
        <v>2688.84</v>
      </c>
      <c r="P21" s="53">
        <f t="shared" si="2"/>
        <v>2671.38</v>
      </c>
      <c r="Q21" s="53">
        <f t="shared" si="2"/>
        <v>2653.92</v>
      </c>
      <c r="R21" s="53" t="str">
        <f t="shared" si="2"/>
        <v/>
      </c>
      <c r="S21" s="53" t="str">
        <f t="shared" si="2"/>
        <v/>
      </c>
      <c r="T21" s="53" t="str">
        <f t="shared" si="2"/>
        <v/>
      </c>
      <c r="U21" s="53" t="str">
        <f t="shared" si="2"/>
        <v/>
      </c>
      <c r="V21" s="53" t="str">
        <f t="shared" si="2"/>
        <v/>
      </c>
    </row>
    <row r="22" spans="1:54" ht="7.5" customHeight="1" x14ac:dyDescent="0.3">
      <c r="A22" s="6"/>
      <c r="B22" s="79"/>
      <c r="C22" s="53"/>
      <c r="D22" s="53"/>
      <c r="E22" s="53"/>
      <c r="F22" s="53"/>
      <c r="G22" s="53"/>
      <c r="H22" s="53"/>
      <c r="I22" s="53"/>
      <c r="J22" s="53"/>
      <c r="K22" s="53"/>
      <c r="L22" s="53"/>
      <c r="M22" s="53"/>
      <c r="N22" s="53"/>
      <c r="O22" s="53"/>
      <c r="P22" s="53"/>
      <c r="Q22" s="53"/>
      <c r="R22" s="53"/>
      <c r="S22" s="53"/>
      <c r="T22" s="53"/>
      <c r="U22" s="53"/>
      <c r="V22" s="53"/>
    </row>
    <row r="23" spans="1:54" x14ac:dyDescent="0.3">
      <c r="A23" s="6" t="s">
        <v>49</v>
      </c>
      <c r="B23" s="79"/>
      <c r="C23" s="52">
        <f t="shared" ref="C23:V23" si="3">IF(SUM(C10*($C$14/100))=0,"",SUM(C20/C21))</f>
        <v>2.6024096385542171E-2</v>
      </c>
      <c r="D23" s="52">
        <f t="shared" si="3"/>
        <v>2.5272727272727273E-2</v>
      </c>
      <c r="E23" s="52">
        <f t="shared" si="3"/>
        <v>2.478658536585366E-2</v>
      </c>
      <c r="F23" s="52">
        <f t="shared" si="3"/>
        <v>2.3803680981595091E-2</v>
      </c>
      <c r="G23" s="52">
        <f t="shared" si="3"/>
        <v>2.314814814814815E-2</v>
      </c>
      <c r="H23" s="52">
        <f t="shared" si="3"/>
        <v>2.2639751552795032E-2</v>
      </c>
      <c r="I23" s="52">
        <f t="shared" si="3"/>
        <v>2.1968749999999999E-2</v>
      </c>
      <c r="J23" s="52">
        <f t="shared" si="3"/>
        <v>2.1446540880503143E-2</v>
      </c>
      <c r="K23" s="52">
        <f t="shared" si="3"/>
        <v>2.0759493670886073E-2</v>
      </c>
      <c r="L23" s="52">
        <f t="shared" si="3"/>
        <v>2.0127388535031848E-2</v>
      </c>
      <c r="M23" s="52">
        <f t="shared" si="3"/>
        <v>1.9615384615384614E-2</v>
      </c>
      <c r="N23" s="52">
        <f t="shared" si="3"/>
        <v>1.8838709677419355E-2</v>
      </c>
      <c r="O23" s="52">
        <f t="shared" si="3"/>
        <v>1.827922077922078E-2</v>
      </c>
      <c r="P23" s="52">
        <f t="shared" si="3"/>
        <v>1.8169934640522876E-2</v>
      </c>
      <c r="Q23" s="52">
        <f t="shared" si="3"/>
        <v>1.7532894736842105E-2</v>
      </c>
      <c r="R23" s="52" t="str">
        <f t="shared" si="3"/>
        <v/>
      </c>
      <c r="S23" s="52" t="str">
        <f t="shared" si="3"/>
        <v/>
      </c>
      <c r="T23" s="52" t="str">
        <f t="shared" si="3"/>
        <v/>
      </c>
      <c r="U23" s="52" t="str">
        <f t="shared" si="3"/>
        <v/>
      </c>
      <c r="V23" s="52" t="str">
        <f t="shared" si="3"/>
        <v/>
      </c>
    </row>
    <row r="24" spans="1:54" ht="7.5" customHeight="1" x14ac:dyDescent="0.3">
      <c r="A24" s="6"/>
      <c r="B24" s="79"/>
      <c r="C24" s="51"/>
      <c r="D24" s="51"/>
      <c r="E24" s="51"/>
      <c r="F24" s="51"/>
      <c r="G24" s="51"/>
      <c r="H24" s="51"/>
      <c r="I24" s="51"/>
      <c r="J24" s="51"/>
      <c r="K24" s="51"/>
      <c r="L24" s="51"/>
      <c r="M24" s="51"/>
      <c r="N24" s="51"/>
      <c r="O24" s="51"/>
      <c r="P24" s="51"/>
      <c r="Q24" s="51"/>
      <c r="R24" s="51"/>
      <c r="S24" s="51"/>
      <c r="T24" s="51"/>
      <c r="U24" s="51"/>
      <c r="V24" s="51"/>
    </row>
    <row r="25" spans="1:54" x14ac:dyDescent="0.3">
      <c r="A25" s="6" t="str">
        <f>"Total Premium ("&amp;C15&amp;" calves)"</f>
        <v>Total Premium (500 calves)</v>
      </c>
      <c r="B25" s="79"/>
      <c r="C25" s="53">
        <f t="shared" ref="C25:V25" si="4">IF(SUM(C10*($C$14/100))=0,"",SUM(C20*$C$15))</f>
        <v>37713.600000000006</v>
      </c>
      <c r="D25" s="53">
        <f t="shared" si="4"/>
        <v>36404.1</v>
      </c>
      <c r="E25" s="53">
        <f t="shared" si="4"/>
        <v>35487.450000000004</v>
      </c>
      <c r="F25" s="53">
        <f t="shared" si="4"/>
        <v>33872.400000000001</v>
      </c>
      <c r="G25" s="53">
        <f t="shared" si="4"/>
        <v>32737.500000000004</v>
      </c>
      <c r="H25" s="53">
        <f t="shared" si="4"/>
        <v>31820.85</v>
      </c>
      <c r="I25" s="53">
        <f t="shared" si="4"/>
        <v>30685.95</v>
      </c>
      <c r="J25" s="53">
        <f t="shared" si="4"/>
        <v>29769.300000000003</v>
      </c>
      <c r="K25" s="53">
        <f t="shared" si="4"/>
        <v>28634.399999999998</v>
      </c>
      <c r="L25" s="53">
        <f t="shared" si="4"/>
        <v>27586.800000000003</v>
      </c>
      <c r="M25" s="53">
        <f t="shared" si="4"/>
        <v>26713.800000000003</v>
      </c>
      <c r="N25" s="53">
        <f t="shared" si="4"/>
        <v>25491.600000000002</v>
      </c>
      <c r="O25" s="53">
        <f t="shared" si="4"/>
        <v>24574.95</v>
      </c>
      <c r="P25" s="53">
        <f t="shared" si="4"/>
        <v>24269.4</v>
      </c>
      <c r="Q25" s="53">
        <f t="shared" si="4"/>
        <v>23265.45</v>
      </c>
      <c r="R25" s="53" t="str">
        <f t="shared" si="4"/>
        <v/>
      </c>
      <c r="S25" s="53" t="str">
        <f t="shared" si="4"/>
        <v/>
      </c>
      <c r="T25" s="53" t="str">
        <f t="shared" si="4"/>
        <v/>
      </c>
      <c r="U25" s="53" t="str">
        <f t="shared" si="4"/>
        <v/>
      </c>
      <c r="V25" s="53" t="str">
        <f t="shared" si="4"/>
        <v/>
      </c>
    </row>
    <row r="26" spans="1:54" x14ac:dyDescent="0.3">
      <c r="A26" s="6" t="str">
        <f>"Total Insured Value ("&amp;C15&amp;" calves)"</f>
        <v>Total Insured Value (500 calves)</v>
      </c>
      <c r="B26" s="6"/>
      <c r="C26" s="53">
        <f t="shared" ref="C26:V26" si="5">IF(SUM(C10*($C$14/100))=0,"",SUM(C21*$C$15))</f>
        <v>1449180</v>
      </c>
      <c r="D26" s="53">
        <f t="shared" si="5"/>
        <v>1440450</v>
      </c>
      <c r="E26" s="53">
        <f t="shared" si="5"/>
        <v>1431720</v>
      </c>
      <c r="F26" s="53">
        <f t="shared" si="5"/>
        <v>1422990</v>
      </c>
      <c r="G26" s="53">
        <f t="shared" si="5"/>
        <v>1414260</v>
      </c>
      <c r="H26" s="53">
        <f t="shared" si="5"/>
        <v>1405530</v>
      </c>
      <c r="I26" s="53">
        <f t="shared" si="5"/>
        <v>1396800.0000000002</v>
      </c>
      <c r="J26" s="53">
        <f t="shared" si="5"/>
        <v>1388070.0000000002</v>
      </c>
      <c r="K26" s="53">
        <f t="shared" si="5"/>
        <v>1379340.0000000002</v>
      </c>
      <c r="L26" s="53">
        <f t="shared" si="5"/>
        <v>1370610.0000000002</v>
      </c>
      <c r="M26" s="53">
        <f t="shared" si="5"/>
        <v>1361880</v>
      </c>
      <c r="N26" s="53">
        <f t="shared" si="5"/>
        <v>1353150</v>
      </c>
      <c r="O26" s="53">
        <f t="shared" si="5"/>
        <v>1344420</v>
      </c>
      <c r="P26" s="53">
        <f t="shared" si="5"/>
        <v>1335690</v>
      </c>
      <c r="Q26" s="53">
        <f t="shared" si="5"/>
        <v>1326960</v>
      </c>
      <c r="R26" s="53" t="str">
        <f t="shared" si="5"/>
        <v/>
      </c>
      <c r="S26" s="53" t="str">
        <f t="shared" si="5"/>
        <v/>
      </c>
      <c r="T26" s="53" t="str">
        <f t="shared" si="5"/>
        <v/>
      </c>
      <c r="U26" s="53" t="str">
        <f t="shared" si="5"/>
        <v/>
      </c>
      <c r="V26" s="53" t="str">
        <f t="shared" si="5"/>
        <v/>
      </c>
    </row>
    <row r="27" spans="1:54" ht="7.5" customHeight="1" x14ac:dyDescent="0.3">
      <c r="A27" s="7"/>
      <c r="C27" s="9"/>
      <c r="D27" s="9"/>
      <c r="E27" s="9"/>
      <c r="F27" s="9"/>
      <c r="G27" s="9"/>
      <c r="H27" s="9"/>
      <c r="I27" s="9"/>
      <c r="J27" s="9"/>
    </row>
    <row r="28" spans="1:54" ht="18" customHeight="1" x14ac:dyDescent="0.3">
      <c r="A28" s="1" t="s">
        <v>57</v>
      </c>
      <c r="C28" s="9"/>
      <c r="D28" s="9"/>
      <c r="E28" s="9"/>
      <c r="F28" s="9"/>
      <c r="G28" s="9"/>
      <c r="H28" s="9"/>
      <c r="I28" s="9"/>
      <c r="J28" s="9"/>
    </row>
    <row r="29" spans="1:54" ht="18" hidden="1" customHeight="1" x14ac:dyDescent="0.3">
      <c r="A29" s="7"/>
      <c r="B29" s="3" t="s">
        <v>50</v>
      </c>
      <c r="C29" s="66">
        <f t="shared" ref="C29:V29" si="6">IF(OR(D25="",C25=""),"",SUM(C20-D20))</f>
        <v>2.619000000000014</v>
      </c>
      <c r="D29" s="66">
        <f t="shared" si="6"/>
        <v>1.8332999999999942</v>
      </c>
      <c r="E29" s="66">
        <f t="shared" si="6"/>
        <v>3.2301000000000073</v>
      </c>
      <c r="F29" s="66">
        <f t="shared" si="6"/>
        <v>2.2697999999999894</v>
      </c>
      <c r="G29" s="66">
        <f t="shared" si="6"/>
        <v>1.8333000000000084</v>
      </c>
      <c r="H29" s="66">
        <f t="shared" si="6"/>
        <v>2.2697999999999965</v>
      </c>
      <c r="I29" s="66">
        <f t="shared" si="6"/>
        <v>1.8333000000000013</v>
      </c>
      <c r="J29" s="66">
        <f t="shared" si="6"/>
        <v>2.2698000000000036</v>
      </c>
      <c r="K29" s="66">
        <f t="shared" si="6"/>
        <v>2.0951999999999913</v>
      </c>
      <c r="L29" s="66">
        <f t="shared" si="6"/>
        <v>1.7460000000000022</v>
      </c>
      <c r="M29" s="66">
        <f t="shared" si="6"/>
        <v>2.4444000000000017</v>
      </c>
      <c r="N29" s="66">
        <f t="shared" si="6"/>
        <v>1.8333000000000013</v>
      </c>
      <c r="O29" s="66">
        <f t="shared" si="6"/>
        <v>0.61110000000000042</v>
      </c>
      <c r="P29" s="66">
        <f t="shared" si="6"/>
        <v>2.0078999999999994</v>
      </c>
      <c r="Q29" s="66" t="str">
        <f t="shared" si="6"/>
        <v/>
      </c>
      <c r="R29" s="66" t="str">
        <f t="shared" si="6"/>
        <v/>
      </c>
      <c r="S29" s="66" t="str">
        <f t="shared" si="6"/>
        <v/>
      </c>
      <c r="T29" s="66" t="str">
        <f t="shared" si="6"/>
        <v/>
      </c>
      <c r="U29" s="66" t="str">
        <f t="shared" si="6"/>
        <v/>
      </c>
      <c r="V29" s="66" t="str">
        <f t="shared" si="6"/>
        <v/>
      </c>
      <c r="BB29" s="2">
        <f>SUM(BB28+1)</f>
        <v>1</v>
      </c>
    </row>
    <row r="30" spans="1:54" ht="18" hidden="1" customHeight="1" x14ac:dyDescent="0.3">
      <c r="A30" s="7"/>
      <c r="B30" s="3" t="s">
        <v>51</v>
      </c>
      <c r="C30" s="66">
        <f t="shared" ref="C30:V30" si="7">IF(OR(D25="",C25=""),"",SUM(C21-D21))</f>
        <v>17.460000000000036</v>
      </c>
      <c r="D30" s="66">
        <f t="shared" si="7"/>
        <v>17.460000000000036</v>
      </c>
      <c r="E30" s="66">
        <f t="shared" si="7"/>
        <v>17.460000000000036</v>
      </c>
      <c r="F30" s="66">
        <f t="shared" si="7"/>
        <v>17.460000000000036</v>
      </c>
      <c r="G30" s="66">
        <f t="shared" si="7"/>
        <v>17.460000000000036</v>
      </c>
      <c r="H30" s="66">
        <f t="shared" si="7"/>
        <v>17.459999999999582</v>
      </c>
      <c r="I30" s="66">
        <f t="shared" si="7"/>
        <v>17.460000000000036</v>
      </c>
      <c r="J30" s="66">
        <f t="shared" si="7"/>
        <v>17.460000000000036</v>
      </c>
      <c r="K30" s="66">
        <f t="shared" si="7"/>
        <v>17.460000000000036</v>
      </c>
      <c r="L30" s="66">
        <f t="shared" si="7"/>
        <v>17.460000000000036</v>
      </c>
      <c r="M30" s="66">
        <f t="shared" si="7"/>
        <v>17.460000000000036</v>
      </c>
      <c r="N30" s="66">
        <f t="shared" si="7"/>
        <v>17.460000000000036</v>
      </c>
      <c r="O30" s="66">
        <f t="shared" si="7"/>
        <v>17.460000000000036</v>
      </c>
      <c r="P30" s="66">
        <f t="shared" si="7"/>
        <v>17.460000000000036</v>
      </c>
      <c r="Q30" s="66" t="str">
        <f t="shared" si="7"/>
        <v/>
      </c>
      <c r="R30" s="66" t="str">
        <f t="shared" si="7"/>
        <v/>
      </c>
      <c r="S30" s="66" t="str">
        <f t="shared" si="7"/>
        <v/>
      </c>
      <c r="T30" s="66" t="str">
        <f t="shared" si="7"/>
        <v/>
      </c>
      <c r="U30" s="66" t="str">
        <f t="shared" si="7"/>
        <v/>
      </c>
      <c r="V30" s="66" t="str">
        <f t="shared" si="7"/>
        <v/>
      </c>
      <c r="BB30" s="2">
        <f>SUM(BB29+1)</f>
        <v>2</v>
      </c>
    </row>
    <row r="31" spans="1:54" s="56" customFormat="1" x14ac:dyDescent="0.3">
      <c r="A31" s="74"/>
      <c r="B31" s="75" t="s">
        <v>54</v>
      </c>
      <c r="C31" s="76">
        <f t="shared" ref="C31:V31" si="8">IF(OR(D25="",C25=""),"",SUM((C25-D25)/(C26-D26)))</f>
        <v>0.15000000000000083</v>
      </c>
      <c r="D31" s="76">
        <f t="shared" si="8"/>
        <v>0.10499999999999933</v>
      </c>
      <c r="E31" s="76">
        <f t="shared" si="8"/>
        <v>0.18500000000000033</v>
      </c>
      <c r="F31" s="76">
        <f t="shared" si="8"/>
        <v>0.12999999999999975</v>
      </c>
      <c r="G31" s="76">
        <f t="shared" si="8"/>
        <v>0.10500000000000058</v>
      </c>
      <c r="H31" s="76">
        <f t="shared" si="8"/>
        <v>0.13000000000000322</v>
      </c>
      <c r="I31" s="76">
        <f t="shared" si="8"/>
        <v>0.10499999999999975</v>
      </c>
      <c r="J31" s="76">
        <f t="shared" si="8"/>
        <v>0.13000000000000059</v>
      </c>
      <c r="K31" s="76">
        <f t="shared" si="8"/>
        <v>0.11999999999999941</v>
      </c>
      <c r="L31" s="76">
        <f t="shared" si="8"/>
        <v>9.9999999999997327E-2</v>
      </c>
      <c r="M31" s="76">
        <f t="shared" si="8"/>
        <v>0.1400000000000001</v>
      </c>
      <c r="N31" s="76">
        <f t="shared" si="8"/>
        <v>0.10500000000000016</v>
      </c>
      <c r="O31" s="76">
        <f t="shared" si="8"/>
        <v>3.499999999999992E-2</v>
      </c>
      <c r="P31" s="76">
        <f t="shared" si="8"/>
        <v>0.11500000000000009</v>
      </c>
      <c r="Q31" s="76" t="str">
        <f t="shared" si="8"/>
        <v/>
      </c>
      <c r="R31" s="76" t="str">
        <f t="shared" si="8"/>
        <v/>
      </c>
      <c r="S31" s="76" t="str">
        <f t="shared" si="8"/>
        <v/>
      </c>
      <c r="T31" s="76" t="str">
        <f t="shared" si="8"/>
        <v/>
      </c>
      <c r="U31" s="76" t="str">
        <f t="shared" si="8"/>
        <v/>
      </c>
      <c r="V31" s="76" t="str">
        <f t="shared" si="8"/>
        <v/>
      </c>
      <c r="BB31" s="2"/>
    </row>
    <row r="32" spans="1:54" ht="7.5" customHeight="1" x14ac:dyDescent="0.3">
      <c r="A32" s="7"/>
      <c r="B32" s="6"/>
      <c r="C32" s="51"/>
      <c r="D32" s="51"/>
      <c r="E32" s="51"/>
      <c r="F32" s="51"/>
      <c r="G32" s="51"/>
      <c r="H32" s="51"/>
      <c r="I32" s="51"/>
      <c r="J32" s="51"/>
      <c r="K32" s="51"/>
      <c r="L32" s="51"/>
      <c r="M32" s="51"/>
      <c r="N32" s="51"/>
      <c r="O32" s="51"/>
      <c r="P32" s="51"/>
      <c r="Q32" s="51"/>
      <c r="R32" s="51"/>
      <c r="S32" s="51"/>
      <c r="T32" s="51"/>
      <c r="U32" s="51"/>
      <c r="V32" s="51"/>
    </row>
    <row r="33" spans="1:54" x14ac:dyDescent="0.3">
      <c r="A33" s="182" t="s">
        <v>152</v>
      </c>
      <c r="B33" s="182"/>
      <c r="C33" s="182"/>
      <c r="D33" s="182"/>
      <c r="E33" s="182"/>
      <c r="F33" s="182"/>
      <c r="G33" s="182"/>
      <c r="H33" s="182"/>
      <c r="I33" s="182"/>
      <c r="J33" s="182"/>
      <c r="K33" s="182"/>
      <c r="L33" s="182"/>
      <c r="M33" s="182"/>
      <c r="N33" s="182"/>
      <c r="O33" s="182"/>
      <c r="P33" s="182"/>
      <c r="Q33" s="182"/>
      <c r="R33" s="182"/>
      <c r="S33" s="182"/>
      <c r="T33" s="182"/>
      <c r="U33" s="182"/>
      <c r="V33" s="182"/>
      <c r="W33" s="1"/>
      <c r="X33" s="1"/>
      <c r="Y33" s="1"/>
      <c r="Z33" s="1"/>
      <c r="AA33" s="1"/>
    </row>
    <row r="34" spans="1:54" s="56" customFormat="1" ht="7.5" customHeight="1" x14ac:dyDescent="0.3">
      <c r="A34" s="55"/>
      <c r="B34" s="55"/>
      <c r="C34" s="55"/>
      <c r="D34" s="55"/>
      <c r="E34" s="55"/>
      <c r="F34" s="55"/>
      <c r="G34" s="55"/>
      <c r="H34" s="55"/>
      <c r="I34" s="55"/>
      <c r="J34" s="55"/>
      <c r="K34" s="55"/>
      <c r="L34" s="55"/>
      <c r="M34" s="55"/>
      <c r="N34" s="55"/>
      <c r="O34" s="55"/>
      <c r="P34" s="55"/>
      <c r="Q34" s="55"/>
      <c r="R34" s="55"/>
      <c r="S34" s="55"/>
      <c r="T34" s="55"/>
      <c r="U34" s="55"/>
      <c r="V34" s="55"/>
      <c r="W34" s="1"/>
      <c r="X34" s="1"/>
      <c r="Y34" s="1"/>
      <c r="Z34" s="1"/>
      <c r="AA34" s="1"/>
      <c r="BB34" s="2"/>
    </row>
    <row r="35" spans="1:54" s="56" customFormat="1" x14ac:dyDescent="0.3">
      <c r="A35" s="1" t="str">
        <f>"LPIP Payment at Estimated Settlement Price = $"&amp;I14&amp;"/cwt"</f>
        <v>LPIP Payment at Estimated Settlement Price = $280/cwt</v>
      </c>
      <c r="B35" s="3"/>
      <c r="C35" s="76"/>
      <c r="D35" s="76"/>
      <c r="E35" s="76"/>
      <c r="F35" s="76"/>
      <c r="G35" s="76"/>
      <c r="H35" s="76"/>
      <c r="I35" s="76"/>
      <c r="J35" s="76"/>
      <c r="K35" s="76"/>
      <c r="L35" s="76"/>
      <c r="M35" s="76"/>
      <c r="N35" s="76"/>
      <c r="O35" s="76"/>
      <c r="P35" s="76"/>
      <c r="Q35" s="76"/>
      <c r="R35" s="76"/>
      <c r="S35" s="76"/>
      <c r="T35" s="76"/>
      <c r="U35" s="76"/>
      <c r="V35" s="76"/>
      <c r="BB35" s="2"/>
    </row>
    <row r="36" spans="1:54" s="56" customFormat="1" x14ac:dyDescent="0.3">
      <c r="A36" s="7"/>
      <c r="B36" s="3" t="s">
        <v>153</v>
      </c>
      <c r="C36" s="81">
        <f t="shared" ref="C36:V36" si="9">IF(SUM(C10*($C$14/100))=0,"",IF(ROUND(C9-$I$14,1)&lt;1,"-",SUM(C9-$I$14)*$C$14/100))</f>
        <v>453.96</v>
      </c>
      <c r="D36" s="81">
        <f t="shared" si="9"/>
        <v>436.5</v>
      </c>
      <c r="E36" s="81">
        <f t="shared" si="9"/>
        <v>419.04</v>
      </c>
      <c r="F36" s="81">
        <f t="shared" si="9"/>
        <v>401.58</v>
      </c>
      <c r="G36" s="81">
        <f t="shared" si="9"/>
        <v>384.12</v>
      </c>
      <c r="H36" s="81">
        <f t="shared" si="9"/>
        <v>366.66</v>
      </c>
      <c r="I36" s="81">
        <f t="shared" si="9"/>
        <v>349.2</v>
      </c>
      <c r="J36" s="81">
        <f t="shared" si="9"/>
        <v>331.74</v>
      </c>
      <c r="K36" s="81">
        <f t="shared" si="9"/>
        <v>314.27999999999997</v>
      </c>
      <c r="L36" s="81">
        <f t="shared" si="9"/>
        <v>296.82</v>
      </c>
      <c r="M36" s="81">
        <f t="shared" si="9"/>
        <v>279.36</v>
      </c>
      <c r="N36" s="81">
        <f t="shared" si="9"/>
        <v>261.89999999999998</v>
      </c>
      <c r="O36" s="81">
        <f t="shared" si="9"/>
        <v>244.44</v>
      </c>
      <c r="P36" s="81">
        <f t="shared" si="9"/>
        <v>226.98</v>
      </c>
      <c r="Q36" s="81">
        <f t="shared" si="9"/>
        <v>209.52</v>
      </c>
      <c r="R36" s="81" t="str">
        <f t="shared" si="9"/>
        <v/>
      </c>
      <c r="S36" s="81" t="str">
        <f t="shared" si="9"/>
        <v/>
      </c>
      <c r="T36" s="81" t="str">
        <f t="shared" si="9"/>
        <v/>
      </c>
      <c r="U36" s="81" t="str">
        <f t="shared" si="9"/>
        <v/>
      </c>
      <c r="V36" s="81" t="str">
        <f t="shared" si="9"/>
        <v/>
      </c>
      <c r="BB36" s="2"/>
    </row>
    <row r="37" spans="1:54" s="56" customFormat="1" x14ac:dyDescent="0.3">
      <c r="A37" s="7"/>
      <c r="B37" s="6" t="str">
        <f>"Total LPIP ($ per "&amp;C15&amp;" calves)"</f>
        <v>Total LPIP ($ per 500 calves)</v>
      </c>
      <c r="C37" s="81">
        <f t="shared" ref="C37:V37" si="10">IF(SUM(C10*($C$14/100))=0,"",IF(C36="-","-",SUM(C36*$C$15)))</f>
        <v>226980</v>
      </c>
      <c r="D37" s="81">
        <f t="shared" si="10"/>
        <v>218250</v>
      </c>
      <c r="E37" s="81">
        <f t="shared" si="10"/>
        <v>209520</v>
      </c>
      <c r="F37" s="81">
        <f t="shared" si="10"/>
        <v>200790</v>
      </c>
      <c r="G37" s="81">
        <f t="shared" si="10"/>
        <v>192060</v>
      </c>
      <c r="H37" s="81">
        <f t="shared" si="10"/>
        <v>183330</v>
      </c>
      <c r="I37" s="81">
        <f t="shared" si="10"/>
        <v>174600</v>
      </c>
      <c r="J37" s="81">
        <f t="shared" si="10"/>
        <v>165870</v>
      </c>
      <c r="K37" s="81">
        <f t="shared" si="10"/>
        <v>157140</v>
      </c>
      <c r="L37" s="81">
        <f t="shared" si="10"/>
        <v>148410</v>
      </c>
      <c r="M37" s="81">
        <f t="shared" si="10"/>
        <v>139680</v>
      </c>
      <c r="N37" s="81">
        <f t="shared" si="10"/>
        <v>130949.99999999999</v>
      </c>
      <c r="O37" s="81">
        <f t="shared" si="10"/>
        <v>122220</v>
      </c>
      <c r="P37" s="81">
        <f t="shared" si="10"/>
        <v>113490</v>
      </c>
      <c r="Q37" s="81">
        <f t="shared" si="10"/>
        <v>104760</v>
      </c>
      <c r="R37" s="81" t="str">
        <f t="shared" si="10"/>
        <v/>
      </c>
      <c r="S37" s="81" t="str">
        <f t="shared" si="10"/>
        <v/>
      </c>
      <c r="T37" s="81" t="str">
        <f t="shared" si="10"/>
        <v/>
      </c>
      <c r="U37" s="81" t="str">
        <f t="shared" si="10"/>
        <v/>
      </c>
      <c r="V37" s="81" t="str">
        <f t="shared" si="10"/>
        <v/>
      </c>
      <c r="BB37" s="2"/>
    </row>
    <row r="38" spans="1:54" ht="7.5" customHeight="1" x14ac:dyDescent="0.3">
      <c r="A38" s="74"/>
      <c r="B38" s="75"/>
      <c r="C38" s="9"/>
      <c r="D38" s="9"/>
      <c r="E38" s="9"/>
      <c r="F38" s="9"/>
      <c r="G38" s="9"/>
      <c r="H38" s="9"/>
      <c r="I38" s="9"/>
      <c r="J38" s="9"/>
    </row>
    <row r="39" spans="1:54" x14ac:dyDescent="0.3">
      <c r="A39" s="4" t="s">
        <v>154</v>
      </c>
      <c r="C39" s="9"/>
      <c r="D39" s="9"/>
      <c r="E39" s="9"/>
      <c r="F39" s="9"/>
      <c r="G39" s="9"/>
      <c r="H39" s="9"/>
      <c r="I39" s="9"/>
      <c r="J39" s="9"/>
    </row>
    <row r="40" spans="1:54" x14ac:dyDescent="0.3">
      <c r="A40" s="7"/>
      <c r="B40" s="3" t="s">
        <v>38</v>
      </c>
      <c r="C40" s="66" t="str">
        <f>IF(SUM(C10*($C$14/100))=0,"",IF(C20+'Cost of Production'!$C$31-' LPI Calculator'!C21&lt;0,"-",SUM(C20+'Cost of Production'!$C$31-' LPI Calculator'!C21)))</f>
        <v>-</v>
      </c>
      <c r="D40" s="66" t="str">
        <f>IF(SUM(D10*($C$14/100))=0,"",IF(D20+'Cost of Production'!$C$31-' LPI Calculator'!D21&lt;0,"-",SUM(D20+'Cost of Production'!$C$31-' LPI Calculator'!D21)))</f>
        <v>-</v>
      </c>
      <c r="E40" s="66" t="str">
        <f>IF(SUM(E10*($C$14/100))=0,"",IF(E20+'Cost of Production'!$C$31-' LPI Calculator'!E21&lt;0,"-",SUM(E20+'Cost of Production'!$C$31-' LPI Calculator'!E21)))</f>
        <v>-</v>
      </c>
      <c r="F40" s="66" t="str">
        <f>IF(SUM(F10*($C$14/100))=0,"",IF(F20+'Cost of Production'!$C$31-' LPI Calculator'!F21&lt;0,"-",SUM(F20+'Cost of Production'!$C$31-' LPI Calculator'!F21)))</f>
        <v>-</v>
      </c>
      <c r="G40" s="66" t="str">
        <f>IF(SUM(G10*($C$14/100))=0,"",IF(G20+'Cost of Production'!$C$31-' LPI Calculator'!G21&lt;0,"-",SUM(G20+'Cost of Production'!$C$31-' LPI Calculator'!G21)))</f>
        <v>-</v>
      </c>
      <c r="H40" s="66" t="str">
        <f>IF(SUM(H10*($C$14/100))=0,"",IF(H20+'Cost of Production'!$C$31-' LPI Calculator'!H21&lt;0,"-",SUM(H20+'Cost of Production'!$C$31-' LPI Calculator'!H21)))</f>
        <v>-</v>
      </c>
      <c r="I40" s="66" t="str">
        <f>IF(SUM(I10*($C$14/100))=0,"",IF(I20+'Cost of Production'!$C$31-' LPI Calculator'!I21&lt;0,"-",SUM(I20+'Cost of Production'!$C$31-' LPI Calculator'!I21)))</f>
        <v>-</v>
      </c>
      <c r="J40" s="66" t="str">
        <f>IF(SUM(J10*($C$14/100))=0,"",IF(J20+'Cost of Production'!$C$31-' LPI Calculator'!J21&lt;0,"-",SUM(J20+'Cost of Production'!$C$31-' LPI Calculator'!J21)))</f>
        <v>-</v>
      </c>
      <c r="K40" s="66" t="str">
        <f>IF(SUM(K10*($C$14/100))=0,"",IF(K20+'Cost of Production'!$C$31-' LPI Calculator'!K21&lt;0,"-",SUM(K20+'Cost of Production'!$C$31-' LPI Calculator'!K21)))</f>
        <v>-</v>
      </c>
      <c r="L40" s="66" t="str">
        <f>IF(SUM(L10*($C$14/100))=0,"",IF(L20+'Cost of Production'!$C$31-' LPI Calculator'!L21&lt;0,"-",SUM(L20+'Cost of Production'!$C$31-' LPI Calculator'!L21)))</f>
        <v>-</v>
      </c>
      <c r="M40" s="66" t="str">
        <f>IF(SUM(M10*($C$14/100))=0,"",IF(M20+'Cost of Production'!$C$31-' LPI Calculator'!M21&lt;0,"-",SUM(M20+'Cost of Production'!$C$31-' LPI Calculator'!M21)))</f>
        <v>-</v>
      </c>
      <c r="N40" s="66" t="str">
        <f>IF(SUM(N10*($C$14/100))=0,"",IF(N20+'Cost of Production'!$C$31-' LPI Calculator'!N21&lt;0,"-",SUM(N20+'Cost of Production'!$C$31-' LPI Calculator'!N21)))</f>
        <v>-</v>
      </c>
      <c r="O40" s="66" t="str">
        <f>IF(SUM(O10*($C$14/100))=0,"",IF(O20+'Cost of Production'!$C$31-' LPI Calculator'!O21&lt;0,"-",SUM(O20+'Cost of Production'!$C$31-' LPI Calculator'!O21)))</f>
        <v>-</v>
      </c>
      <c r="P40" s="66" t="str">
        <f>IF(SUM(P10*($C$14/100))=0,"",IF(P20+'Cost of Production'!$C$31-' LPI Calculator'!P21&lt;0,"-",SUM(P20+'Cost of Production'!$C$31-' LPI Calculator'!P21)))</f>
        <v>-</v>
      </c>
      <c r="Q40" s="66" t="str">
        <f>IF(SUM(Q10*($C$14/100))=0,"",IF(Q20+'Cost of Production'!$C$31-' LPI Calculator'!Q21&lt;0,"-",SUM(Q20+'Cost of Production'!$C$31-' LPI Calculator'!Q21)))</f>
        <v>-</v>
      </c>
      <c r="R40" s="66" t="str">
        <f>IF(SUM(R10*($C$14/100))=0,"",IF(R20+'Cost of Production'!$C$31-' LPI Calculator'!R21&lt;0,"-",SUM(R20+'Cost of Production'!$C$31-' LPI Calculator'!R21)))</f>
        <v/>
      </c>
      <c r="S40" s="66" t="str">
        <f>IF(SUM(S10*($C$14/100))=0,"",IF(S20+'Cost of Production'!$C$31-' LPI Calculator'!S21&lt;0,"-",SUM(S20+'Cost of Production'!$C$31-' LPI Calculator'!S21)))</f>
        <v/>
      </c>
      <c r="T40" s="66" t="str">
        <f>IF(SUM(T10*($C$14/100))=0,"",IF(T20+'Cost of Production'!$C$31-' LPI Calculator'!T21&lt;0,"-",SUM(T20+'Cost of Production'!$C$31-' LPI Calculator'!T21)))</f>
        <v/>
      </c>
      <c r="U40" s="66" t="str">
        <f>IF(SUM(U10*($C$14/100))=0,"",IF(U20+'Cost of Production'!$C$31-' LPI Calculator'!U21&lt;0,"-",SUM(U20+'Cost of Production'!$C$31-' LPI Calculator'!U21)))</f>
        <v/>
      </c>
      <c r="V40" s="66" t="str">
        <f>IF(SUM(V10*($C$14/100))=0,"",IF(V20+'Cost of Production'!$C$31-' LPI Calculator'!V21&lt;0,"-",SUM(V20+'Cost of Production'!$C$31-' LPI Calculator'!V21)))</f>
        <v/>
      </c>
    </row>
    <row r="41" spans="1:54" x14ac:dyDescent="0.3">
      <c r="A41" s="7"/>
      <c r="B41" s="3" t="s">
        <v>47</v>
      </c>
      <c r="C41" s="66" t="str">
        <f>IF(SUM(C10*($C$14/100))=0,"",IF(C20+'Cost of Production'!$C$31+'Cost of Production'!$C$44-' LPI Calculator'!C21&lt;0,"-",SUM(C20+'Cost of Production'!$C$31+'Cost of Production'!$C$44-' LPI Calculator'!C21)))</f>
        <v>-</v>
      </c>
      <c r="D41" s="66" t="str">
        <f>IF(SUM(D10*($C$14/100))=0,"",IF(D20+'Cost of Production'!$C$31+'Cost of Production'!$C$44-' LPI Calculator'!D21&lt;0,"-",SUM(D20+'Cost of Production'!$C$31+'Cost of Production'!$C$44-' LPI Calculator'!D21)))</f>
        <v>-</v>
      </c>
      <c r="E41" s="66" t="str">
        <f>IF(SUM(E10*($C$14/100))=0,"",IF(E20+'Cost of Production'!$C$31+'Cost of Production'!$C$44-' LPI Calculator'!E21&lt;0,"-",SUM(E20+'Cost of Production'!$C$31+'Cost of Production'!$C$44-' LPI Calculator'!E21)))</f>
        <v>-</v>
      </c>
      <c r="F41" s="66" t="str">
        <f>IF(SUM(F10*($C$14/100))=0,"",IF(F20+'Cost of Production'!$C$31+'Cost of Production'!$C$44-' LPI Calculator'!F21&lt;0,"-",SUM(F20+'Cost of Production'!$C$31+'Cost of Production'!$C$44-' LPI Calculator'!F21)))</f>
        <v>-</v>
      </c>
      <c r="G41" s="66" t="str">
        <f>IF(SUM(G10*($C$14/100))=0,"",IF(G20+'Cost of Production'!$C$31+'Cost of Production'!$C$44-' LPI Calculator'!G21&lt;0,"-",SUM(G20+'Cost of Production'!$C$31+'Cost of Production'!$C$44-' LPI Calculator'!G21)))</f>
        <v>-</v>
      </c>
      <c r="H41" s="66" t="str">
        <f>IF(SUM(H10*($C$14/100))=0,"",IF(H20+'Cost of Production'!$C$31+'Cost of Production'!$C$44-' LPI Calculator'!H21&lt;0,"-",SUM(H20+'Cost of Production'!$C$31+'Cost of Production'!$C$44-' LPI Calculator'!H21)))</f>
        <v>-</v>
      </c>
      <c r="I41" s="66" t="str">
        <f>IF(SUM(I10*($C$14/100))=0,"",IF(I20+'Cost of Production'!$C$31+'Cost of Production'!$C$44-' LPI Calculator'!I21&lt;0,"-",SUM(I20+'Cost of Production'!$C$31+'Cost of Production'!$C$44-' LPI Calculator'!I21)))</f>
        <v>-</v>
      </c>
      <c r="J41" s="66" t="str">
        <f>IF(SUM(J10*($C$14/100))=0,"",IF(J20+'Cost of Production'!$C$31+'Cost of Production'!$C$44-' LPI Calculator'!J21&lt;0,"-",SUM(J20+'Cost of Production'!$C$31+'Cost of Production'!$C$44-' LPI Calculator'!J21)))</f>
        <v>-</v>
      </c>
      <c r="K41" s="66" t="str">
        <f>IF(SUM(K10*($C$14/100))=0,"",IF(K20+'Cost of Production'!$C$31+'Cost of Production'!$C$44-' LPI Calculator'!K21&lt;0,"-",SUM(K20+'Cost of Production'!$C$31+'Cost of Production'!$C$44-' LPI Calculator'!K21)))</f>
        <v>-</v>
      </c>
      <c r="L41" s="66" t="str">
        <f>IF(SUM(L10*($C$14/100))=0,"",IF(L20+'Cost of Production'!$C$31+'Cost of Production'!$C$44-' LPI Calculator'!L21&lt;0,"-",SUM(L20+'Cost of Production'!$C$31+'Cost of Production'!$C$44-' LPI Calculator'!L21)))</f>
        <v>-</v>
      </c>
      <c r="M41" s="66" t="str">
        <f>IF(SUM(M10*($C$14/100))=0,"",IF(M20+'Cost of Production'!$C$31+'Cost of Production'!$C$44-' LPI Calculator'!M21&lt;0,"-",SUM(M20+'Cost of Production'!$C$31+'Cost of Production'!$C$44-' LPI Calculator'!M21)))</f>
        <v>-</v>
      </c>
      <c r="N41" s="66" t="str">
        <f>IF(SUM(N10*($C$14/100))=0,"",IF(N20+'Cost of Production'!$C$31+'Cost of Production'!$C$44-' LPI Calculator'!N21&lt;0,"-",SUM(N20+'Cost of Production'!$C$31+'Cost of Production'!$C$44-' LPI Calculator'!N21)))</f>
        <v>-</v>
      </c>
      <c r="O41" s="66" t="str">
        <f>IF(SUM(O10*($C$14/100))=0,"",IF(O20+'Cost of Production'!$C$31+'Cost of Production'!$C$44-' LPI Calculator'!O21&lt;0,"-",SUM(O20+'Cost of Production'!$C$31+'Cost of Production'!$C$44-' LPI Calculator'!O21)))</f>
        <v>-</v>
      </c>
      <c r="P41" s="66" t="str">
        <f>IF(SUM(P10*($C$14/100))=0,"",IF(P20+'Cost of Production'!$C$31+'Cost of Production'!$C$44-' LPI Calculator'!P21&lt;0,"-",SUM(P20+'Cost of Production'!$C$31+'Cost of Production'!$C$44-' LPI Calculator'!P21)))</f>
        <v>-</v>
      </c>
      <c r="Q41" s="66" t="str">
        <f>IF(SUM(Q10*($C$14/100))=0,"",IF(Q20+'Cost of Production'!$C$31+'Cost of Production'!$C$44-' LPI Calculator'!Q21&lt;0,"-",SUM(Q20+'Cost of Production'!$C$31+'Cost of Production'!$C$44-' LPI Calculator'!Q21)))</f>
        <v>-</v>
      </c>
      <c r="R41" s="66" t="str">
        <f>IF(SUM(R10*($C$14/100))=0,"",IF(R20+'Cost of Production'!$C$31+'Cost of Production'!$C$46-' LPI Calculator'!R21&lt;0,"-",SUM(R20+'Cost of Production'!$C$31+'Cost of Production'!$C$46-' LPI Calculator'!R21)))</f>
        <v/>
      </c>
      <c r="S41" s="66" t="str">
        <f>IF(SUM(S10*($C$14/100))=0,"",IF(S20+'Cost of Production'!$C$31+'Cost of Production'!$C$46-' LPI Calculator'!S21&lt;0,"-",SUM(S20+'Cost of Production'!$C$31+'Cost of Production'!$C$46-' LPI Calculator'!S21)))</f>
        <v/>
      </c>
      <c r="T41" s="66" t="str">
        <f>IF(SUM(T10*($C$14/100))=0,"",IF(T20+'Cost of Production'!$C$31+'Cost of Production'!$C$46-' LPI Calculator'!T21&lt;0,"-",SUM(T20+'Cost of Production'!$C$31+'Cost of Production'!$C$46-' LPI Calculator'!T21)))</f>
        <v/>
      </c>
      <c r="U41" s="66" t="str">
        <f>IF(SUM(U10*($C$14/100))=0,"",IF(U20+'Cost of Production'!$C$31+'Cost of Production'!$C$46-' LPI Calculator'!U21&lt;0,"-",SUM(U20+'Cost of Production'!$C$31+'Cost of Production'!$C$46-' LPI Calculator'!U21)))</f>
        <v/>
      </c>
      <c r="V41" s="66" t="str">
        <f>IF(SUM(V10*($C$14/100))=0,"",IF(V20+'Cost of Production'!$C$31+'Cost of Production'!$C$46-' LPI Calculator'!V21&lt;0,"-",SUM(V20+'Cost of Production'!$C$31+'Cost of Production'!$C$46-' LPI Calculator'!V21)))</f>
        <v/>
      </c>
    </row>
    <row r="42" spans="1:54" x14ac:dyDescent="0.3">
      <c r="A42" s="7"/>
      <c r="B42" s="3" t="s">
        <v>39</v>
      </c>
      <c r="C42" s="66" t="str">
        <f>IF(SUM(C10*($C$14/100))=0,"",IF(C20+'Cost of Production'!$C$42-' LPI Calculator'!C21&lt;0,"-",SUM(C20+'Cost of Production'!$C$42-' LPI Calculator'!C21)))</f>
        <v>-</v>
      </c>
      <c r="D42" s="66" t="str">
        <f>IF(SUM(D10*($C$14/100))=0,"",IF(D20+'Cost of Production'!$C$42-' LPI Calculator'!D21&lt;0,"-",SUM(D20+'Cost of Production'!$C$42-' LPI Calculator'!D21)))</f>
        <v>-</v>
      </c>
      <c r="E42" s="66" t="str">
        <f>IF(SUM(E10*($C$14/100))=0,"",IF(E20+'Cost of Production'!$C$42-' LPI Calculator'!E21&lt;0,"-",SUM(E20+'Cost of Production'!$C$42-' LPI Calculator'!E21)))</f>
        <v>-</v>
      </c>
      <c r="F42" s="66" t="str">
        <f>IF(SUM(F10*($C$14/100))=0,"",IF(F20+'Cost of Production'!$C$42-' LPI Calculator'!F21&lt;0,"-",SUM(F20+'Cost of Production'!$C$42-' LPI Calculator'!F21)))</f>
        <v>-</v>
      </c>
      <c r="G42" s="66" t="str">
        <f>IF(SUM(G10*($C$14/100))=0,"",IF(G20+'Cost of Production'!$C$42-' LPI Calculator'!G21&lt;0,"-",SUM(G20+'Cost of Production'!$C$42-' LPI Calculator'!G21)))</f>
        <v>-</v>
      </c>
      <c r="H42" s="66" t="str">
        <f>IF(SUM(H10*($C$14/100))=0,"",IF(H20+'Cost of Production'!$C$42-' LPI Calculator'!H21&lt;0,"-",SUM(H20+'Cost of Production'!$C$42-' LPI Calculator'!H21)))</f>
        <v>-</v>
      </c>
      <c r="I42" s="66" t="str">
        <f>IF(SUM(I10*($C$14/100))=0,"",IF(I20+'Cost of Production'!$C$42-' LPI Calculator'!I21&lt;0,"-",SUM(I20+'Cost of Production'!$C$42-' LPI Calculator'!I21)))</f>
        <v>-</v>
      </c>
      <c r="J42" s="66" t="str">
        <f>IF(SUM(J10*($C$14/100))=0,"",IF(J20+'Cost of Production'!$C$42-' LPI Calculator'!J21&lt;0,"-",SUM(J20+'Cost of Production'!$C$42-' LPI Calculator'!J21)))</f>
        <v>-</v>
      </c>
      <c r="K42" s="66" t="str">
        <f>IF(SUM(K10*($C$14/100))=0,"",IF(K20+'Cost of Production'!$C$42-' LPI Calculator'!K21&lt;0,"-",SUM(K20+'Cost of Production'!$C$42-' LPI Calculator'!K21)))</f>
        <v>-</v>
      </c>
      <c r="L42" s="66" t="str">
        <f>IF(SUM(L10*($C$14/100))=0,"",IF(L20+'Cost of Production'!$C$42-' LPI Calculator'!L21&lt;0,"-",SUM(L20+'Cost of Production'!$C$42-' LPI Calculator'!L21)))</f>
        <v>-</v>
      </c>
      <c r="M42" s="66" t="str">
        <f>IF(SUM(M10*($C$14/100))=0,"",IF(M20+'Cost of Production'!$C$42-' LPI Calculator'!M21&lt;0,"-",SUM(M20+'Cost of Production'!$C$42-' LPI Calculator'!M21)))</f>
        <v>-</v>
      </c>
      <c r="N42" s="66" t="str">
        <f>IF(SUM(N10*($C$14/100))=0,"",IF(N20+'Cost of Production'!$C$42-' LPI Calculator'!N21&lt;0,"-",SUM(N20+'Cost of Production'!$C$42-' LPI Calculator'!N21)))</f>
        <v>-</v>
      </c>
      <c r="O42" s="66" t="str">
        <f>IF(SUM(O10*($C$14/100))=0,"",IF(O20+'Cost of Production'!$C$42-' LPI Calculator'!O21&lt;0,"-",SUM(O20+'Cost of Production'!$C$42-' LPI Calculator'!O21)))</f>
        <v>-</v>
      </c>
      <c r="P42" s="66" t="str">
        <f>IF(SUM(P10*($C$14/100))=0,"",IF(P20+'Cost of Production'!$C$42-' LPI Calculator'!P21&lt;0,"-",SUM(P20+'Cost of Production'!$C$42-' LPI Calculator'!P21)))</f>
        <v>-</v>
      </c>
      <c r="Q42" s="66" t="str">
        <f>IF(SUM(Q10*($C$14/100))=0,"",IF(Q20+'Cost of Production'!$C$42-' LPI Calculator'!Q21&lt;0,"-",SUM(Q20+'Cost of Production'!$C$42-' LPI Calculator'!Q21)))</f>
        <v>-</v>
      </c>
      <c r="R42" s="66" t="str">
        <f>IF(SUM(R10*($C$14/100))=0,"",IF(R20+'Cost of Production'!$C$44-' LPI Calculator'!R21&lt;0,"-",SUM(R20+'Cost of Production'!$C$44-' LPI Calculator'!R21)))</f>
        <v/>
      </c>
      <c r="S42" s="66" t="str">
        <f>IF(SUM(S10*($C$14/100))=0,"",IF(S20+'Cost of Production'!$C$44-' LPI Calculator'!S21&lt;0,"-",SUM(S20+'Cost of Production'!$C$44-' LPI Calculator'!S21)))</f>
        <v/>
      </c>
      <c r="T42" s="66" t="str">
        <f>IF(SUM(T10*($C$14/100))=0,"",IF(T20+'Cost of Production'!$C$44-' LPI Calculator'!T21&lt;0,"-",SUM(T20+'Cost of Production'!$C$44-' LPI Calculator'!T21)))</f>
        <v/>
      </c>
      <c r="U42" s="66" t="str">
        <f>IF(SUM(U10*($C$14/100))=0,"",IF(U20+'Cost of Production'!$C$44-' LPI Calculator'!U21&lt;0,"-",SUM(U20+'Cost of Production'!$C$44-' LPI Calculator'!U21)))</f>
        <v/>
      </c>
      <c r="V42" s="66" t="str">
        <f>IF(SUM(V10*($C$14/100))=0,"",IF(V20+'Cost of Production'!$C$44-' LPI Calculator'!V21&lt;0,"-",SUM(V20+'Cost of Production'!$C$44-' LPI Calculator'!V21)))</f>
        <v/>
      </c>
    </row>
    <row r="43" spans="1:54" x14ac:dyDescent="0.3">
      <c r="A43" s="7"/>
      <c r="B43" s="6" t="s">
        <v>40</v>
      </c>
      <c r="C43" s="51" t="str">
        <f>IF(SUM(C10*($C$14/100))=0,"",IF(C20+'Cost of Production'!$C$46-' LPI Calculator'!C21&lt;0,"-",SUM(C20+'Cost of Production'!$C$46-' LPI Calculator'!C21)))</f>
        <v>-</v>
      </c>
      <c r="D43" s="51" t="str">
        <f>IF(SUM(D10*($C$14/100))=0,"",IF(D20+'Cost of Production'!$C$46-' LPI Calculator'!D21&lt;0,"-",SUM(D20+'Cost of Production'!$C$46-' LPI Calculator'!D21)))</f>
        <v>-</v>
      </c>
      <c r="E43" s="51" t="str">
        <f>IF(SUM(E10*($C$14/100))=0,"",IF(E20+'Cost of Production'!$C$46-' LPI Calculator'!E21&lt;0,"-",SUM(E20+'Cost of Production'!$C$46-' LPI Calculator'!E21)))</f>
        <v>-</v>
      </c>
      <c r="F43" s="51" t="str">
        <f>IF(SUM(F10*($C$14/100))=0,"",IF(F20+'Cost of Production'!$C$46-' LPI Calculator'!F21&lt;0,"-",SUM(F20+'Cost of Production'!$C$46-' LPI Calculator'!F21)))</f>
        <v>-</v>
      </c>
      <c r="G43" s="51" t="str">
        <f>IF(SUM(G10*($C$14/100))=0,"",IF(G20+'Cost of Production'!$C$46-' LPI Calculator'!G21&lt;0,"-",SUM(G20+'Cost of Production'!$C$46-' LPI Calculator'!G21)))</f>
        <v>-</v>
      </c>
      <c r="H43" s="51" t="str">
        <f>IF(SUM(H10*($C$14/100))=0,"",IF(H20+'Cost of Production'!$C$46-' LPI Calculator'!H21&lt;0,"-",SUM(H20+'Cost of Production'!$C$46-' LPI Calculator'!H21)))</f>
        <v>-</v>
      </c>
      <c r="I43" s="51" t="str">
        <f>IF(SUM(I10*($C$14/100))=0,"",IF(I20+'Cost of Production'!$C$46-' LPI Calculator'!I21&lt;0,"-",SUM(I20+'Cost of Production'!$C$46-' LPI Calculator'!I21)))</f>
        <v>-</v>
      </c>
      <c r="J43" s="51" t="str">
        <f>IF(SUM(J10*($C$14/100))=0,"",IF(J20+'Cost of Production'!$C$46-' LPI Calculator'!J21&lt;0,"-",SUM(J20+'Cost of Production'!$C$46-' LPI Calculator'!J21)))</f>
        <v>-</v>
      </c>
      <c r="K43" s="51" t="str">
        <f>IF(SUM(K10*($C$14/100))=0,"",IF(K20+'Cost of Production'!$C$46-' LPI Calculator'!K21&lt;0,"-",SUM(K20+'Cost of Production'!$C$46-' LPI Calculator'!K21)))</f>
        <v>-</v>
      </c>
      <c r="L43" s="51" t="str">
        <f>IF(SUM(L10*($C$14/100))=0,"",IF(L20+'Cost of Production'!$C$46-' LPI Calculator'!L21&lt;0,"-",SUM(L20+'Cost of Production'!$C$46-' LPI Calculator'!L21)))</f>
        <v>-</v>
      </c>
      <c r="M43" s="51" t="str">
        <f>IF(SUM(M10*($C$14/100))=0,"",IF(M20+'Cost of Production'!$C$46-' LPI Calculator'!M21&lt;0,"-",SUM(M20+'Cost of Production'!$C$46-' LPI Calculator'!M21)))</f>
        <v>-</v>
      </c>
      <c r="N43" s="51" t="str">
        <f>IF(SUM(N10*($C$14/100))=0,"",IF(N20+'Cost of Production'!$C$46-' LPI Calculator'!N21&lt;0,"-",SUM(N20+'Cost of Production'!$C$46-' LPI Calculator'!N21)))</f>
        <v>-</v>
      </c>
      <c r="O43" s="51" t="str">
        <f>IF(SUM(O10*($C$14/100))=0,"",IF(O20+'Cost of Production'!$C$46-' LPI Calculator'!O21&lt;0,"-",SUM(O20+'Cost of Production'!$C$46-' LPI Calculator'!O21)))</f>
        <v>-</v>
      </c>
      <c r="P43" s="51" t="str">
        <f>IF(SUM(P10*($C$14/100))=0,"",IF(P20+'Cost of Production'!$C$46-' LPI Calculator'!P21&lt;0,"-",SUM(P20+'Cost of Production'!$C$46-' LPI Calculator'!P21)))</f>
        <v>-</v>
      </c>
      <c r="Q43" s="51" t="str">
        <f>IF(SUM(Q10*($C$14/100))=0,"",IF(Q20+'Cost of Production'!$C$46-' LPI Calculator'!Q21&lt;0,"-",SUM(Q20+'Cost of Production'!$C$46-' LPI Calculator'!Q21)))</f>
        <v>-</v>
      </c>
      <c r="R43" s="51" t="str">
        <f>IF(SUM(R10*($C$14/100))=0,"",IF(R20+'Cost of Production'!$C$48-' LPI Calculator'!R21&lt;0,"-",SUM(R20+'Cost of Production'!$C$48-' LPI Calculator'!R21)))</f>
        <v/>
      </c>
      <c r="S43" s="51" t="str">
        <f>IF(SUM(S10*($C$14/100))=0,"",IF(S20+'Cost of Production'!$C$48-' LPI Calculator'!S21&lt;0,"-",SUM(S20+'Cost of Production'!$C$48-' LPI Calculator'!S21)))</f>
        <v/>
      </c>
      <c r="T43" s="51" t="str">
        <f>IF(SUM(T10*($C$14/100))=0,"",IF(T20+'Cost of Production'!$C$48-' LPI Calculator'!T21&lt;0,"-",SUM(T20+'Cost of Production'!$C$48-' LPI Calculator'!T21)))</f>
        <v/>
      </c>
      <c r="U43" s="51" t="str">
        <f>IF(SUM(U10*($C$14/100))=0,"",IF(U20+'Cost of Production'!$C$48-' LPI Calculator'!U21&lt;0,"-",SUM(U20+'Cost of Production'!$C$48-' LPI Calculator'!U21)))</f>
        <v/>
      </c>
      <c r="V43" s="51" t="str">
        <f>IF(SUM(V10*($C$14/100))=0,"",IF(V20+'Cost of Production'!$C$48-' LPI Calculator'!V21&lt;0,"-",SUM(V20+'Cost of Production'!$C$48-' LPI Calculator'!V21)))</f>
        <v/>
      </c>
    </row>
    <row r="44" spans="1:54" s="56" customFormat="1" ht="7.5" customHeight="1" x14ac:dyDescent="0.3">
      <c r="A44" s="74"/>
      <c r="B44" s="75"/>
      <c r="C44" s="76"/>
      <c r="D44" s="76"/>
      <c r="E44" s="76"/>
      <c r="F44" s="76"/>
      <c r="G44" s="76"/>
      <c r="H44" s="76"/>
      <c r="I44" s="76"/>
      <c r="J44" s="76"/>
      <c r="K44" s="76"/>
      <c r="L44" s="76"/>
      <c r="M44" s="76"/>
      <c r="N44" s="76"/>
      <c r="O44" s="76"/>
      <c r="P44" s="76"/>
      <c r="Q44" s="76"/>
      <c r="R44" s="76"/>
      <c r="S44" s="76"/>
      <c r="T44" s="76"/>
      <c r="U44" s="76"/>
      <c r="V44" s="76"/>
      <c r="BB44" s="2"/>
    </row>
    <row r="45" spans="1:54" x14ac:dyDescent="0.3">
      <c r="A45" s="182" t="s">
        <v>106</v>
      </c>
      <c r="B45" s="182"/>
      <c r="C45" s="182"/>
      <c r="D45" s="182"/>
      <c r="E45" s="182"/>
      <c r="F45" s="182"/>
      <c r="G45" s="182"/>
      <c r="H45" s="182"/>
      <c r="I45" s="182"/>
      <c r="J45" s="182"/>
      <c r="K45" s="182"/>
      <c r="L45" s="182"/>
      <c r="M45" s="182"/>
      <c r="N45" s="182"/>
      <c r="O45" s="182"/>
      <c r="P45" s="182"/>
      <c r="Q45" s="182"/>
      <c r="R45" s="182"/>
      <c r="S45" s="182"/>
      <c r="T45" s="182"/>
      <c r="U45" s="182"/>
      <c r="V45" s="182"/>
      <c r="W45" s="1"/>
      <c r="X45" s="1"/>
      <c r="Y45" s="1"/>
      <c r="Z45" s="1"/>
      <c r="AA45" s="1"/>
    </row>
    <row r="46" spans="1:54" s="56" customFormat="1" ht="7.5" customHeight="1" x14ac:dyDescent="0.3">
      <c r="A46" s="55"/>
      <c r="B46" s="55"/>
      <c r="C46" s="55"/>
      <c r="D46" s="55"/>
      <c r="E46" s="55"/>
      <c r="F46" s="55"/>
      <c r="G46" s="55"/>
      <c r="H46" s="55"/>
      <c r="I46" s="55"/>
      <c r="J46" s="55"/>
      <c r="K46" s="55"/>
      <c r="L46" s="55"/>
      <c r="M46" s="55"/>
      <c r="N46" s="55"/>
      <c r="O46" s="55"/>
      <c r="P46" s="55"/>
      <c r="Q46" s="55"/>
      <c r="R46" s="55"/>
      <c r="S46" s="55"/>
      <c r="T46" s="55"/>
      <c r="U46" s="55"/>
      <c r="V46" s="55"/>
      <c r="W46" s="1"/>
      <c r="X46" s="1"/>
      <c r="Y46" s="1"/>
      <c r="Z46" s="1"/>
      <c r="AA46" s="1"/>
    </row>
    <row r="47" spans="1:54" x14ac:dyDescent="0.3">
      <c r="A47" s="16" t="str">
        <f>"Marginal Returns (based on Est. Settlement Price @ $"&amp;I14&amp;"/cwt + LPIP Payment per head)"</f>
        <v>Marginal Returns (based on Est. Settlement Price @ $280/cwt + LPIP Payment per head)</v>
      </c>
      <c r="B47" s="38"/>
      <c r="C47" s="9"/>
      <c r="D47" s="9"/>
      <c r="E47" s="9"/>
      <c r="F47" s="9"/>
      <c r="G47" s="9"/>
      <c r="H47" s="9"/>
      <c r="I47" s="9"/>
      <c r="J47" s="9"/>
    </row>
    <row r="48" spans="1:54" x14ac:dyDescent="0.3">
      <c r="A48" s="5"/>
      <c r="B48" s="8" t="s">
        <v>0</v>
      </c>
      <c r="C48" s="84">
        <f>IF(SUM(C10*($C$14/100))=0,"",IF(ROUND(C9-$I$14,1)&lt;1,(($I$14/100)*$C$14)-('Cost of Production'!$C$31+C20),((($I$14/100)*$C$14)+C36)-('Cost of Production'!$C$31+C20)))</f>
        <v>295.44279999999981</v>
      </c>
      <c r="D48" s="84">
        <f>IF(SUM(D10*($C$14/100))=0,"",IF(ROUND(D9-$I$14,1)&lt;1,(($I$14/100)*$C$14)-('Cost of Production'!$C$31+D20),((($I$14/100)*$C$14)+D36)-('Cost of Production'!$C$31+D20)))</f>
        <v>280.60179999999991</v>
      </c>
      <c r="E48" s="84">
        <f>IF(SUM(E10*($C$14/100))=0,"",IF(ROUND(E9-$I$14,1)&lt;1,(($I$14/100)*$C$14)-('Cost of Production'!$C$31+E20),((($I$14/100)*$C$14)+E36)-('Cost of Production'!$C$31+E20)))</f>
        <v>264.97509999999966</v>
      </c>
      <c r="F48" s="84">
        <f>IF(SUM(F10*($C$14/100))=0,"",IF(ROUND(F9-$I$14,1)&lt;1,(($I$14/100)*$C$14)-('Cost of Production'!$C$31+F20),((($I$14/100)*$C$14)+F36)-('Cost of Production'!$C$31+F20)))</f>
        <v>250.74519999999984</v>
      </c>
      <c r="G48" s="84">
        <f>IF(SUM(G10*($C$14/100))=0,"",IF(ROUND(G9-$I$14,1)&lt;1,(($I$14/100)*$C$14)-('Cost of Production'!$C$31+G20),((($I$14/100)*$C$14)+G36)-('Cost of Production'!$C$31+G20)))</f>
        <v>235.55499999999984</v>
      </c>
      <c r="H48" s="84">
        <f>IF(SUM(H10*($C$14/100))=0,"",IF(ROUND(H9-$I$14,1)&lt;1,(($I$14/100)*$C$14)-('Cost of Production'!$C$31+H20),((($I$14/100)*$C$14)+H36)-('Cost of Production'!$C$31+H20)))</f>
        <v>219.92829999999958</v>
      </c>
      <c r="I48" s="84">
        <f>IF(SUM(I10*($C$14/100))=0,"",IF(ROUND(I9-$I$14,1)&lt;1,(($I$14/100)*$C$14)-('Cost of Production'!$C$31+I20),((($I$14/100)*$C$14)+I36)-('Cost of Production'!$C$31+I20)))</f>
        <v>204.73809999999958</v>
      </c>
      <c r="J48" s="84">
        <f>IF(SUM(J10*($C$14/100))=0,"",IF(ROUND(J9-$I$14,1)&lt;1,(($I$14/100)*$C$14)-('Cost of Production'!$C$31+J20),((($I$14/100)*$C$14)+J36)-('Cost of Production'!$C$31+J20)))</f>
        <v>189.11139999999978</v>
      </c>
      <c r="K48" s="84">
        <f>IF(SUM(K10*($C$14/100))=0,"",IF(ROUND(K9-$I$14,1)&lt;1,(($I$14/100)*$C$14)-('Cost of Production'!$C$31+K20),((($I$14/100)*$C$14)+K36)-('Cost of Production'!$C$31+K20)))</f>
        <v>173.92119999999977</v>
      </c>
      <c r="L48" s="84">
        <f>IF(SUM(L10*($C$14/100))=0,"",IF(ROUND(L9-$I$14,1)&lt;1,(($I$14/100)*$C$14)-('Cost of Production'!$C$31+L20),((($I$14/100)*$C$14)+L36)-('Cost of Production'!$C$31+L20)))</f>
        <v>158.55639999999994</v>
      </c>
      <c r="M48" s="84">
        <f>IF(SUM(M10*($C$14/100))=0,"",IF(ROUND(M9-$I$14,1)&lt;1,(($I$14/100)*$C$14)-('Cost of Production'!$C$31+M20),((($I$14/100)*$C$14)+M36)-('Cost of Production'!$C$31+M20)))</f>
        <v>142.8424</v>
      </c>
      <c r="N48" s="84">
        <f>IF(SUM(N10*($C$14/100))=0,"",IF(ROUND(N9-$I$14,1)&lt;1,(($I$14/100)*$C$14)-('Cost of Production'!$C$31+N20),((($I$14/100)*$C$14)+N36)-('Cost of Production'!$C$31+N20)))</f>
        <v>127.82679999999982</v>
      </c>
      <c r="O48" s="84">
        <f>IF(SUM(O10*($C$14/100))=0,"",IF(ROUND(O9-$I$14,1)&lt;1,(($I$14/100)*$C$14)-('Cost of Production'!$C$31+O20),((($I$14/100)*$C$14)+O36)-('Cost of Production'!$C$31+O20)))</f>
        <v>112.20010000000002</v>
      </c>
      <c r="P48" s="84">
        <f>IF(SUM(P10*($C$14/100))=0,"",IF(ROUND(P9-$I$14,1)&lt;1,(($I$14/100)*$C$14)-('Cost of Production'!$C$31+P20),((($I$14/100)*$C$14)+P36)-('Cost of Production'!$C$31+P20)))</f>
        <v>95.351200000000063</v>
      </c>
      <c r="Q48" s="84">
        <f>IF(SUM(Q10*($C$14/100))=0,"",IF(ROUND(Q9-$I$14,1)&lt;1,(($I$14/100)*$C$14)-('Cost of Production'!$C$31+Q20),((($I$14/100)*$C$14)+Q36)-('Cost of Production'!$C$31+Q20)))</f>
        <v>79.899099999999635</v>
      </c>
      <c r="R48" s="84" t="str">
        <f>IF(SUM(R10*($C$14/100))=0,"",IF(ROUND(R9-$I$14,1)&lt;1,(($I$14/100)*$C$14)-('Cost of Production'!$C$31+R20),((($I$14/100)*$C$14)+R36)-('Cost of Production'!$C$31+R20)))</f>
        <v/>
      </c>
      <c r="S48" s="84" t="str">
        <f>IF(SUM(S10*($C$14/100))=0,"",IF(ROUND(S9-$I$14,1)&lt;1,(($I$14/100)*$C$14)-('Cost of Production'!$C$31+S20),((($I$14/100)*$C$14)+S36)-('Cost of Production'!$C$31+S20)))</f>
        <v/>
      </c>
      <c r="T48" s="84" t="str">
        <f>IF(SUM(T10*($C$14/100))=0,"",IF(ROUND(T9-$I$14,1)&lt;1,(($I$14/100)*$C$14)-('Cost of Production'!$C$31+T20),((($I$14/100)*$C$14)+T36)-('Cost of Production'!$C$31+T20)))</f>
        <v/>
      </c>
      <c r="U48" s="84" t="str">
        <f>IF(SUM(U10*($C$14/100))=0,"",IF(ROUND(U9-$I$14,1)&lt;1,(($I$14/100)*$C$14)-('Cost of Production'!$C$31+U20),((($I$14/100)*$C$14)+U36)-('Cost of Production'!$C$31+U20)))</f>
        <v/>
      </c>
      <c r="V48" s="84" t="str">
        <f>IF(SUM(V10*($C$14/100))=0,"",IF(ROUND(V9-$I$14,1)&lt;1,(($I$14/100)*$C$14)-('Cost of Production'!$C$31+V20),((($I$14/100)*$C$14)+V36)-('Cost of Production'!$C$31+V20)))</f>
        <v/>
      </c>
    </row>
    <row r="49" spans="1:27" x14ac:dyDescent="0.3">
      <c r="A49" s="5"/>
      <c r="B49" s="8" t="s">
        <v>1</v>
      </c>
      <c r="C49" s="84">
        <f>IF(SUM(C10*($C$14/100))=0,"",IF(ROUND(C9-$I$14,1)&lt;1,(($I$14/100)*$C$14)-('Cost of Production'!$C$31+'Cost of Production'!$C$44+C20),((($I$14/100)*$C$14)+C36)-('Cost of Production'!$C$31+'Cost of Production'!$C$44+C20)))</f>
        <v>268.44279999999981</v>
      </c>
      <c r="D49" s="84">
        <f>IF(SUM(D10*($C$14/100))=0,"",IF(ROUND(D9-$I$14,1)&lt;1,(($I$14/100)*$C$14)-('Cost of Production'!$C$31+'Cost of Production'!$C$44+D20),((($I$14/100)*$C$14)+D36)-('Cost of Production'!$C$31+'Cost of Production'!$C$44+D20)))</f>
        <v>253.60179999999991</v>
      </c>
      <c r="E49" s="84">
        <f>IF(SUM(E10*($C$14/100))=0,"",IF(ROUND(E9-$I$14,1)&lt;1,(($I$14/100)*$C$14)-('Cost of Production'!$C$31+'Cost of Production'!$C$44+E20),((($I$14/100)*$C$14)+E36)-('Cost of Production'!$C$31+'Cost of Production'!$C$44+E20)))</f>
        <v>237.97509999999966</v>
      </c>
      <c r="F49" s="84">
        <f>IF(SUM(F10*($C$14/100))=0,"",IF(ROUND(F9-$I$14,1)&lt;1,(($I$14/100)*$C$14)-('Cost of Production'!$C$31+'Cost of Production'!$C$44+F20),((($I$14/100)*$C$14)+F36)-('Cost of Production'!$C$31+'Cost of Production'!$C$44+F20)))</f>
        <v>223.74519999999984</v>
      </c>
      <c r="G49" s="84">
        <f>IF(SUM(G10*($C$14/100))=0,"",IF(ROUND(G9-$I$14,1)&lt;1,(($I$14/100)*$C$14)-('Cost of Production'!$C$31+'Cost of Production'!$C$44+G20),((($I$14/100)*$C$14)+G36)-('Cost of Production'!$C$31+'Cost of Production'!$C$44+G20)))</f>
        <v>208.55499999999984</v>
      </c>
      <c r="H49" s="84">
        <f>IF(SUM(H10*($C$14/100))=0,"",IF(ROUND(H9-$I$14,1)&lt;1,(($I$14/100)*$C$14)-('Cost of Production'!$C$31+'Cost of Production'!$C$44+H20),((($I$14/100)*$C$14)+H36)-('Cost of Production'!$C$31+'Cost of Production'!$C$44+H20)))</f>
        <v>192.92829999999958</v>
      </c>
      <c r="I49" s="84">
        <f>IF(SUM(I10*($C$14/100))=0,"",IF(ROUND(I9-$I$14,1)&lt;1,(($I$14/100)*$C$14)-('Cost of Production'!$C$31+'Cost of Production'!$C$44+I20),((($I$14/100)*$C$14)+I36)-('Cost of Production'!$C$31+'Cost of Production'!$C$44+I20)))</f>
        <v>177.73809999999958</v>
      </c>
      <c r="J49" s="84">
        <f>IF(SUM(J10*($C$14/100))=0,"",IF(ROUND(J9-$I$14,1)&lt;1,(($I$14/100)*$C$14)-('Cost of Production'!$C$31+'Cost of Production'!$C$44+J20),((($I$14/100)*$C$14)+J36)-('Cost of Production'!$C$31+'Cost of Production'!$C$44+J20)))</f>
        <v>162.11139999999978</v>
      </c>
      <c r="K49" s="84">
        <f>IF(SUM(K10*($C$14/100))=0,"",IF(ROUND(K9-$I$14,1)&lt;1,(($I$14/100)*$C$14)-('Cost of Production'!$C$31+'Cost of Production'!$C$44+K20),((($I$14/100)*$C$14)+K36)-('Cost of Production'!$C$31+'Cost of Production'!$C$44+K20)))</f>
        <v>146.92119999999977</v>
      </c>
      <c r="L49" s="84">
        <f>IF(SUM(L10*($C$14/100))=0,"",IF(ROUND(L9-$I$14,1)&lt;1,(($I$14/100)*$C$14)-('Cost of Production'!$C$31+'Cost of Production'!$C$44+L20),((($I$14/100)*$C$14)+L36)-('Cost of Production'!$C$31+'Cost of Production'!$C$44+L20)))</f>
        <v>131.55639999999994</v>
      </c>
      <c r="M49" s="84">
        <f>IF(SUM(M10*($C$14/100))=0,"",IF(ROUND(M9-$I$14,1)&lt;1,(($I$14/100)*$C$14)-('Cost of Production'!$C$31+'Cost of Production'!$C$44+M20),((($I$14/100)*$C$14)+M36)-('Cost of Production'!$C$31+'Cost of Production'!$C$44+M20)))</f>
        <v>115.8424</v>
      </c>
      <c r="N49" s="84">
        <f>IF(SUM(N10*($C$14/100))=0,"",IF(ROUND(N9-$I$14,1)&lt;1,(($I$14/100)*$C$14)-('Cost of Production'!$C$31+'Cost of Production'!$C$44+N20),((($I$14/100)*$C$14)+N36)-('Cost of Production'!$C$31+'Cost of Production'!$C$44+N20)))</f>
        <v>100.82679999999982</v>
      </c>
      <c r="O49" s="84">
        <f>IF(SUM(O10*($C$14/100))=0,"",IF(ROUND(O9-$I$14,1)&lt;1,(($I$14/100)*$C$14)-('Cost of Production'!$C$31+'Cost of Production'!$C$44+O20),((($I$14/100)*$C$14)+O36)-('Cost of Production'!$C$31+'Cost of Production'!$C$44+O20)))</f>
        <v>85.20010000000002</v>
      </c>
      <c r="P49" s="84">
        <f>IF(SUM(P10*($C$14/100))=0,"",IF(ROUND(P9-$I$14,1)&lt;1,(($I$14/100)*$C$14)-('Cost of Production'!$C$31+'Cost of Production'!$C$44+P20),((($I$14/100)*$C$14)+P36)-('Cost of Production'!$C$31+'Cost of Production'!$C$44+P20)))</f>
        <v>68.351200000000063</v>
      </c>
      <c r="Q49" s="84">
        <f>IF(SUM(Q10*($C$14/100))=0,"",IF(ROUND(Q9-$I$14,1)&lt;1,(($I$14/100)*$C$14)-('Cost of Production'!$C$31+'Cost of Production'!$C$44+Q20),((($I$14/100)*$C$14)+Q36)-('Cost of Production'!$C$31+'Cost of Production'!$C$44+Q20)))</f>
        <v>52.899099999999635</v>
      </c>
      <c r="R49" s="84" t="str">
        <f>IF(SUM(R10*($C$14/100))=0,"",IF(ROUND(R9-$I$14,1)&lt;1,(($I$14/100)*$C$14)-('Cost of Production'!$C$31+'Cost of Production'!$C$46+R20),((($I$14/100)*$C$14)+R36)-('Cost of Production'!$C$31+'Cost of Production'!$C$46+R20)))</f>
        <v/>
      </c>
      <c r="S49" s="84" t="str">
        <f>IF(SUM(S10*($C$14/100))=0,"",IF(ROUND(S9-$I$14,1)&lt;1,(($I$14/100)*$C$14)-('Cost of Production'!$C$31+'Cost of Production'!$C$46+S20),((($I$14/100)*$C$14)+S36)-('Cost of Production'!$C$31+'Cost of Production'!$C$46+S20)))</f>
        <v/>
      </c>
      <c r="T49" s="84" t="str">
        <f>IF(SUM(T10*($C$14/100))=0,"",IF(ROUND(T9-$I$14,1)&lt;1,(($I$14/100)*$C$14)-('Cost of Production'!$C$31+'Cost of Production'!$C$46+T20),((($I$14/100)*$C$14)+T36)-('Cost of Production'!$C$31+'Cost of Production'!$C$46+T20)))</f>
        <v/>
      </c>
      <c r="U49" s="84" t="str">
        <f>IF(SUM(U10*($C$14/100))=0,"",IF(ROUND(U9-$I$14,1)&lt;1,(($I$14/100)*$C$14)-('Cost of Production'!$C$31+'Cost of Production'!$C$46+U20),((($I$14/100)*$C$14)+U36)-('Cost of Production'!$C$31+'Cost of Production'!$C$46+U20)))</f>
        <v/>
      </c>
      <c r="V49" s="84" t="str">
        <f>IF(SUM(V10*($C$14/100))=0,"",IF(ROUND(V9-$I$14,1)&lt;1,(($I$14/100)*$C$14)-('Cost of Production'!$C$31+'Cost of Production'!$C$46+V20),((($I$14/100)*$C$14)+V36)-('Cost of Production'!$C$31+'Cost of Production'!$C$46+V20)))</f>
        <v/>
      </c>
    </row>
    <row r="50" spans="1:27" x14ac:dyDescent="0.3">
      <c r="A50" s="5"/>
      <c r="B50" s="8" t="s">
        <v>2</v>
      </c>
      <c r="C50" s="84">
        <f>IF(SUM(C10*($C$14/100))=0,"",IF(ROUND(C9-$I$14,1)&lt;1,(($I$14/100)*$C$14)-('Cost of Production'!$C$31+'Cost of Production'!$C$41+C20),((($I$14/100)*$C$14)+C36)-('Cost of Production'!$C$31+'Cost of Production'!$C$41+C20)))</f>
        <v>261.3127999999997</v>
      </c>
      <c r="D50" s="84">
        <f>IF(SUM(D10*($C$14/100))=0,"",IF(ROUND(D9-$I$14,1)&lt;1,(($I$14/100)*$C$14)-('Cost of Production'!$C$31+'Cost of Production'!$C$41+D20),((($I$14/100)*$C$14)+D36)-('Cost of Production'!$C$31+'Cost of Production'!$C$41+D20)))</f>
        <v>246.4717999999998</v>
      </c>
      <c r="E50" s="84">
        <f>IF(SUM(E10*($C$14/100))=0,"",IF(ROUND(E9-$I$14,1)&lt;1,(($I$14/100)*$C$14)-('Cost of Production'!$C$31+'Cost of Production'!$C$41+E20),((($I$14/100)*$C$14)+E36)-('Cost of Production'!$C$31+'Cost of Production'!$C$41+E20)))</f>
        <v>230.84509999999955</v>
      </c>
      <c r="F50" s="84">
        <f>IF(SUM(F10*($C$14/100))=0,"",IF(ROUND(F9-$I$14,1)&lt;1,(($I$14/100)*$C$14)-('Cost of Production'!$C$31+'Cost of Production'!$C$41+F20),((($I$14/100)*$C$14)+F36)-('Cost of Production'!$C$31+'Cost of Production'!$C$41+F20)))</f>
        <v>216.61519999999973</v>
      </c>
      <c r="G50" s="84">
        <f>IF(SUM(G10*($C$14/100))=0,"",IF(ROUND(G9-$I$14,1)&lt;1,(($I$14/100)*$C$14)-('Cost of Production'!$C$31+'Cost of Production'!$C$41+G20),((($I$14/100)*$C$14)+G36)-('Cost of Production'!$C$31+'Cost of Production'!$C$41+G20)))</f>
        <v>201.42499999999973</v>
      </c>
      <c r="H50" s="84">
        <f>IF(SUM(H10*($C$14/100))=0,"",IF(ROUND(H9-$I$14,1)&lt;1,(($I$14/100)*$C$14)-('Cost of Production'!$C$31+'Cost of Production'!$C$41+H20),((($I$14/100)*$C$14)+H36)-('Cost of Production'!$C$31+'Cost of Production'!$C$41+H20)))</f>
        <v>185.79829999999947</v>
      </c>
      <c r="I50" s="84">
        <f>IF(SUM(I10*($C$14/100))=0,"",IF(ROUND(I9-$I$14,1)&lt;1,(($I$14/100)*$C$14)-('Cost of Production'!$C$31+'Cost of Production'!$C$41+I20),((($I$14/100)*$C$14)+I36)-('Cost of Production'!$C$31+'Cost of Production'!$C$41+I20)))</f>
        <v>170.60809999999947</v>
      </c>
      <c r="J50" s="84">
        <f>IF(SUM(J10*($C$14/100))=0,"",IF(ROUND(J9-$I$14,1)&lt;1,(($I$14/100)*$C$14)-('Cost of Production'!$C$31+'Cost of Production'!$C$41+J20),((($I$14/100)*$C$14)+J36)-('Cost of Production'!$C$31+'Cost of Production'!$C$41+J20)))</f>
        <v>154.98139999999967</v>
      </c>
      <c r="K50" s="84">
        <f>IF(SUM(K10*($C$14/100))=0,"",IF(ROUND(K9-$I$14,1)&lt;1,(($I$14/100)*$C$14)-('Cost of Production'!$C$31+'Cost of Production'!$C$41+K20),((($I$14/100)*$C$14)+K36)-('Cost of Production'!$C$31+'Cost of Production'!$C$41+K20)))</f>
        <v>139.79119999999966</v>
      </c>
      <c r="L50" s="84">
        <f>IF(SUM(L10*($C$14/100))=0,"",IF(ROUND(L9-$I$14,1)&lt;1,(($I$14/100)*$C$14)-('Cost of Production'!$C$31+'Cost of Production'!$C$41+L20),((($I$14/100)*$C$14)+L36)-('Cost of Production'!$C$31+'Cost of Production'!$C$41+L20)))</f>
        <v>124.42639999999983</v>
      </c>
      <c r="M50" s="84">
        <f>IF(SUM(M10*($C$14/100))=0,"",IF(ROUND(M9-$I$14,1)&lt;1,(($I$14/100)*$C$14)-('Cost of Production'!$C$31+'Cost of Production'!$C$41+M20),((($I$14/100)*$C$14)+M36)-('Cost of Production'!$C$31+'Cost of Production'!$C$41+M20)))</f>
        <v>108.71239999999989</v>
      </c>
      <c r="N50" s="84">
        <f>IF(SUM(N10*($C$14/100))=0,"",IF(ROUND(N9-$I$14,1)&lt;1,(($I$14/100)*$C$14)-('Cost of Production'!$C$31+'Cost of Production'!$C$41+N20),((($I$14/100)*$C$14)+N36)-('Cost of Production'!$C$31+'Cost of Production'!$C$41+N20)))</f>
        <v>93.696799999999712</v>
      </c>
      <c r="O50" s="84">
        <f>IF(SUM(O10*($C$14/100))=0,"",IF(ROUND(O9-$I$14,1)&lt;1,(($I$14/100)*$C$14)-('Cost of Production'!$C$31+'Cost of Production'!$C$41+O20),((($I$14/100)*$C$14)+O36)-('Cost of Production'!$C$31+'Cost of Production'!$C$41+O20)))</f>
        <v>78.070099999999911</v>
      </c>
      <c r="P50" s="84">
        <f>IF(SUM(P10*($C$14/100))=0,"",IF(ROUND(P9-$I$14,1)&lt;1,(($I$14/100)*$C$14)-('Cost of Production'!$C$31+'Cost of Production'!$C$41+P20),((($I$14/100)*$C$14)+P36)-('Cost of Production'!$C$31+'Cost of Production'!$C$41+P20)))</f>
        <v>61.221199999999953</v>
      </c>
      <c r="Q50" s="84">
        <f>IF(SUM(Q10*($C$14/100))=0,"",IF(ROUND(Q9-$I$14,1)&lt;1,(($I$14/100)*$C$14)-('Cost of Production'!$C$31+'Cost of Production'!$C$41+Q20),((($I$14/100)*$C$14)+Q36)-('Cost of Production'!$C$31+'Cost of Production'!$C$41+Q20)))</f>
        <v>45.769099999999526</v>
      </c>
      <c r="R50" s="84" t="str">
        <f>IF(SUM(R10*($C$14/100))=0,"",IF(ROUND(R9-$I$14,1)&lt;1,(($I$14/100)*$C$14)-('Cost of Production'!$C$31+'Cost of Production'!$C$41+R20),((($I$14/100)*$C$14)+R36)-('Cost of Production'!$C$31+'Cost of Production'!$C$41+R20)))</f>
        <v/>
      </c>
      <c r="S50" s="84" t="str">
        <f>IF(SUM(S10*($C$14/100))=0,"",IF(ROUND(S9-$I$14,1)&lt;1,(($I$14/100)*$C$14)-('Cost of Production'!$C$31+'Cost of Production'!$C$41+S20),((($I$14/100)*$C$14)+S36)-('Cost of Production'!$C$31+'Cost of Production'!$C$41+S20)))</f>
        <v/>
      </c>
      <c r="T50" s="84" t="str">
        <f>IF(SUM(T10*($C$14/100))=0,"",IF(ROUND(T9-$I$14,1)&lt;1,(($I$14/100)*$C$14)-('Cost of Production'!$C$31+'Cost of Production'!$C$41+T20),((($I$14/100)*$C$14)+T36)-('Cost of Production'!$C$31+'Cost of Production'!$C$41+T20)))</f>
        <v/>
      </c>
      <c r="U50" s="84" t="str">
        <f>IF(SUM(U10*($C$14/100))=0,"",IF(ROUND(U9-$I$14,1)&lt;1,(($I$14/100)*$C$14)-('Cost of Production'!$C$31+'Cost of Production'!$C$41+U20),((($I$14/100)*$C$14)+U36)-('Cost of Production'!$C$31+'Cost of Production'!$C$41+U20)))</f>
        <v/>
      </c>
      <c r="V50" s="84" t="str">
        <f>IF(SUM(V10*($C$14/100))=0,"",IF(ROUND(V9-$I$14,1)&lt;1,(($I$14/100)*$C$14)-('Cost of Production'!$C$31+'Cost of Production'!$C$41+V20),((($I$14/100)*$C$14)+V36)-('Cost of Production'!$C$31+'Cost of Production'!$C$41+V20)))</f>
        <v/>
      </c>
    </row>
    <row r="51" spans="1:27" x14ac:dyDescent="0.3">
      <c r="A51" s="5"/>
      <c r="B51" s="38" t="s">
        <v>3</v>
      </c>
      <c r="C51" s="85">
        <f>IF(SUM(C10*($C$14/100))=0,"",IF(ROUND(C9-$I$14,1)&lt;1,(($I$14/100)*$C$14)-('Cost of Production'!$C$46+C20),((($I$14/100)*$C$14)+C36)-('Cost of Production'!$C$46+C20)))</f>
        <v>234.3127999999997</v>
      </c>
      <c r="D51" s="85">
        <f>IF(SUM(D10*($C$14/100))=0,"",IF(ROUND(D9-$I$14,1)&lt;1,(($I$14/100)*$C$14)-('Cost of Production'!$C$46+D20),((($I$14/100)*$C$14)+D36)-('Cost of Production'!$C$46+D20)))</f>
        <v>219.4717999999998</v>
      </c>
      <c r="E51" s="85">
        <f>IF(SUM(E10*($C$14/100))=0,"",IF(ROUND(E9-$I$14,1)&lt;1,(($I$14/100)*$C$14)-('Cost of Production'!$C$46+E20),((($I$14/100)*$C$14)+E36)-('Cost of Production'!$C$46+E20)))</f>
        <v>203.84509999999955</v>
      </c>
      <c r="F51" s="85">
        <f>IF(SUM(F10*($C$14/100))=0,"",IF(ROUND(F9-$I$14,1)&lt;1,(($I$14/100)*$C$14)-('Cost of Production'!$C$46+F20),((($I$14/100)*$C$14)+F36)-('Cost of Production'!$C$46+F20)))</f>
        <v>189.61519999999973</v>
      </c>
      <c r="G51" s="85">
        <f>IF(SUM(G10*($C$14/100))=0,"",IF(ROUND(G9-$I$14,1)&lt;1,(($I$14/100)*$C$14)-('Cost of Production'!$C$46+G20),((($I$14/100)*$C$14)+G36)-('Cost of Production'!$C$46+G20)))</f>
        <v>174.42499999999973</v>
      </c>
      <c r="H51" s="85">
        <f>IF(SUM(H10*($C$14/100))=0,"",IF(ROUND(H9-$I$14,1)&lt;1,(($I$14/100)*$C$14)-('Cost of Production'!$C$46+H20),((($I$14/100)*$C$14)+H36)-('Cost of Production'!$C$46+H20)))</f>
        <v>158.79829999999947</v>
      </c>
      <c r="I51" s="85">
        <f>IF(SUM(I10*($C$14/100))=0,"",IF(ROUND(I9-$I$14,1)&lt;1,(($I$14/100)*$C$14)-('Cost of Production'!$C$46+I20),((($I$14/100)*$C$14)+I36)-('Cost of Production'!$C$46+I20)))</f>
        <v>143.60809999999947</v>
      </c>
      <c r="J51" s="85">
        <f>IF(SUM(J10*($C$14/100))=0,"",IF(ROUND(J9-$I$14,1)&lt;1,(($I$14/100)*$C$14)-('Cost of Production'!$C$46+J20),((($I$14/100)*$C$14)+J36)-('Cost of Production'!$C$46+J20)))</f>
        <v>127.98139999999967</v>
      </c>
      <c r="K51" s="85">
        <f>IF(SUM(K10*($C$14/100))=0,"",IF(ROUND(K9-$I$14,1)&lt;1,(($I$14/100)*$C$14)-('Cost of Production'!$C$46+K20),((($I$14/100)*$C$14)+K36)-('Cost of Production'!$C$46+K20)))</f>
        <v>112.79119999999966</v>
      </c>
      <c r="L51" s="85">
        <f>IF(SUM(L10*($C$14/100))=0,"",IF(ROUND(L9-$I$14,1)&lt;1,(($I$14/100)*$C$14)-('Cost of Production'!$C$46+L20),((($I$14/100)*$C$14)+L36)-('Cost of Production'!$C$46+L20)))</f>
        <v>97.42639999999983</v>
      </c>
      <c r="M51" s="85">
        <f>IF(SUM(M10*($C$14/100))=0,"",IF(ROUND(M9-$I$14,1)&lt;1,(($I$14/100)*$C$14)-('Cost of Production'!$C$46+M20),((($I$14/100)*$C$14)+M36)-('Cost of Production'!$C$46+M20)))</f>
        <v>81.712399999999889</v>
      </c>
      <c r="N51" s="85">
        <f>IF(SUM(N10*($C$14/100))=0,"",IF(ROUND(N9-$I$14,1)&lt;1,(($I$14/100)*$C$14)-('Cost of Production'!$C$46+N20),((($I$14/100)*$C$14)+N36)-('Cost of Production'!$C$46+N20)))</f>
        <v>66.696799999999712</v>
      </c>
      <c r="O51" s="85">
        <f>IF(SUM(O10*($C$14/100))=0,"",IF(ROUND(O9-$I$14,1)&lt;1,(($I$14/100)*$C$14)-('Cost of Production'!$C$46+O20),((($I$14/100)*$C$14)+O36)-('Cost of Production'!$C$46+O20)))</f>
        <v>51.070099999999911</v>
      </c>
      <c r="P51" s="85">
        <f>IF(SUM(P10*($C$14/100))=0,"",IF(ROUND(P9-$I$14,1)&lt;1,(($I$14/100)*$C$14)-('Cost of Production'!$C$46+P20),((($I$14/100)*$C$14)+P36)-('Cost of Production'!$C$46+P20)))</f>
        <v>34.221199999999953</v>
      </c>
      <c r="Q51" s="85">
        <f>IF(SUM(Q10*($C$14/100))=0,"",IF(ROUND(Q9-$I$14,1)&lt;1,(($I$14/100)*$C$14)-('Cost of Production'!$C$46+Q20),((($I$14/100)*$C$14)+Q36)-('Cost of Production'!$C$46+Q20)))</f>
        <v>18.769099999999526</v>
      </c>
      <c r="R51" s="85" t="str">
        <f>IF(SUM(R10*($C$14/100))=0,"",IF(ROUND(R9-$I$14,1)&lt;1,(($I$14/100)*$C$14)-('Cost of Production'!$C$48+R20),((($I$14/100)*$C$14)+R36)-('Cost of Production'!$C$48+R20)))</f>
        <v/>
      </c>
      <c r="S51" s="85" t="str">
        <f>IF(SUM(S10*($C$14/100))=0,"",IF(ROUND(S9-$I$14,1)&lt;1,(($I$14/100)*$C$14)-('Cost of Production'!$C$48+S20),((($I$14/100)*$C$14)+S36)-('Cost of Production'!$C$48+S20)))</f>
        <v/>
      </c>
      <c r="T51" s="85" t="str">
        <f>IF(SUM(T10*($C$14/100))=0,"",IF(ROUND(T9-$I$14,1)&lt;1,(($I$14/100)*$C$14)-('Cost of Production'!$C$48+T20),((($I$14/100)*$C$14)+T36)-('Cost of Production'!$C$48+T20)))</f>
        <v/>
      </c>
      <c r="U51" s="85" t="str">
        <f>IF(SUM(U10*($C$14/100))=0,"",IF(ROUND(U9-$I$14,1)&lt;1,(($I$14/100)*$C$14)-('Cost of Production'!$C$48+U20),((($I$14/100)*$C$14)+U36)-('Cost of Production'!$C$48+U20)))</f>
        <v/>
      </c>
      <c r="V51" s="85" t="str">
        <f>IF(SUM(V10*($C$14/100))=0,"",IF(ROUND(V9-$I$14,1)&lt;1,(($I$14/100)*$C$14)-('Cost of Production'!$C$48+V20),((($I$14/100)*$C$14)+V36)-('Cost of Production'!$C$48+V20)))</f>
        <v/>
      </c>
    </row>
    <row r="52" spans="1:27" ht="7.5" customHeight="1" x14ac:dyDescent="0.3">
      <c r="A52" s="7"/>
      <c r="B52" s="11"/>
    </row>
    <row r="53" spans="1:27" x14ac:dyDescent="0.3">
      <c r="A53" s="182" t="s">
        <v>105</v>
      </c>
      <c r="B53" s="182"/>
      <c r="C53" s="182"/>
      <c r="D53" s="182"/>
      <c r="E53" s="182"/>
      <c r="F53" s="182"/>
      <c r="G53" s="182"/>
      <c r="H53" s="182"/>
      <c r="I53" s="182"/>
      <c r="J53" s="182"/>
      <c r="K53" s="182"/>
      <c r="L53" s="182"/>
      <c r="M53" s="182"/>
      <c r="N53" s="182"/>
      <c r="O53" s="182"/>
      <c r="P53" s="182"/>
      <c r="Q53" s="182"/>
      <c r="R53" s="182"/>
      <c r="S53" s="182"/>
      <c r="T53" s="182"/>
      <c r="U53" s="182"/>
      <c r="V53" s="182"/>
      <c r="W53" s="1"/>
      <c r="X53" s="1"/>
      <c r="Y53" s="1"/>
      <c r="Z53" s="1"/>
      <c r="AA53" s="1"/>
    </row>
    <row r="54" spans="1:27" s="56" customFormat="1" ht="7.5" customHeight="1" x14ac:dyDescent="0.3">
      <c r="A54" s="55"/>
      <c r="B54" s="55"/>
      <c r="C54" s="55"/>
      <c r="D54" s="55"/>
      <c r="E54" s="55"/>
      <c r="F54" s="55"/>
      <c r="G54" s="55"/>
      <c r="H54" s="55"/>
      <c r="I54" s="55"/>
      <c r="J54" s="55"/>
      <c r="K54" s="55"/>
      <c r="L54" s="55"/>
      <c r="M54" s="55"/>
      <c r="N54" s="55"/>
      <c r="O54" s="55"/>
      <c r="P54" s="55"/>
      <c r="Q54" s="55"/>
      <c r="R54" s="55"/>
      <c r="S54" s="55"/>
      <c r="T54" s="55"/>
      <c r="U54" s="55"/>
      <c r="V54" s="55"/>
      <c r="W54" s="1"/>
      <c r="X54" s="1"/>
      <c r="Y54" s="1"/>
      <c r="Z54" s="1"/>
      <c r="AA54" s="1"/>
    </row>
    <row r="55" spans="1:27" ht="15.75" customHeight="1" x14ac:dyDescent="0.3">
      <c r="A55" s="89" t="str">
        <f>"Premium Cost ($/head) = Insured Weight (cwt) x Premium ($/cwt)   (eg. ("&amp;C14&amp;"lbs /100) x $"&amp;J10&amp;" = $"&amp;TEXT(J20,"0.00")&amp;")"</f>
        <v>Premium Cost ($/head) = Insured Weight (cwt) x Premium ($/cwt)   (eg. (873lbs /100) x $6.82 = $59.54)</v>
      </c>
      <c r="B55" s="90"/>
      <c r="C55" s="75"/>
      <c r="D55" s="75"/>
      <c r="E55" s="75"/>
      <c r="F55" s="75"/>
      <c r="G55" s="75"/>
      <c r="H55" s="75"/>
      <c r="I55" s="75"/>
      <c r="J55" s="75"/>
      <c r="K55" s="75"/>
      <c r="L55" s="75"/>
      <c r="P55" s="56"/>
      <c r="Q55" s="75"/>
      <c r="R55" s="144" t="s">
        <v>93</v>
      </c>
      <c r="S55" s="119">
        <v>320</v>
      </c>
      <c r="T55" s="120" t="s">
        <v>59</v>
      </c>
      <c r="U55" s="56"/>
    </row>
    <row r="56" spans="1:27" ht="15.75" customHeight="1" x14ac:dyDescent="0.3">
      <c r="A56" s="89" t="str">
        <f>"Insured Value ($/head) = Insured Index ($/cwt) x Insured Weight (cwt)   (eg. $"&amp;J9&amp;" x ("&amp;C14&amp;"lbs/100) = $"&amp;J21&amp;")"</f>
        <v>Insured Value ($/head) = Insured Index ($/cwt) x Insured Weight (cwt)   (eg. $318 x (873lbs/100) = $2776.14)</v>
      </c>
      <c r="B56" s="90"/>
      <c r="C56" s="75"/>
      <c r="D56" s="75"/>
      <c r="E56" s="75"/>
      <c r="F56" s="75"/>
      <c r="G56" s="75"/>
      <c r="H56" s="75"/>
      <c r="I56" s="75"/>
      <c r="J56" s="75"/>
      <c r="K56" s="75"/>
      <c r="L56" s="75"/>
      <c r="Q56" s="92" t="s">
        <v>94</v>
      </c>
    </row>
    <row r="57" spans="1:27" ht="15.75" customHeight="1" x14ac:dyDescent="0.3">
      <c r="A57" s="89" t="str">
        <f>"Premium Cost (% of Insured Value) = Premium Cost ($/head) / Insured Value ($/head)   (eg. $"&amp;TEXT(J20,"0.00")&amp;" / $"&amp;J21&amp;" = "&amp;ROUND(J23*100,2)&amp;"%)"</f>
        <v>Premium Cost (% of Insured Value) = Premium Cost ($/head) / Insured Value ($/head)   (eg. $59.54 / $2776.14 = 2.14%)</v>
      </c>
      <c r="B57" s="90"/>
      <c r="C57" s="75"/>
      <c r="D57" s="75"/>
      <c r="E57" s="75"/>
      <c r="F57" s="75"/>
      <c r="G57" s="75"/>
      <c r="H57" s="75"/>
      <c r="I57" s="75"/>
      <c r="J57" s="75"/>
      <c r="K57" s="75"/>
      <c r="L57" s="75"/>
    </row>
    <row r="58" spans="1:27" ht="15.75" customHeight="1" x14ac:dyDescent="0.3">
      <c r="A58" s="89"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($59.54 - $57.27) / ($2776.14 - $2758.68) = $.13)</v>
      </c>
      <c r="B58" s="90"/>
      <c r="C58" s="75"/>
      <c r="D58" s="75"/>
      <c r="E58" s="75"/>
      <c r="F58" s="75"/>
      <c r="G58" s="75"/>
      <c r="H58" s="75"/>
      <c r="I58" s="75"/>
      <c r="J58" s="75"/>
    </row>
    <row r="59" spans="1:27" ht="15.75" customHeight="1" x14ac:dyDescent="0.3">
      <c r="A59" s="89" t="str">
        <f>"LPIP Payment ($/head) = (Insured Index ($/cwt) - Estimated Settlement Price ($/cwt))) x (Insured  Weight (lbs)/100)     (eg. ($"&amp;J9&amp;" - $"&amp;$I$14&amp;") x ("&amp;$C$14&amp;" lbs/100) = $"&amp;J36&amp;")"</f>
        <v>LPIP Payment ($/head) = (Insured Index ($/cwt) - Estimated Settlement Price ($/cwt))) x (Insured  Weight (lbs)/100)     (eg. ($318 - $280) x (873 lbs/100) = $331.74)</v>
      </c>
      <c r="B59" s="90"/>
      <c r="C59" s="75"/>
      <c r="D59" s="75"/>
      <c r="E59" s="75"/>
      <c r="F59" s="75"/>
      <c r="G59" s="75"/>
      <c r="H59" s="75"/>
      <c r="I59" s="75"/>
      <c r="J59" s="75"/>
      <c r="K59" s="75"/>
      <c r="L59" s="75"/>
    </row>
    <row r="60" spans="1:27" ht="15.75" customHeight="1" x14ac:dyDescent="0.3">
      <c r="A60" s="89" t="str">
        <f>"Cost Not Covered by LPIP Insured Value ($/head) =  Cost of Production ($/head) + LPIP Premium ($/head) - LPIP Insured Value ($/head)   (eg. $"&amp;ROUND('Cost of Production'!$C$46,0)&amp;" + $"&amp;TEXT(J20,"0.00")&amp;" - $"&amp;J21&amp;" = $"&amp;ROUND(IF(J20+'Cost of Production'!$C$48-' LPI Calculator'!J21&lt;0,0,SUM(J20+'Cost of Production'!$C$48-' LPI Calculator'!J21)),2)&amp;")"</f>
        <v>Cost Not Covered by LPIP Insured Value ($/head) =  Cost of Production ($/head) + LPIP Premium ($/head) - LPIP Insured Value ($/head)   (eg. $2589 + $59.54 - $2776.14 = $0)</v>
      </c>
      <c r="B60" s="90"/>
      <c r="C60" s="75"/>
      <c r="D60" s="75"/>
      <c r="E60" s="75"/>
      <c r="F60" s="75"/>
      <c r="G60" s="75"/>
      <c r="H60" s="75"/>
      <c r="I60" s="75"/>
      <c r="J60" s="75"/>
      <c r="K60" s="75"/>
      <c r="L60" s="75"/>
    </row>
    <row r="61" spans="1:27" ht="15.6" customHeight="1" x14ac:dyDescent="0.3">
      <c r="A61" s="89" t="str">
        <f>"Marginal Return ($/head) = ((Est. Settlement Price ($/cwt) x (Insured Weight (lbs) / 100)) + LPIP Payment ($/head) - (Costs ($/head) + LPIP Premium($/head)))   (eg. (($"&amp;$I$14&amp;" x ("&amp;$C$14&amp;" lbs/100)) + $"&amp;ROUND(C36,0)&amp;" - ($"&amp;ROUND('Cost of Production'!$C$48,0)&amp;" + $"&amp;TEXT(C20,"0.00")&amp;") = $"&amp;TEXT(C51,"0.00")&amp;")"</f>
        <v>Marginal Return ($/head) = ((Est. Settlement Price ($/cwt) x (Insured Weight (lbs) / 100)) + LPIP Payment ($/head) - (Costs ($/head) + LPIP Premium($/head)))   (eg. (($280 x (873 lbs/100)) + $454 - ($0 + $75.43) = $234.31)</v>
      </c>
      <c r="B61" s="90"/>
      <c r="C61" s="75"/>
      <c r="D61" s="75"/>
      <c r="E61" s="75"/>
      <c r="F61" s="75"/>
      <c r="G61" s="75"/>
      <c r="H61" s="75"/>
      <c r="I61" s="75"/>
      <c r="J61" s="75"/>
      <c r="K61" s="75"/>
    </row>
    <row r="62" spans="1:27" ht="7.5" customHeight="1" x14ac:dyDescent="0.3">
      <c r="A62" s="86"/>
      <c r="B62" s="75"/>
      <c r="C62" s="75"/>
      <c r="D62" s="75"/>
      <c r="E62" s="75"/>
      <c r="F62" s="75"/>
      <c r="G62" s="75"/>
      <c r="H62" s="75"/>
      <c r="I62" s="75"/>
      <c r="J62" s="75"/>
      <c r="K62" s="75"/>
    </row>
    <row r="63" spans="1:27" x14ac:dyDescent="0.3">
      <c r="A63" s="181"/>
      <c r="B63" s="181"/>
      <c r="C63" s="181"/>
      <c r="D63" s="181"/>
      <c r="E63" s="181"/>
      <c r="F63" s="181"/>
      <c r="G63" s="181"/>
      <c r="H63" s="181"/>
      <c r="I63" s="181"/>
      <c r="J63" s="181"/>
      <c r="K63" s="181"/>
      <c r="L63" s="181"/>
      <c r="M63" s="181"/>
      <c r="N63" s="181"/>
      <c r="O63" s="181"/>
      <c r="P63" s="181"/>
      <c r="Q63" s="181"/>
      <c r="R63" s="181"/>
      <c r="S63" s="181"/>
      <c r="T63" s="181"/>
      <c r="U63" s="181"/>
      <c r="V63" s="181"/>
      <c r="W63" s="1"/>
      <c r="X63" s="1"/>
      <c r="Y63" s="1"/>
      <c r="Z63" s="1"/>
      <c r="AA63" s="1"/>
    </row>
    <row r="64" spans="1:27" ht="7.5" customHeight="1" x14ac:dyDescent="0.3"/>
    <row r="109" spans="1:22" s="23" customFormat="1" ht="12.75" customHeight="1" x14ac:dyDescent="0.25">
      <c r="A109" s="57" t="s">
        <v>13</v>
      </c>
      <c r="B109" s="57"/>
      <c r="C109" s="57"/>
      <c r="D109" s="57"/>
      <c r="E109" s="57"/>
      <c r="F109" s="57"/>
      <c r="G109" s="57"/>
      <c r="H109" s="57"/>
      <c r="I109" s="57"/>
      <c r="J109" s="57"/>
      <c r="K109" s="57"/>
    </row>
    <row r="110" spans="1:22" s="23" customFormat="1" ht="18" customHeight="1" x14ac:dyDescent="0.25">
      <c r="A110" s="68"/>
      <c r="B110" s="68"/>
      <c r="C110" s="68"/>
      <c r="D110" s="68"/>
      <c r="E110" s="68"/>
      <c r="F110" s="68"/>
      <c r="G110" s="68"/>
      <c r="H110" s="68"/>
      <c r="I110" s="68"/>
      <c r="J110" s="68"/>
      <c r="K110" s="68"/>
      <c r="L110" s="68"/>
      <c r="M110" s="68"/>
      <c r="N110" s="68"/>
      <c r="O110" s="68"/>
      <c r="P110" s="68"/>
      <c r="Q110" s="68"/>
      <c r="R110" s="68"/>
      <c r="S110" s="28"/>
      <c r="T110" s="28"/>
      <c r="U110" s="28"/>
      <c r="V110" s="28"/>
    </row>
    <row r="111" spans="1:22" s="23" customFormat="1" ht="18" customHeight="1" x14ac:dyDescent="0.3">
      <c r="A111" s="176"/>
      <c r="B111" s="177"/>
      <c r="C111" s="177"/>
      <c r="D111" s="177"/>
      <c r="E111" s="177"/>
      <c r="F111" s="177"/>
      <c r="G111" s="178"/>
      <c r="H111" s="178"/>
      <c r="I111" s="178"/>
      <c r="J111" s="178"/>
      <c r="K111" s="179"/>
      <c r="V111" s="180" t="s">
        <v>176</v>
      </c>
    </row>
  </sheetData>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formula1>$BB$4:$BM$4</formula1>
    </dataValidation>
    <dataValidation type="list" allowBlank="1" showInputMessage="1" showErrorMessage="1" sqref="H7">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rowBreaks count="1" manualBreakCount="1">
    <brk id="6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O101"/>
  <sheetViews>
    <sheetView zoomScaleNormal="100" workbookViewId="0">
      <selection activeCell="A4" sqref="A4:J6"/>
    </sheetView>
  </sheetViews>
  <sheetFormatPr defaultColWidth="8.7265625" defaultRowHeight="13.2" x14ac:dyDescent="0.25"/>
  <cols>
    <col min="1" max="2" width="2.7265625" style="141" customWidth="1"/>
    <col min="3" max="5" width="10.6328125" style="141" customWidth="1"/>
    <col min="6" max="6" width="11.08984375" style="141" customWidth="1"/>
    <col min="7" max="10" width="10.6328125" style="141" customWidth="1"/>
    <col min="11" max="11" width="8.7265625" style="141"/>
    <col min="12" max="16384" width="8.7265625" style="142"/>
  </cols>
  <sheetData>
    <row r="2" spans="1:15" ht="19.5" customHeight="1" x14ac:dyDescent="0.25"/>
    <row r="3" spans="1:15" s="133" customFormat="1" ht="20.25" customHeight="1" x14ac:dyDescent="0.25">
      <c r="A3" s="184" t="s">
        <v>155</v>
      </c>
      <c r="B3" s="184"/>
      <c r="C3" s="184"/>
      <c r="D3" s="184"/>
      <c r="E3" s="184"/>
      <c r="F3" s="184"/>
      <c r="G3" s="184"/>
      <c r="H3" s="184"/>
      <c r="I3" s="184"/>
      <c r="J3" s="184"/>
      <c r="K3" s="131"/>
      <c r="L3" s="132"/>
      <c r="M3" s="132"/>
      <c r="N3" s="132"/>
      <c r="O3" s="132"/>
    </row>
    <row r="4" spans="1:15" s="135" customFormat="1" ht="15.75" customHeight="1" x14ac:dyDescent="0.25">
      <c r="A4" s="185" t="s">
        <v>156</v>
      </c>
      <c r="B4" s="185"/>
      <c r="C4" s="185"/>
      <c r="D4" s="185"/>
      <c r="E4" s="185"/>
      <c r="F4" s="185"/>
      <c r="G4" s="185"/>
      <c r="H4" s="185"/>
      <c r="I4" s="185"/>
      <c r="J4" s="185"/>
      <c r="K4" s="134"/>
    </row>
    <row r="5" spans="1:15" s="135" customFormat="1" ht="15.75" customHeight="1" x14ac:dyDescent="0.25">
      <c r="A5" s="185"/>
      <c r="B5" s="185"/>
      <c r="C5" s="185"/>
      <c r="D5" s="185"/>
      <c r="E5" s="185"/>
      <c r="F5" s="185"/>
      <c r="G5" s="185"/>
      <c r="H5" s="185"/>
      <c r="I5" s="185"/>
      <c r="J5" s="185"/>
      <c r="K5" s="134"/>
    </row>
    <row r="6" spans="1:15" s="135" customFormat="1" ht="15.75" customHeight="1" x14ac:dyDescent="0.25">
      <c r="A6" s="185"/>
      <c r="B6" s="185"/>
      <c r="C6" s="185"/>
      <c r="D6" s="185"/>
      <c r="E6" s="185"/>
      <c r="F6" s="185"/>
      <c r="G6" s="185"/>
      <c r="H6" s="185"/>
      <c r="I6" s="185"/>
      <c r="J6" s="185"/>
      <c r="K6" s="134"/>
    </row>
    <row r="7" spans="1:15" s="135" customFormat="1" ht="7.5" customHeight="1" x14ac:dyDescent="0.25">
      <c r="A7" s="136"/>
      <c r="B7" s="136"/>
      <c r="C7" s="136"/>
      <c r="D7" s="136"/>
      <c r="E7" s="136"/>
      <c r="F7" s="136"/>
      <c r="G7" s="136"/>
      <c r="H7" s="136"/>
      <c r="I7" s="136"/>
      <c r="J7" s="136"/>
      <c r="K7" s="134"/>
    </row>
    <row r="8" spans="1:15" s="138" customFormat="1" ht="15.75" customHeight="1" x14ac:dyDescent="0.25">
      <c r="A8" s="148" t="s">
        <v>157</v>
      </c>
      <c r="B8" s="148"/>
      <c r="C8" s="148"/>
      <c r="D8" s="148"/>
      <c r="E8" s="148"/>
      <c r="F8" s="137"/>
      <c r="G8" s="137"/>
      <c r="H8" s="137"/>
      <c r="I8" s="137"/>
      <c r="J8" s="137"/>
      <c r="K8" s="137"/>
    </row>
    <row r="9" spans="1:15" s="138" customFormat="1" ht="15.75" customHeight="1" x14ac:dyDescent="0.25">
      <c r="A9" s="145"/>
      <c r="B9" s="187" t="s">
        <v>173</v>
      </c>
      <c r="C9" s="187"/>
      <c r="D9" s="187"/>
      <c r="E9" s="172"/>
      <c r="F9" s="137"/>
      <c r="G9" s="137"/>
      <c r="H9" s="137"/>
      <c r="I9" s="137"/>
      <c r="J9" s="137"/>
      <c r="K9" s="137"/>
    </row>
    <row r="10" spans="1:15" s="138" customFormat="1" ht="16.2" customHeight="1" x14ac:dyDescent="0.25">
      <c r="A10" s="139"/>
      <c r="B10" s="188" t="s">
        <v>95</v>
      </c>
      <c r="C10" s="188"/>
      <c r="D10" s="188"/>
      <c r="E10" s="188"/>
      <c r="F10" s="137"/>
      <c r="G10" s="137"/>
      <c r="H10" s="137"/>
      <c r="I10" s="137"/>
      <c r="J10" s="137"/>
      <c r="K10" s="137"/>
    </row>
    <row r="11" spans="1:15" s="133" customFormat="1" ht="24" customHeight="1" x14ac:dyDescent="0.25">
      <c r="A11" s="131"/>
      <c r="B11" s="131"/>
      <c r="C11" s="186" t="s">
        <v>140</v>
      </c>
      <c r="D11" s="186"/>
      <c r="E11" s="186"/>
      <c r="F11" s="186"/>
      <c r="G11" s="186"/>
      <c r="H11" s="186"/>
      <c r="I11" s="186"/>
      <c r="J11" s="186"/>
      <c r="K11" s="131"/>
    </row>
    <row r="12" spans="1:15" s="133" customFormat="1" ht="15.75" customHeight="1" x14ac:dyDescent="0.25">
      <c r="A12" s="131"/>
      <c r="B12" s="131"/>
      <c r="C12" s="186"/>
      <c r="D12" s="186"/>
      <c r="E12" s="186"/>
      <c r="F12" s="186"/>
      <c r="G12" s="186"/>
      <c r="H12" s="186"/>
      <c r="I12" s="186"/>
      <c r="J12" s="186"/>
      <c r="K12" s="131"/>
    </row>
    <row r="13" spans="1:15" s="133" customFormat="1" ht="15.75" customHeight="1" x14ac:dyDescent="0.25">
      <c r="A13" s="131"/>
      <c r="B13" s="131"/>
      <c r="C13" s="140"/>
      <c r="D13" s="140"/>
      <c r="E13" s="140"/>
      <c r="F13" s="140"/>
      <c r="G13" s="140"/>
      <c r="H13" s="140"/>
      <c r="I13" s="140"/>
      <c r="J13" s="140"/>
      <c r="K13" s="131"/>
    </row>
    <row r="14" spans="1:15" s="133" customFormat="1" ht="15.75" customHeight="1" x14ac:dyDescent="0.25">
      <c r="A14" s="131"/>
      <c r="B14" s="131"/>
      <c r="C14" s="140"/>
      <c r="D14" s="140"/>
      <c r="E14" s="140"/>
      <c r="F14" s="140"/>
      <c r="G14" s="140"/>
      <c r="H14" s="140"/>
      <c r="I14" s="140"/>
      <c r="J14" s="140"/>
      <c r="K14" s="131"/>
    </row>
    <row r="15" spans="1:15" s="133" customFormat="1" ht="15.75" customHeight="1" x14ac:dyDescent="0.25">
      <c r="A15" s="131"/>
      <c r="B15" s="131"/>
      <c r="C15" s="140"/>
      <c r="D15" s="140"/>
      <c r="E15" s="140"/>
      <c r="F15" s="140"/>
      <c r="G15" s="140"/>
      <c r="H15" s="140"/>
      <c r="I15" s="140"/>
      <c r="J15" s="140"/>
      <c r="K15" s="131"/>
    </row>
    <row r="16" spans="1:15" s="133" customFormat="1" ht="15.75" customHeight="1" x14ac:dyDescent="0.25">
      <c r="A16" s="131"/>
      <c r="B16" s="131"/>
      <c r="C16" s="140"/>
      <c r="D16" s="140"/>
      <c r="E16" s="140"/>
      <c r="F16" s="140"/>
      <c r="G16" s="140"/>
      <c r="H16" s="140"/>
      <c r="I16" s="140"/>
      <c r="J16" s="140"/>
      <c r="K16" s="131"/>
    </row>
    <row r="17" spans="1:11" s="133" customFormat="1" ht="15.75" customHeight="1" x14ac:dyDescent="0.25">
      <c r="A17" s="131"/>
      <c r="B17" s="131"/>
      <c r="C17" s="140"/>
      <c r="D17" s="140"/>
      <c r="E17" s="140"/>
      <c r="F17" s="140"/>
      <c r="G17" s="140"/>
      <c r="H17" s="140"/>
      <c r="I17" s="140"/>
      <c r="J17" s="140"/>
      <c r="K17" s="131"/>
    </row>
    <row r="18" spans="1:11" s="133" customFormat="1" ht="15.75" customHeight="1" x14ac:dyDescent="0.25">
      <c r="A18" s="131"/>
      <c r="B18" s="131"/>
      <c r="C18" s="140"/>
      <c r="D18" s="140"/>
      <c r="E18" s="140"/>
      <c r="F18" s="140"/>
      <c r="G18" s="140"/>
      <c r="H18" s="140"/>
      <c r="I18" s="140"/>
      <c r="J18" s="140"/>
      <c r="K18" s="131"/>
    </row>
    <row r="19" spans="1:11" s="133" customFormat="1" ht="15.75" customHeight="1" x14ac:dyDescent="0.25">
      <c r="A19" s="131"/>
      <c r="B19" s="131"/>
      <c r="C19" s="140"/>
      <c r="D19" s="140"/>
      <c r="E19" s="140"/>
      <c r="F19" s="140"/>
      <c r="G19" s="140"/>
      <c r="H19" s="140"/>
      <c r="I19" s="140"/>
      <c r="J19" s="140"/>
      <c r="K19" s="131"/>
    </row>
    <row r="20" spans="1:11" s="133" customFormat="1" ht="15.75" customHeight="1" x14ac:dyDescent="0.25">
      <c r="A20" s="131"/>
      <c r="B20" s="131"/>
      <c r="C20" s="140"/>
      <c r="D20" s="140"/>
      <c r="E20" s="140"/>
      <c r="F20" s="140"/>
      <c r="G20" s="140"/>
      <c r="H20" s="140"/>
      <c r="I20" s="140"/>
      <c r="J20" s="140"/>
      <c r="K20" s="131"/>
    </row>
    <row r="21" spans="1:11" s="133" customFormat="1" ht="15.75" customHeight="1" x14ac:dyDescent="0.25">
      <c r="A21" s="131"/>
      <c r="B21" s="131"/>
      <c r="C21" s="140"/>
      <c r="D21" s="140"/>
      <c r="E21" s="140"/>
      <c r="F21" s="140"/>
      <c r="G21" s="140"/>
      <c r="H21" s="140"/>
      <c r="I21" s="140"/>
      <c r="J21" s="140"/>
      <c r="K21" s="131"/>
    </row>
    <row r="22" spans="1:11" s="133" customFormat="1" ht="15.75" customHeight="1" x14ac:dyDescent="0.25">
      <c r="A22" s="131"/>
      <c r="B22" s="131"/>
      <c r="C22" s="140"/>
      <c r="D22" s="140"/>
      <c r="E22" s="140"/>
      <c r="F22" s="140"/>
      <c r="G22" s="140"/>
      <c r="H22" s="140"/>
      <c r="I22" s="140"/>
      <c r="J22" s="140"/>
      <c r="K22" s="131"/>
    </row>
    <row r="23" spans="1:11" s="133" customFormat="1" ht="15.75" customHeight="1" x14ac:dyDescent="0.25">
      <c r="A23" s="131"/>
      <c r="B23" s="131"/>
      <c r="C23" s="140"/>
      <c r="D23" s="140"/>
      <c r="E23" s="140"/>
      <c r="F23" s="140"/>
      <c r="G23" s="140"/>
      <c r="H23" s="140"/>
      <c r="I23" s="140"/>
      <c r="J23" s="140"/>
      <c r="K23" s="131"/>
    </row>
    <row r="24" spans="1:11" s="133" customFormat="1" ht="15.75" customHeight="1" x14ac:dyDescent="0.25">
      <c r="A24" s="131"/>
      <c r="B24" s="131"/>
      <c r="C24" s="140"/>
      <c r="D24" s="140"/>
      <c r="E24" s="140"/>
      <c r="F24" s="140"/>
      <c r="G24" s="140"/>
      <c r="H24" s="140"/>
      <c r="I24" s="140"/>
      <c r="J24" s="140"/>
      <c r="K24" s="131"/>
    </row>
    <row r="25" spans="1:11" s="133" customFormat="1" ht="15.75" customHeight="1" x14ac:dyDescent="0.25">
      <c r="A25" s="131"/>
      <c r="B25" s="131"/>
      <c r="C25" s="140"/>
      <c r="D25" s="140"/>
      <c r="E25" s="140"/>
      <c r="F25" s="140"/>
      <c r="G25" s="140"/>
      <c r="H25" s="140"/>
      <c r="I25" s="140"/>
      <c r="J25" s="140"/>
      <c r="K25" s="131"/>
    </row>
    <row r="26" spans="1:11" s="133" customFormat="1" ht="15.75" customHeight="1" x14ac:dyDescent="0.25">
      <c r="A26" s="131"/>
      <c r="B26" s="131"/>
      <c r="C26" s="140"/>
      <c r="D26" s="140"/>
      <c r="E26" s="140"/>
      <c r="F26" s="140"/>
      <c r="G26" s="140"/>
      <c r="H26" s="140"/>
      <c r="I26" s="140"/>
      <c r="J26" s="140"/>
      <c r="K26" s="131"/>
    </row>
    <row r="27" spans="1:11" s="133" customFormat="1" ht="15.75" customHeight="1" x14ac:dyDescent="0.25">
      <c r="A27" s="131"/>
      <c r="B27" s="131"/>
      <c r="C27" s="140"/>
      <c r="D27" s="140"/>
      <c r="E27" s="140"/>
      <c r="F27" s="140"/>
      <c r="G27" s="140"/>
      <c r="H27" s="140"/>
      <c r="I27" s="140"/>
      <c r="J27" s="140"/>
      <c r="K27" s="131"/>
    </row>
    <row r="28" spans="1:11" s="133" customFormat="1" ht="15.75" customHeight="1" x14ac:dyDescent="0.25">
      <c r="A28" s="131"/>
      <c r="B28" s="131"/>
      <c r="C28" s="140"/>
      <c r="D28" s="140"/>
      <c r="E28" s="140"/>
      <c r="F28" s="140"/>
      <c r="G28" s="140"/>
      <c r="H28" s="140"/>
      <c r="I28" s="140"/>
      <c r="J28" s="140"/>
      <c r="K28" s="131"/>
    </row>
    <row r="29" spans="1:11" s="133" customFormat="1" ht="15.75" customHeight="1" x14ac:dyDescent="0.25">
      <c r="A29" s="131"/>
      <c r="B29" s="131"/>
      <c r="C29" s="140"/>
      <c r="D29" s="140"/>
      <c r="E29" s="140"/>
      <c r="F29" s="140"/>
      <c r="G29" s="140"/>
      <c r="H29" s="140"/>
      <c r="I29" s="140"/>
      <c r="J29" s="140"/>
      <c r="K29" s="131"/>
    </row>
    <row r="30" spans="1:11" s="133" customFormat="1" ht="15.75" customHeight="1" x14ac:dyDescent="0.25">
      <c r="A30" s="131"/>
      <c r="B30" s="131"/>
      <c r="C30" s="140"/>
      <c r="D30" s="140"/>
      <c r="E30" s="140"/>
      <c r="F30" s="140"/>
      <c r="G30" s="140"/>
      <c r="H30" s="140"/>
      <c r="I30" s="140"/>
      <c r="J30" s="140"/>
      <c r="K30" s="131"/>
    </row>
    <row r="31" spans="1:11" s="133" customFormat="1" ht="15.75" customHeight="1" x14ac:dyDescent="0.25">
      <c r="A31" s="131"/>
      <c r="B31" s="131"/>
      <c r="C31" s="140"/>
      <c r="D31" s="140"/>
      <c r="E31" s="140"/>
      <c r="F31" s="140"/>
      <c r="G31" s="140"/>
      <c r="H31" s="140"/>
      <c r="I31" s="140"/>
      <c r="J31" s="140"/>
      <c r="K31" s="131"/>
    </row>
    <row r="32" spans="1:11" s="133" customFormat="1" ht="15.75" customHeight="1" x14ac:dyDescent="0.25">
      <c r="A32" s="131"/>
      <c r="B32" s="131"/>
      <c r="C32" s="140"/>
      <c r="D32" s="140"/>
      <c r="E32" s="140"/>
      <c r="F32" s="140"/>
      <c r="G32" s="140"/>
      <c r="H32" s="140"/>
      <c r="I32" s="140"/>
      <c r="J32" s="140"/>
      <c r="K32" s="131"/>
    </row>
    <row r="33" spans="1:11" s="133" customFormat="1" ht="15.75" customHeight="1" x14ac:dyDescent="0.25">
      <c r="A33" s="131"/>
      <c r="B33" s="131"/>
      <c r="C33" s="140"/>
      <c r="D33" s="140"/>
      <c r="E33" s="140"/>
      <c r="F33" s="140"/>
      <c r="G33" s="140"/>
      <c r="H33" s="140"/>
      <c r="I33" s="140"/>
      <c r="J33" s="140"/>
      <c r="K33" s="131"/>
    </row>
    <row r="34" spans="1:11" s="133" customFormat="1" ht="15.75" customHeight="1" x14ac:dyDescent="0.25">
      <c r="A34" s="131"/>
      <c r="B34" s="131"/>
      <c r="C34" s="140"/>
      <c r="D34" s="140"/>
      <c r="E34" s="140"/>
      <c r="F34" s="140"/>
      <c r="G34" s="140"/>
      <c r="H34" s="140"/>
      <c r="I34" s="140"/>
      <c r="J34" s="140"/>
      <c r="K34" s="131"/>
    </row>
    <row r="35" spans="1:11" s="133" customFormat="1" ht="15.75" customHeight="1" x14ac:dyDescent="0.25">
      <c r="A35" s="131"/>
      <c r="B35" s="131"/>
      <c r="C35" s="187" t="s">
        <v>96</v>
      </c>
      <c r="D35" s="187"/>
      <c r="E35" s="187"/>
      <c r="F35" s="140"/>
      <c r="G35" s="140"/>
      <c r="H35" s="140"/>
      <c r="I35" s="140"/>
      <c r="J35" s="140"/>
      <c r="K35" s="131"/>
    </row>
    <row r="36" spans="1:11" s="133" customFormat="1" ht="15.75" customHeight="1" x14ac:dyDescent="0.25">
      <c r="A36" s="131"/>
      <c r="B36" s="131"/>
      <c r="C36" s="186" t="s">
        <v>175</v>
      </c>
      <c r="D36" s="186"/>
      <c r="E36" s="186"/>
      <c r="F36" s="186"/>
      <c r="G36" s="186"/>
      <c r="H36" s="186"/>
      <c r="I36" s="186"/>
      <c r="J36" s="186"/>
      <c r="K36" s="131"/>
    </row>
    <row r="37" spans="1:11" s="133" customFormat="1" ht="15.75" customHeight="1" x14ac:dyDescent="0.25">
      <c r="A37" s="131"/>
      <c r="B37" s="131"/>
      <c r="C37" s="186"/>
      <c r="D37" s="186"/>
      <c r="E37" s="186"/>
      <c r="F37" s="186"/>
      <c r="G37" s="186"/>
      <c r="H37" s="186"/>
      <c r="I37" s="186"/>
      <c r="J37" s="186"/>
      <c r="K37" s="131"/>
    </row>
    <row r="38" spans="1:11" s="133" customFormat="1" ht="15.75" customHeight="1" x14ac:dyDescent="0.25">
      <c r="A38" s="131"/>
      <c r="B38" s="131"/>
      <c r="C38" s="187" t="s">
        <v>97</v>
      </c>
      <c r="D38" s="187"/>
      <c r="E38" s="140"/>
      <c r="F38" s="140"/>
      <c r="G38" s="140"/>
      <c r="H38" s="140"/>
      <c r="I38" s="140"/>
      <c r="J38" s="140"/>
      <c r="K38" s="131"/>
    </row>
    <row r="39" spans="1:11" s="133" customFormat="1" ht="15.75" customHeight="1" x14ac:dyDescent="0.25">
      <c r="A39" s="131"/>
      <c r="B39" s="131"/>
      <c r="C39" s="186" t="s">
        <v>174</v>
      </c>
      <c r="D39" s="186"/>
      <c r="E39" s="186"/>
      <c r="F39" s="186"/>
      <c r="G39" s="186"/>
      <c r="H39" s="186"/>
      <c r="I39" s="186"/>
      <c r="J39" s="186"/>
      <c r="K39" s="131"/>
    </row>
    <row r="40" spans="1:11" s="133" customFormat="1" ht="15.75" customHeight="1" x14ac:dyDescent="0.25">
      <c r="A40" s="131"/>
      <c r="B40" s="131"/>
      <c r="C40" s="186"/>
      <c r="D40" s="186"/>
      <c r="E40" s="186"/>
      <c r="F40" s="186"/>
      <c r="G40" s="186"/>
      <c r="H40" s="186"/>
      <c r="I40" s="186"/>
      <c r="J40" s="186"/>
      <c r="K40" s="131"/>
    </row>
    <row r="41" spans="1:11" s="133" customFormat="1" ht="15.75" customHeight="1" x14ac:dyDescent="0.25">
      <c r="A41" s="131"/>
      <c r="B41" s="131"/>
      <c r="C41" s="140"/>
      <c r="D41" s="140"/>
      <c r="E41" s="140"/>
      <c r="F41" s="140"/>
      <c r="G41" s="140"/>
      <c r="H41" s="140"/>
      <c r="I41" s="140"/>
      <c r="J41" s="140"/>
      <c r="K41" s="131"/>
    </row>
    <row r="42" spans="1:11" s="138" customFormat="1" ht="15.75" customHeight="1" x14ac:dyDescent="0.25">
      <c r="A42" s="148" t="s">
        <v>158</v>
      </c>
      <c r="B42" s="148"/>
      <c r="C42" s="148"/>
      <c r="D42" s="148"/>
      <c r="E42" s="148"/>
      <c r="F42" s="148"/>
      <c r="G42" s="137"/>
      <c r="H42" s="137"/>
      <c r="I42" s="137"/>
      <c r="J42" s="137"/>
      <c r="K42" s="137"/>
    </row>
    <row r="43" spans="1:11" s="133" customFormat="1" ht="15.75" customHeight="1" x14ac:dyDescent="0.25">
      <c r="A43" s="131"/>
      <c r="B43" s="131"/>
      <c r="C43" s="187" t="s">
        <v>98</v>
      </c>
      <c r="D43" s="187"/>
      <c r="E43" s="187"/>
      <c r="F43" s="140"/>
      <c r="G43" s="140"/>
      <c r="H43" s="140"/>
      <c r="I43" s="140"/>
      <c r="J43" s="140"/>
      <c r="K43" s="131"/>
    </row>
    <row r="44" spans="1:11" s="133" customFormat="1" ht="15.75" customHeight="1" x14ac:dyDescent="0.25">
      <c r="A44" s="131"/>
      <c r="B44" s="131"/>
      <c r="C44" s="186" t="s">
        <v>141</v>
      </c>
      <c r="D44" s="186"/>
      <c r="E44" s="186"/>
      <c r="F44" s="186"/>
      <c r="G44" s="186"/>
      <c r="H44" s="186"/>
      <c r="I44" s="186"/>
      <c r="J44" s="186"/>
      <c r="K44" s="131"/>
    </row>
    <row r="45" spans="1:11" s="133" customFormat="1" ht="15.75" customHeight="1" x14ac:dyDescent="0.25">
      <c r="A45" s="131"/>
      <c r="B45" s="131"/>
      <c r="C45" s="186"/>
      <c r="D45" s="186"/>
      <c r="E45" s="186"/>
      <c r="F45" s="186"/>
      <c r="G45" s="186"/>
      <c r="H45" s="186"/>
      <c r="I45" s="186"/>
      <c r="J45" s="186"/>
      <c r="K45" s="131"/>
    </row>
    <row r="46" spans="1:11" s="133" customFormat="1" ht="15.75" customHeight="1" x14ac:dyDescent="0.25">
      <c r="A46" s="131"/>
      <c r="B46" s="131"/>
      <c r="C46" s="186"/>
      <c r="D46" s="186"/>
      <c r="E46" s="186"/>
      <c r="F46" s="186"/>
      <c r="G46" s="186"/>
      <c r="H46" s="186"/>
      <c r="I46" s="186"/>
      <c r="J46" s="186"/>
      <c r="K46" s="131"/>
    </row>
    <row r="47" spans="1:11" s="133" customFormat="1" ht="15.75" customHeight="1" x14ac:dyDescent="0.25">
      <c r="A47" s="131"/>
      <c r="B47" s="131"/>
      <c r="C47" s="187" t="s">
        <v>99</v>
      </c>
      <c r="D47" s="187"/>
      <c r="E47" s="187"/>
      <c r="F47" s="140"/>
      <c r="G47" s="140"/>
      <c r="H47" s="140"/>
      <c r="I47" s="140"/>
      <c r="J47" s="140"/>
      <c r="K47" s="131"/>
    </row>
    <row r="48" spans="1:11" s="133" customFormat="1" ht="15.75" customHeight="1" x14ac:dyDescent="0.25">
      <c r="A48" s="131"/>
      <c r="B48" s="131"/>
      <c r="C48" s="189" t="s">
        <v>142</v>
      </c>
      <c r="D48" s="189"/>
      <c r="E48" s="189"/>
      <c r="F48" s="189"/>
      <c r="G48" s="189"/>
      <c r="H48" s="189"/>
      <c r="I48" s="189"/>
      <c r="J48" s="189"/>
      <c r="K48" s="131"/>
    </row>
    <row r="49" spans="1:15" s="133" customFormat="1" ht="15.75" customHeight="1" x14ac:dyDescent="0.25">
      <c r="A49" s="131"/>
      <c r="B49" s="131"/>
      <c r="C49" s="189"/>
      <c r="D49" s="189"/>
      <c r="E49" s="189"/>
      <c r="F49" s="189"/>
      <c r="G49" s="189"/>
      <c r="H49" s="189"/>
      <c r="I49" s="189"/>
      <c r="J49" s="189"/>
      <c r="K49" s="131"/>
    </row>
    <row r="50" spans="1:15" s="133" customFormat="1" ht="15.75" customHeight="1" x14ac:dyDescent="0.25">
      <c r="A50" s="131"/>
      <c r="B50" s="131"/>
      <c r="C50" s="189"/>
      <c r="D50" s="189"/>
      <c r="E50" s="189"/>
      <c r="F50" s="189"/>
      <c r="G50" s="189"/>
      <c r="H50" s="189"/>
      <c r="I50" s="189"/>
      <c r="J50" s="189"/>
      <c r="K50" s="131"/>
    </row>
    <row r="51" spans="1:15" s="133" customFormat="1" ht="15.75" customHeight="1" x14ac:dyDescent="0.25">
      <c r="A51" s="131"/>
      <c r="B51" s="131"/>
      <c r="C51" s="187" t="s">
        <v>100</v>
      </c>
      <c r="D51" s="187"/>
      <c r="E51" s="187"/>
      <c r="F51" s="140"/>
      <c r="G51" s="140"/>
      <c r="H51" s="140"/>
      <c r="I51" s="140"/>
      <c r="J51" s="140"/>
      <c r="K51" s="131"/>
    </row>
    <row r="52" spans="1:15" s="133" customFormat="1" ht="15.75" customHeight="1" x14ac:dyDescent="0.25">
      <c r="A52" s="131"/>
      <c r="B52" s="131"/>
      <c r="C52" s="131" t="str">
        <f>"Total Insured Weight for your farm - is now calculated at "&amp;TEXT(' LPI Calculator'!C16,"#,###")&amp;" lbs."</f>
        <v>Total Insured Weight for your farm - is now calculated at 436,500 lbs.</v>
      </c>
      <c r="D52" s="131"/>
      <c r="E52" s="131"/>
      <c r="F52" s="131"/>
      <c r="G52" s="131"/>
      <c r="H52" s="131"/>
      <c r="I52" s="131"/>
      <c r="J52" s="131"/>
      <c r="K52" s="131"/>
    </row>
    <row r="53" spans="1:15" s="133" customFormat="1" ht="15.75" customHeight="1" x14ac:dyDescent="0.25">
      <c r="A53" s="131"/>
      <c r="B53" s="131"/>
      <c r="C53" s="187" t="s">
        <v>101</v>
      </c>
      <c r="D53" s="187"/>
      <c r="E53" s="187"/>
      <c r="F53" s="187"/>
      <c r="G53" s="140"/>
      <c r="H53" s="140"/>
      <c r="I53" s="140"/>
      <c r="J53" s="140"/>
      <c r="K53" s="131"/>
    </row>
    <row r="54" spans="1:15" s="133" customFormat="1" ht="15.75" customHeight="1" x14ac:dyDescent="0.25">
      <c r="A54" s="131"/>
      <c r="B54" s="131"/>
      <c r="C54" s="189" t="s">
        <v>177</v>
      </c>
      <c r="D54" s="189"/>
      <c r="E54" s="189"/>
      <c r="F54" s="189"/>
      <c r="G54" s="189"/>
      <c r="H54" s="189"/>
      <c r="I54" s="189"/>
      <c r="J54" s="189"/>
      <c r="K54" s="131"/>
    </row>
    <row r="55" spans="1:15" s="133" customFormat="1" ht="15.75" customHeight="1" x14ac:dyDescent="0.25">
      <c r="A55" s="131"/>
      <c r="B55" s="131"/>
      <c r="C55" s="189"/>
      <c r="D55" s="189"/>
      <c r="E55" s="189"/>
      <c r="F55" s="189"/>
      <c r="G55" s="189"/>
      <c r="H55" s="189"/>
      <c r="I55" s="189"/>
      <c r="J55" s="189"/>
      <c r="K55" s="131"/>
    </row>
    <row r="56" spans="1:15" s="133" customFormat="1" ht="15.75" customHeight="1" x14ac:dyDescent="0.25">
      <c r="A56" s="131"/>
      <c r="B56" s="131"/>
      <c r="C56" s="189"/>
      <c r="D56" s="189"/>
      <c r="E56" s="189"/>
      <c r="F56" s="189"/>
      <c r="G56" s="189"/>
      <c r="H56" s="189"/>
      <c r="I56" s="189"/>
      <c r="J56" s="189"/>
      <c r="K56" s="131"/>
    </row>
    <row r="57" spans="1:15" s="141" customFormat="1" ht="15.75" customHeight="1" x14ac:dyDescent="0.25">
      <c r="C57" s="188" t="s">
        <v>143</v>
      </c>
      <c r="D57" s="188"/>
      <c r="E57" s="188"/>
      <c r="F57" s="188"/>
      <c r="L57" s="142"/>
      <c r="M57" s="142"/>
      <c r="N57" s="142"/>
      <c r="O57" s="142"/>
    </row>
    <row r="58" spans="1:15" s="141" customFormat="1" ht="15.75" customHeight="1" x14ac:dyDescent="0.25">
      <c r="C58" s="191" t="str">
        <f>"Review and update the backgrouding production costs for your farm.   The feed cost is $"&amp;ROUND('Cost of Production'!C16,0)&amp;"/feeder, total operating cost including feed is $"&amp;ROUND('Cost of Production'!C31,0)&amp;"/feeder, fixed cost is $"&amp;ROUND('Cost of Production'!C41,0)&amp;"/feeder, labour cost is $"&amp;ROUND('Cost of Production'!C44,0)&amp;"/feeder and total cost cost is $"&amp;ROUND('Cost of Production'!C46,0)&amp;"/feeder."</f>
        <v>Review and update the backgrouding production costs for your farm.   The feed cost is $313/feeder, total operating cost including feed is $2527/feeder, fixed cost is $34/feeder, labour cost is $27/feeder and total cost cost is $2589/feeder.</v>
      </c>
      <c r="D58" s="191"/>
      <c r="E58" s="191"/>
      <c r="F58" s="191"/>
      <c r="G58" s="191"/>
      <c r="H58" s="191"/>
      <c r="I58" s="191"/>
      <c r="J58" s="191"/>
      <c r="L58" s="142"/>
      <c r="M58" s="142"/>
      <c r="N58" s="142"/>
      <c r="O58" s="142"/>
    </row>
    <row r="59" spans="1:15" s="141" customFormat="1" ht="15.75" customHeight="1" x14ac:dyDescent="0.25">
      <c r="C59" s="191"/>
      <c r="D59" s="191"/>
      <c r="E59" s="191"/>
      <c r="F59" s="191"/>
      <c r="G59" s="191"/>
      <c r="H59" s="191"/>
      <c r="I59" s="191"/>
      <c r="J59" s="191"/>
      <c r="L59" s="142"/>
      <c r="M59" s="142"/>
      <c r="N59" s="142"/>
      <c r="O59" s="142"/>
    </row>
    <row r="60" spans="1:15" s="141" customFormat="1" ht="15.75" customHeight="1" x14ac:dyDescent="0.25">
      <c r="C60" s="191"/>
      <c r="D60" s="191"/>
      <c r="E60" s="191"/>
      <c r="F60" s="191"/>
      <c r="G60" s="191"/>
      <c r="H60" s="191"/>
      <c r="I60" s="191"/>
      <c r="J60" s="191"/>
      <c r="L60" s="142"/>
      <c r="M60" s="142"/>
      <c r="N60" s="142"/>
      <c r="O60" s="142"/>
    </row>
    <row r="61" spans="1:15" ht="15.75" customHeight="1" x14ac:dyDescent="0.25">
      <c r="C61" s="190" t="str">
        <f>"Review your breakeven prices -  over operating cost is $"&amp;ROUND('Cost of Production'!C49,2)&amp;"/cwt,  over operating and fixed costs is $"&amp;ROUND('Cost of Production'!C50,2)&amp;"/cwt, and over operating, fixed and labour costs is $"&amp;ROUND('Cost of Production'!C51,2)&amp;"/cwt.  Knowing your farm's breakeven prices can help determine LPIP Insured Index ($/cwt) that adequately manages both your risk and liabilities."</f>
        <v>Review your breakeven prices -  over operating cost is $2.9/cwt,  over operating and fixed costs is $2.93/cwt, and over operating, fixed and labour costs is $2.97/cwt.  Knowing your farm's breakeven prices can help determine LPIP Insured Index ($/cwt) that adequately manages both your risk and liabilities.</v>
      </c>
      <c r="D61" s="190"/>
      <c r="E61" s="190"/>
      <c r="F61" s="190"/>
      <c r="G61" s="190"/>
      <c r="H61" s="190"/>
      <c r="I61" s="190"/>
      <c r="J61" s="190"/>
    </row>
    <row r="62" spans="1:15" ht="15.75" customHeight="1" x14ac:dyDescent="0.25">
      <c r="C62" s="190"/>
      <c r="D62" s="190"/>
      <c r="E62" s="190"/>
      <c r="F62" s="190"/>
      <c r="G62" s="190"/>
      <c r="H62" s="190"/>
      <c r="I62" s="190"/>
      <c r="J62" s="190"/>
    </row>
    <row r="63" spans="1:15" ht="15.75" customHeight="1" x14ac:dyDescent="0.25">
      <c r="C63" s="190"/>
      <c r="D63" s="190"/>
      <c r="E63" s="190"/>
      <c r="F63" s="190"/>
      <c r="G63" s="190"/>
      <c r="H63" s="190"/>
      <c r="I63" s="190"/>
      <c r="J63" s="190"/>
    </row>
    <row r="64" spans="1:15" ht="15.75" customHeight="1" x14ac:dyDescent="0.25"/>
    <row r="65" spans="1:15" s="138" customFormat="1" ht="15.75" customHeight="1" x14ac:dyDescent="0.25">
      <c r="A65" s="148" t="s">
        <v>159</v>
      </c>
      <c r="B65" s="148"/>
      <c r="C65" s="148"/>
      <c r="D65" s="148"/>
      <c r="E65" s="148"/>
      <c r="F65" s="148"/>
      <c r="G65" s="137"/>
      <c r="H65" s="137"/>
      <c r="I65" s="137"/>
      <c r="J65" s="137"/>
      <c r="K65" s="137"/>
    </row>
    <row r="66" spans="1:15" s="141" customFormat="1" ht="15.75" customHeight="1" x14ac:dyDescent="0.25">
      <c r="C66" s="188" t="s">
        <v>102</v>
      </c>
      <c r="D66" s="188"/>
      <c r="E66" s="188"/>
      <c r="L66" s="142"/>
      <c r="M66" s="142"/>
      <c r="N66" s="142"/>
      <c r="O66" s="142"/>
    </row>
    <row r="67" spans="1:15" ht="15" x14ac:dyDescent="0.25">
      <c r="C67" s="147" t="str">
        <f>' LPI Calculator'!A55</f>
        <v>Premium Cost ($/head) = Insured Weight (cwt) x Premium ($/cwt)   (eg. (873lbs /100) x $6.82 = $59.54)</v>
      </c>
    </row>
    <row r="68" spans="1:15" s="141" customFormat="1" ht="15.75" customHeight="1" x14ac:dyDescent="0.25">
      <c r="C68" s="188" t="s">
        <v>103</v>
      </c>
      <c r="D68" s="188"/>
      <c r="E68" s="188"/>
      <c r="L68" s="142"/>
      <c r="M68" s="142"/>
      <c r="N68" s="142"/>
      <c r="O68" s="142"/>
    </row>
    <row r="69" spans="1:15" ht="15" x14ac:dyDescent="0.25">
      <c r="C69" s="147" t="str">
        <f>' LPI Calculator'!A56</f>
        <v>Insured Value ($/head) = Insured Index ($/cwt) x Insured Weight (cwt)   (eg. $318 x (873lbs/100) = $2776.14)</v>
      </c>
    </row>
    <row r="70" spans="1:15" s="141" customFormat="1" ht="15.75" customHeight="1" x14ac:dyDescent="0.25">
      <c r="C70" s="188" t="s">
        <v>102</v>
      </c>
      <c r="D70" s="188"/>
      <c r="E70" s="188"/>
      <c r="L70" s="142"/>
      <c r="M70" s="142"/>
      <c r="N70" s="142"/>
      <c r="O70" s="142"/>
    </row>
    <row r="71" spans="1:15" ht="15" customHeight="1" x14ac:dyDescent="0.25">
      <c r="C71" s="191" t="str">
        <f>' LPI Calculator'!A57</f>
        <v>Premium Cost (% of Insured Value) = Premium Cost ($/head) / Insured Value ($/head)   (eg. $59.54 / $2776.14 = 2.14%)</v>
      </c>
      <c r="D71" s="191"/>
      <c r="E71" s="191"/>
      <c r="F71" s="191"/>
      <c r="G71" s="191"/>
      <c r="H71" s="191"/>
      <c r="I71" s="191"/>
      <c r="J71" s="191"/>
    </row>
    <row r="72" spans="1:15" ht="15" customHeight="1" x14ac:dyDescent="0.25">
      <c r="C72" s="191"/>
      <c r="D72" s="191"/>
      <c r="E72" s="191"/>
      <c r="F72" s="191"/>
      <c r="G72" s="191"/>
      <c r="H72" s="191"/>
      <c r="I72" s="191"/>
      <c r="J72" s="191"/>
    </row>
    <row r="73" spans="1:15" s="141" customFormat="1" ht="15.75" customHeight="1" x14ac:dyDescent="0.25">
      <c r="C73" s="188" t="s">
        <v>104</v>
      </c>
      <c r="D73" s="188"/>
      <c r="E73" s="188"/>
      <c r="L73" s="142"/>
      <c r="M73" s="142"/>
      <c r="N73" s="142"/>
      <c r="O73" s="142"/>
    </row>
    <row r="74" spans="1:15" ht="15.75" customHeight="1" x14ac:dyDescent="0.25">
      <c r="C74" s="192" t="s">
        <v>160</v>
      </c>
      <c r="D74" s="192"/>
      <c r="E74" s="192"/>
      <c r="F74" s="192"/>
      <c r="G74" s="192"/>
      <c r="H74" s="192"/>
      <c r="I74" s="192"/>
      <c r="J74" s="192"/>
    </row>
    <row r="75" spans="1:15" ht="15.75" customHeight="1" x14ac:dyDescent="0.25">
      <c r="C75" s="192"/>
      <c r="D75" s="192"/>
      <c r="E75" s="192"/>
      <c r="F75" s="192"/>
      <c r="G75" s="192"/>
      <c r="H75" s="192"/>
      <c r="I75" s="192"/>
      <c r="J75" s="192"/>
    </row>
    <row r="76" spans="1:15" ht="15.75" customHeight="1" x14ac:dyDescent="0.25">
      <c r="C76" s="192"/>
      <c r="D76" s="192"/>
      <c r="E76" s="192"/>
      <c r="F76" s="192"/>
      <c r="G76" s="192"/>
      <c r="H76" s="192"/>
      <c r="I76" s="192"/>
      <c r="J76" s="192"/>
    </row>
    <row r="77" spans="1:15" s="141" customFormat="1" ht="15.75" customHeight="1" x14ac:dyDescent="0.25">
      <c r="C77" s="188" t="s">
        <v>107</v>
      </c>
      <c r="D77" s="188"/>
      <c r="E77" s="188"/>
      <c r="F77" s="188"/>
      <c r="G77" s="188"/>
      <c r="H77" s="188"/>
      <c r="I77" s="188"/>
      <c r="J77" s="188"/>
      <c r="L77" s="142"/>
      <c r="M77" s="142"/>
      <c r="N77" s="142"/>
      <c r="O77" s="142"/>
    </row>
    <row r="78" spans="1:15" ht="15" customHeight="1" x14ac:dyDescent="0.25">
      <c r="C78" s="191" t="s">
        <v>110</v>
      </c>
      <c r="D78" s="191"/>
      <c r="E78" s="191"/>
      <c r="F78" s="191"/>
      <c r="G78" s="191"/>
      <c r="H78" s="191"/>
      <c r="I78" s="191"/>
      <c r="J78" s="191"/>
    </row>
    <row r="79" spans="1:15" ht="15" customHeight="1" x14ac:dyDescent="0.25">
      <c r="C79" s="191"/>
      <c r="D79" s="191"/>
      <c r="E79" s="191"/>
      <c r="F79" s="191"/>
      <c r="G79" s="191"/>
      <c r="H79" s="191"/>
      <c r="I79" s="191"/>
      <c r="J79" s="191"/>
    </row>
    <row r="80" spans="1:15" ht="15.75" customHeight="1" x14ac:dyDescent="0.25">
      <c r="C80" s="191" t="str">
        <f>' LPI Calculator'!A58</f>
        <v>Incremental Coverage Cost (per $1 of Inc. Coverage) = (Premium Cost  - Premium Cost (lower level) / (Insured Value - Insured Value (lower level))   (eg. ($59.54 - $57.27) / ($2776.14 - $2758.68) = $.13)</v>
      </c>
      <c r="D80" s="191"/>
      <c r="E80" s="191"/>
      <c r="F80" s="191"/>
      <c r="G80" s="191"/>
      <c r="H80" s="191"/>
      <c r="I80" s="191"/>
      <c r="J80" s="191"/>
    </row>
    <row r="81" spans="1:15" ht="15.75" customHeight="1" x14ac:dyDescent="0.25">
      <c r="C81" s="191"/>
      <c r="D81" s="191"/>
      <c r="E81" s="191"/>
      <c r="F81" s="191"/>
      <c r="G81" s="191"/>
      <c r="H81" s="191"/>
      <c r="I81" s="191"/>
      <c r="J81" s="191"/>
    </row>
    <row r="82" spans="1:15" ht="15.75" customHeight="1" x14ac:dyDescent="0.25">
      <c r="C82" s="146"/>
      <c r="D82" s="146"/>
      <c r="E82" s="146"/>
      <c r="F82" s="146"/>
      <c r="G82" s="146"/>
      <c r="H82" s="146"/>
      <c r="I82" s="146"/>
      <c r="J82" s="146"/>
    </row>
    <row r="83" spans="1:15" s="138" customFormat="1" ht="15.75" customHeight="1" x14ac:dyDescent="0.25">
      <c r="A83" s="148" t="s">
        <v>161</v>
      </c>
      <c r="B83" s="148"/>
      <c r="C83" s="148"/>
      <c r="D83" s="148"/>
      <c r="E83" s="148"/>
      <c r="F83" s="148"/>
      <c r="G83" s="137"/>
      <c r="H83" s="137"/>
      <c r="I83" s="137"/>
      <c r="J83" s="137"/>
      <c r="K83" s="137"/>
    </row>
    <row r="84" spans="1:15" s="141" customFormat="1" ht="15.75" customHeight="1" x14ac:dyDescent="0.25">
      <c r="C84" s="188" t="s">
        <v>162</v>
      </c>
      <c r="D84" s="188"/>
      <c r="E84" s="188"/>
      <c r="L84" s="142"/>
      <c r="M84" s="142"/>
      <c r="N84" s="142"/>
      <c r="O84" s="142"/>
    </row>
    <row r="85" spans="1:15" s="133" customFormat="1" ht="15.75" customHeight="1" x14ac:dyDescent="0.25">
      <c r="A85" s="131"/>
      <c r="B85" s="131"/>
      <c r="C85" s="131" t="str">
        <f>"LPIP Payment at Estimated Settlement Price = $"&amp;' LPI Calculator'!I14&amp;"/cwt on a per head and total basis."</f>
        <v>LPIP Payment at Estimated Settlement Price = $280/cwt on a per head and total basis.</v>
      </c>
      <c r="D85" s="131"/>
      <c r="E85" s="131"/>
      <c r="F85" s="131"/>
      <c r="G85" s="131"/>
      <c r="H85" s="131"/>
      <c r="I85" s="131"/>
      <c r="J85" s="131"/>
      <c r="K85" s="131"/>
    </row>
    <row r="86" spans="1:15" ht="15.75" customHeight="1" x14ac:dyDescent="0.25">
      <c r="C86" s="194" t="str">
        <f>' LPI Calculator'!A59</f>
        <v>LPIP Payment ($/head) = (Insured Index ($/cwt) - Estimated Settlement Price ($/cwt))) x (Insured  Weight (lbs)/100)     (eg. ($318 - $280) x (873 lbs/100) = $331.74)</v>
      </c>
      <c r="D86" s="194"/>
      <c r="E86" s="194"/>
      <c r="F86" s="194"/>
      <c r="G86" s="194"/>
      <c r="H86" s="194"/>
      <c r="I86" s="194"/>
      <c r="J86" s="194"/>
    </row>
    <row r="87" spans="1:15" ht="15.75" customHeight="1" x14ac:dyDescent="0.25">
      <c r="C87" s="194"/>
      <c r="D87" s="194"/>
      <c r="E87" s="194"/>
      <c r="F87" s="194"/>
      <c r="G87" s="194"/>
      <c r="H87" s="194"/>
      <c r="I87" s="194"/>
      <c r="J87" s="194"/>
    </row>
    <row r="88" spans="1:15" s="141" customFormat="1" ht="15.75" customHeight="1" x14ac:dyDescent="0.25">
      <c r="C88" s="188" t="s">
        <v>163</v>
      </c>
      <c r="D88" s="188"/>
      <c r="E88" s="188"/>
      <c r="F88" s="188"/>
      <c r="G88" s="188"/>
      <c r="H88" s="188"/>
      <c r="L88" s="142"/>
      <c r="M88" s="142"/>
      <c r="N88" s="142"/>
      <c r="O88" s="142"/>
    </row>
    <row r="89" spans="1:15" ht="15.75" customHeight="1" x14ac:dyDescent="0.25">
      <c r="C89" s="194" t="str">
        <f>' LPI Calculator'!A60</f>
        <v>Cost Not Covered by LPIP Insured Value ($/head) =  Cost of Production ($/head) + LPIP Premium ($/head) - LPIP Insured Value ($/head)   (eg. $2589 + $59.54 - $2776.14 = $0)</v>
      </c>
      <c r="D89" s="194"/>
      <c r="E89" s="194"/>
      <c r="F89" s="194"/>
      <c r="G89" s="194"/>
      <c r="H89" s="194"/>
      <c r="I89" s="194"/>
      <c r="J89" s="194"/>
    </row>
    <row r="90" spans="1:15" ht="15.75" customHeight="1" x14ac:dyDescent="0.25">
      <c r="C90" s="194"/>
      <c r="D90" s="194"/>
      <c r="E90" s="194"/>
      <c r="F90" s="194"/>
      <c r="G90" s="194"/>
      <c r="H90" s="194"/>
      <c r="I90" s="194"/>
      <c r="J90" s="194"/>
    </row>
    <row r="91" spans="1:15" ht="15.75" customHeight="1" x14ac:dyDescent="0.25">
      <c r="C91" s="193" t="s">
        <v>165</v>
      </c>
      <c r="D91" s="193"/>
      <c r="E91" s="193"/>
      <c r="F91" s="193"/>
      <c r="G91" s="193"/>
      <c r="H91" s="193"/>
      <c r="I91" s="193"/>
      <c r="J91" s="193"/>
    </row>
    <row r="92" spans="1:15" ht="15.75" customHeight="1" x14ac:dyDescent="0.25">
      <c r="C92" s="193"/>
      <c r="D92" s="193"/>
      <c r="E92" s="193"/>
      <c r="F92" s="193"/>
      <c r="G92" s="193"/>
      <c r="H92" s="193"/>
      <c r="I92" s="193"/>
      <c r="J92" s="193"/>
    </row>
    <row r="93" spans="1:15" ht="15.75" customHeight="1" x14ac:dyDescent="0.25">
      <c r="C93" s="193"/>
      <c r="D93" s="193"/>
      <c r="E93" s="193"/>
      <c r="F93" s="193"/>
      <c r="G93" s="193"/>
      <c r="H93" s="193"/>
      <c r="I93" s="193"/>
      <c r="J93" s="193"/>
    </row>
    <row r="95" spans="1:15" s="138" customFormat="1" ht="15.75" customHeight="1" x14ac:dyDescent="0.25">
      <c r="A95" s="148" t="s">
        <v>108</v>
      </c>
      <c r="B95" s="148"/>
      <c r="C95" s="148"/>
      <c r="D95" s="148"/>
      <c r="E95" s="148"/>
      <c r="F95" s="148"/>
      <c r="G95" s="137"/>
      <c r="H95" s="137"/>
      <c r="I95" s="137"/>
      <c r="J95" s="137"/>
      <c r="K95" s="137"/>
    </row>
    <row r="96" spans="1:15" s="141" customFormat="1" ht="15.75" customHeight="1" x14ac:dyDescent="0.25">
      <c r="C96" s="188" t="s">
        <v>109</v>
      </c>
      <c r="D96" s="188"/>
      <c r="E96" s="188"/>
      <c r="F96" s="188"/>
      <c r="L96" s="142"/>
      <c r="M96" s="142"/>
      <c r="N96" s="142"/>
      <c r="O96" s="142"/>
    </row>
    <row r="97" spans="3:10" ht="15.75" customHeight="1" x14ac:dyDescent="0.25">
      <c r="C97" s="191" t="str">
        <f>' LPI Calculator'!A61</f>
        <v>Marginal Return ($/head) = ((Est. Settlement Price ($/cwt) x (Insured Weight (lbs) / 100)) + LPIP Payment ($/head) - (Costs ($/head) + LPIP Premium($/head)))   (eg. (($280 x (873 lbs/100)) + $454 - ($0 + $75.43) = $234.31)</v>
      </c>
      <c r="D97" s="191"/>
      <c r="E97" s="191"/>
      <c r="F97" s="191"/>
      <c r="G97" s="191"/>
      <c r="H97" s="191"/>
      <c r="I97" s="191"/>
      <c r="J97" s="191"/>
    </row>
    <row r="98" spans="3:10" ht="15.75" customHeight="1" x14ac:dyDescent="0.25">
      <c r="C98" s="191"/>
      <c r="D98" s="191"/>
      <c r="E98" s="191"/>
      <c r="F98" s="191"/>
      <c r="G98" s="191"/>
      <c r="H98" s="191"/>
      <c r="I98" s="191"/>
      <c r="J98" s="191"/>
    </row>
    <row r="99" spans="3:10" ht="15.75" customHeight="1" x14ac:dyDescent="0.25">
      <c r="C99" s="191"/>
      <c r="D99" s="191"/>
      <c r="E99" s="191"/>
      <c r="F99" s="191"/>
      <c r="G99" s="191"/>
      <c r="H99" s="191"/>
      <c r="I99" s="191"/>
      <c r="J99" s="191"/>
    </row>
    <row r="100" spans="3:10" ht="15.75" customHeight="1" x14ac:dyDescent="0.25">
      <c r="C100" s="193" t="s">
        <v>164</v>
      </c>
      <c r="D100" s="193"/>
      <c r="E100" s="193"/>
      <c r="F100" s="193"/>
      <c r="G100" s="193"/>
      <c r="H100" s="193"/>
      <c r="I100" s="193"/>
      <c r="J100" s="193"/>
    </row>
    <row r="101" spans="3:10" ht="15.75" customHeight="1" x14ac:dyDescent="0.25">
      <c r="C101" s="193"/>
      <c r="D101" s="193"/>
      <c r="E101" s="193"/>
      <c r="F101" s="193"/>
      <c r="G101" s="193"/>
      <c r="H101" s="193"/>
      <c r="I101" s="193"/>
      <c r="J101" s="193"/>
    </row>
  </sheetData>
  <mergeCells count="36">
    <mergeCell ref="C57:F57"/>
    <mergeCell ref="C54:J56"/>
    <mergeCell ref="C47:E47"/>
    <mergeCell ref="C43:E43"/>
    <mergeCell ref="C36:J37"/>
    <mergeCell ref="C53:F53"/>
    <mergeCell ref="C97:J99"/>
    <mergeCell ref="C100:J101"/>
    <mergeCell ref="C84:E84"/>
    <mergeCell ref="C86:J87"/>
    <mergeCell ref="C89:J90"/>
    <mergeCell ref="C91:J93"/>
    <mergeCell ref="C96:F96"/>
    <mergeCell ref="C88:H88"/>
    <mergeCell ref="C61:J63"/>
    <mergeCell ref="C58:J60"/>
    <mergeCell ref="C70:E70"/>
    <mergeCell ref="C77:J77"/>
    <mergeCell ref="C80:J81"/>
    <mergeCell ref="C73:E73"/>
    <mergeCell ref="C78:J79"/>
    <mergeCell ref="C74:J76"/>
    <mergeCell ref="C71:J72"/>
    <mergeCell ref="C66:E66"/>
    <mergeCell ref="C68:E68"/>
    <mergeCell ref="A3:J3"/>
    <mergeCell ref="A4:J6"/>
    <mergeCell ref="C11:J12"/>
    <mergeCell ref="B9:D9"/>
    <mergeCell ref="C51:E51"/>
    <mergeCell ref="B10:E10"/>
    <mergeCell ref="C39:J40"/>
    <mergeCell ref="C44:J46"/>
    <mergeCell ref="C48:J50"/>
    <mergeCell ref="C38:D38"/>
    <mergeCell ref="C35:E35"/>
  </mergeCells>
  <hyperlinks>
    <hyperlink ref="B10" r:id="rId1" display="Premiums and Settlements:"/>
    <hyperlink ref="B10:E10" r:id="rId2" display="Click on Premiums and Settlements:"/>
    <hyperlink ref="C38" location="WLPIP!C10" display="Enter Premiums ($/cwt) "/>
    <hyperlink ref="B9" r:id="rId3" display="Go to WCPIP - Calf website"/>
    <hyperlink ref="C43" location="WLPIP!C14" display="Enter Insured Weight (lbs) "/>
    <hyperlink ref="C47" location="WLPIP!C15" display="Enter Number of Calves (head) "/>
    <hyperlink ref="C51" location="WLPIP!C16" display="Total Insured Weight (lbs) "/>
    <hyperlink ref="C53" location="WLPIP!I14" display="Enter Number of Calves (head) "/>
    <hyperlink ref="C57" location="'Cost of Production'!C10" display="Review Cow-calf Cost of Production"/>
    <hyperlink ref="C66" location="'Cost of Production'!C10" display="Review Cow-calf Cost of Production"/>
    <hyperlink ref="C66:E66" location="' LPI Calculator'!A20" display="Review Premium Cost"/>
    <hyperlink ref="C68" location="'Cost of Production'!C10" display="Review Cow-calf Cost of Production"/>
    <hyperlink ref="C68:E68" location="' LPI Calculator'!A21" display="Review Insured Value"/>
    <hyperlink ref="C70" location="'Cost of Production'!C10" display="Review Cow-calf Cost of Production"/>
    <hyperlink ref="C70:E70" location="' LPI Calculator'!A23" display="Review Premium Cost"/>
    <hyperlink ref="C77" location="'Cost of Production'!C10" display="Review Cow-calf Cost of Production"/>
    <hyperlink ref="C77:E77" location="WLPIP!B31" display="Review Premium Cost"/>
    <hyperlink ref="C73" location="'Cost of Production'!C10" display="Review Cow-calf Cost of Production"/>
    <hyperlink ref="C73:E73" location="' LPI Calculator'!A25" display="Review Total Premium Cost"/>
    <hyperlink ref="C84" location="'Cost of Production'!C10" display="Review Cow-calf Cost of Production"/>
    <hyperlink ref="C84:E84" location="' LPI Calculator'!B36" display="Review Estimated LPIP Payment"/>
    <hyperlink ref="C88" location="WLPIP!A39" display="Review Production Costs Not Covered by the WLPIP Insured Price"/>
    <hyperlink ref="C88:E88" location="WLPIP!B36" display="Review Estimated WLPIP Payment"/>
    <hyperlink ref="C96" location="'Cost of Production'!C10" display="Review Cow-calf Cost of Production"/>
    <hyperlink ref="C96:E96" location="WLPIP!B36" display="Review Estimated WLPIP Payment"/>
    <hyperlink ref="C88:G88" location="' WLPIP Calculator'!A39" display="Review Production Costs Not Covered by the WLPIP Insured Price"/>
    <hyperlink ref="C96:F96" location="' LPI Calculator'!A47" display="Review Marginal Returns (Profitability)"/>
    <hyperlink ref="C38:D38" location="' LPI Calculator'!C10" display="Enter Premiums ($/cwt) "/>
    <hyperlink ref="C43:E43" location="' LPI Calculator'!C14" display="Enter Insured Weight (lbs) "/>
    <hyperlink ref="C47:E47" location="' LPI Calculator'!C15" display="Enter Number of Calves (head) "/>
    <hyperlink ref="C51:E51" location="' LPI Calculator'!C16" display="Total Insured Weight (lbs) "/>
    <hyperlink ref="C53:F53" location="' LPI Calculator'!I14" display="Enter Estimated Settlement Price ($/cwt) "/>
    <hyperlink ref="C77:J77" location="' LPI Calculator'!B31" display="Review Incremental Coverage Cost Cost"/>
    <hyperlink ref="C35:E35" location="' LPI Calculator'!C9" display="Enter Insured Index ($/cwt) "/>
    <hyperlink ref="C35" location="WLPIP!C9" display="Enter Insured Index ($/cwt) "/>
    <hyperlink ref="B9:D9" r:id="rId4" display="Go to LPI - Feeder website"/>
    <hyperlink ref="C88:H88" location="' LPI Calculator'!A39" display="Review Production Costs Not Covered by the LPIP Insured Price"/>
  </hyperlinks>
  <pageMargins left="0.51181102362204722" right="0.51181102362204722" top="0.74803149606299213" bottom="0.74803149606299213" header="0.31496062992125984" footer="0.31496062992125984"/>
  <pageSetup scale="79" firstPageNumber="2" fitToHeight="2" orientation="portrait" useFirstPageNumber="1" r:id="rId5"/>
  <headerFooter>
    <oddFooter xml:space="preserve">&amp;R
</oddFooter>
  </headerFooter>
  <rowBreaks count="1" manualBreakCount="1">
    <brk id="5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9"/>
  <sheetViews>
    <sheetView topLeftCell="A31" zoomScaleNormal="100" workbookViewId="0">
      <selection activeCell="J23" sqref="J23"/>
    </sheetView>
  </sheetViews>
  <sheetFormatPr defaultRowHeight="15" x14ac:dyDescent="0.25"/>
  <cols>
    <col min="1" max="1" width="2.6328125" customWidth="1"/>
    <col min="2" max="2" width="32.1796875" customWidth="1"/>
    <col min="3" max="3" width="9.7265625" bestFit="1" customWidth="1"/>
  </cols>
  <sheetData>
    <row r="3" spans="1:19" s="14" customFormat="1" ht="17.399999999999999" x14ac:dyDescent="0.3">
      <c r="A3" s="195" t="s">
        <v>111</v>
      </c>
      <c r="B3" s="196"/>
      <c r="C3" s="196"/>
      <c r="D3" s="196"/>
      <c r="E3" s="196"/>
      <c r="F3" s="196"/>
      <c r="G3" s="196"/>
      <c r="H3" s="196"/>
      <c r="I3" s="196"/>
    </row>
    <row r="4" spans="1:19" s="14" customFormat="1" x14ac:dyDescent="0.25">
      <c r="A4" s="13"/>
      <c r="B4" s="13"/>
      <c r="C4" s="13"/>
      <c r="D4" s="13"/>
      <c r="E4" s="13"/>
      <c r="F4" s="13"/>
      <c r="G4" s="13"/>
      <c r="H4" s="13"/>
      <c r="I4" s="13"/>
    </row>
    <row r="5" spans="1:19" s="64" customFormat="1" ht="15.75" customHeight="1" x14ac:dyDescent="0.25">
      <c r="A5" s="63" t="s">
        <v>43</v>
      </c>
      <c r="C5" s="65"/>
      <c r="D5" s="65"/>
    </row>
    <row r="8" spans="1:19" s="2" customFormat="1" ht="15.75" customHeight="1" x14ac:dyDescent="0.3">
      <c r="A8" s="38" t="s">
        <v>14</v>
      </c>
      <c r="B8" s="5"/>
      <c r="C8" s="39" t="s">
        <v>112</v>
      </c>
      <c r="D8" s="3"/>
      <c r="E8" s="3"/>
      <c r="F8" s="3"/>
      <c r="G8" s="3"/>
      <c r="H8" s="3"/>
      <c r="I8" s="3"/>
      <c r="J8" s="3"/>
      <c r="K8" s="3"/>
      <c r="L8" s="3"/>
      <c r="M8" s="3"/>
      <c r="N8" s="3"/>
      <c r="O8" s="3"/>
      <c r="P8" s="3"/>
      <c r="Q8" s="3"/>
      <c r="R8" s="3"/>
      <c r="S8" s="3"/>
    </row>
    <row r="9" spans="1:19" s="2" customFormat="1" ht="15.75" customHeight="1" x14ac:dyDescent="0.3">
      <c r="A9" s="5"/>
      <c r="B9" s="38" t="s">
        <v>15</v>
      </c>
      <c r="C9" s="40"/>
      <c r="D9" s="3"/>
      <c r="E9" s="3"/>
      <c r="F9" s="3"/>
      <c r="G9" s="3"/>
      <c r="H9" s="3"/>
      <c r="I9" s="3"/>
      <c r="J9" s="3"/>
      <c r="K9" s="3"/>
      <c r="L9" s="3"/>
      <c r="M9" s="3"/>
      <c r="N9" s="3"/>
      <c r="O9" s="3"/>
      <c r="P9" s="3"/>
      <c r="Q9" s="3"/>
      <c r="R9" s="3"/>
      <c r="S9" s="3"/>
    </row>
    <row r="10" spans="1:19" s="2" customFormat="1" ht="15.75" customHeight="1" x14ac:dyDescent="0.3">
      <c r="A10" s="5"/>
      <c r="B10" s="8" t="s">
        <v>113</v>
      </c>
      <c r="C10" s="58">
        <v>48</v>
      </c>
      <c r="D10" s="3"/>
      <c r="E10" s="3"/>
      <c r="F10" s="78"/>
      <c r="G10" s="3"/>
      <c r="H10" s="3"/>
      <c r="I10" s="3"/>
      <c r="J10" s="3"/>
      <c r="K10" s="3"/>
      <c r="L10" s="3"/>
      <c r="M10" s="3"/>
      <c r="N10" s="3"/>
      <c r="O10" s="3"/>
      <c r="P10" s="3"/>
      <c r="Q10" s="3"/>
      <c r="R10" s="3"/>
      <c r="S10" s="3"/>
    </row>
    <row r="11" spans="1:19" s="2" customFormat="1" ht="15.75" customHeight="1" x14ac:dyDescent="0.3">
      <c r="A11" s="5"/>
      <c r="B11" s="8" t="s">
        <v>114</v>
      </c>
      <c r="C11" s="59">
        <v>91.77</v>
      </c>
      <c r="D11" s="3"/>
      <c r="E11" s="3"/>
      <c r="F11" s="3"/>
      <c r="G11" s="3"/>
      <c r="H11" s="3"/>
      <c r="I11" s="3"/>
      <c r="J11" s="3"/>
      <c r="K11" s="3"/>
      <c r="L11" s="3"/>
      <c r="M11" s="3"/>
      <c r="N11" s="3"/>
      <c r="O11" s="3"/>
      <c r="P11" s="3"/>
      <c r="Q11" s="3"/>
      <c r="R11" s="3"/>
      <c r="S11" s="3"/>
    </row>
    <row r="12" spans="1:19" s="2" customFormat="1" ht="15.75" customHeight="1" x14ac:dyDescent="0.3">
      <c r="A12" s="5"/>
      <c r="B12" s="8" t="s">
        <v>115</v>
      </c>
      <c r="C12" s="60">
        <v>106.6</v>
      </c>
      <c r="D12" s="3"/>
      <c r="E12" s="3"/>
      <c r="F12" s="3"/>
      <c r="G12" s="3"/>
      <c r="H12" s="3"/>
      <c r="I12" s="3"/>
      <c r="J12" s="3"/>
      <c r="K12" s="3"/>
      <c r="L12" s="3"/>
      <c r="M12" s="3"/>
      <c r="N12" s="3"/>
      <c r="O12" s="3"/>
      <c r="P12" s="3"/>
      <c r="Q12" s="3"/>
      <c r="R12" s="3"/>
      <c r="S12" s="3"/>
    </row>
    <row r="13" spans="1:19" s="2" customFormat="1" ht="15.75" customHeight="1" x14ac:dyDescent="0.3">
      <c r="A13" s="5"/>
      <c r="B13" s="8" t="s">
        <v>116</v>
      </c>
      <c r="C13" s="60">
        <v>20.67</v>
      </c>
      <c r="D13" s="3"/>
      <c r="E13" s="77"/>
      <c r="F13" s="3"/>
      <c r="G13" s="3"/>
      <c r="H13" s="3"/>
      <c r="I13" s="3"/>
      <c r="J13" s="3"/>
      <c r="K13" s="3"/>
      <c r="L13" s="3"/>
      <c r="M13" s="3"/>
      <c r="N13" s="3"/>
      <c r="O13" s="3"/>
      <c r="P13" s="3"/>
      <c r="Q13" s="3"/>
      <c r="R13" s="3"/>
      <c r="S13" s="3"/>
    </row>
    <row r="14" spans="1:19" s="2" customFormat="1" ht="15.75" customHeight="1" x14ac:dyDescent="0.3">
      <c r="A14" s="5"/>
      <c r="B14" s="8" t="s">
        <v>117</v>
      </c>
      <c r="C14" s="60">
        <v>40.909999999999997</v>
      </c>
      <c r="D14" s="3"/>
      <c r="E14" s="3"/>
      <c r="F14" s="3"/>
      <c r="G14" s="3"/>
      <c r="H14" s="3"/>
      <c r="I14" s="3"/>
      <c r="J14" s="3"/>
      <c r="K14" s="3"/>
      <c r="L14" s="3"/>
      <c r="M14" s="3"/>
      <c r="N14" s="3"/>
      <c r="O14" s="3"/>
      <c r="P14" s="3"/>
      <c r="Q14" s="3"/>
      <c r="R14" s="3"/>
      <c r="S14" s="3"/>
    </row>
    <row r="15" spans="1:19" s="2" customFormat="1" ht="15.75" customHeight="1" x14ac:dyDescent="0.3">
      <c r="A15" s="5"/>
      <c r="B15" s="8" t="s">
        <v>118</v>
      </c>
      <c r="C15" s="60">
        <v>5.0999999999999996</v>
      </c>
      <c r="D15" s="3"/>
      <c r="E15" s="3"/>
      <c r="F15" s="3"/>
      <c r="G15" s="3"/>
      <c r="H15" s="3"/>
      <c r="I15" s="3"/>
      <c r="J15" s="3"/>
      <c r="K15" s="3"/>
      <c r="L15" s="3"/>
      <c r="M15" s="3"/>
      <c r="N15" s="3"/>
      <c r="O15" s="3"/>
      <c r="P15" s="3"/>
      <c r="Q15" s="3"/>
      <c r="R15" s="3"/>
      <c r="S15" s="3"/>
    </row>
    <row r="16" spans="1:19" s="2" customFormat="1" ht="15.75" customHeight="1" x14ac:dyDescent="0.3">
      <c r="A16" s="5"/>
      <c r="B16" s="43" t="s">
        <v>16</v>
      </c>
      <c r="C16" s="44">
        <f>SUM(C10:C15)</f>
        <v>313.04999999999995</v>
      </c>
      <c r="D16" s="3"/>
      <c r="E16" s="3"/>
      <c r="F16" s="3"/>
      <c r="G16" s="3"/>
      <c r="H16" s="3"/>
      <c r="I16" s="3"/>
      <c r="J16" s="3"/>
      <c r="K16" s="3"/>
      <c r="L16" s="3"/>
      <c r="M16" s="3"/>
      <c r="N16" s="3"/>
      <c r="O16" s="3"/>
      <c r="P16" s="3"/>
      <c r="Q16" s="3"/>
      <c r="R16" s="3"/>
      <c r="S16" s="3"/>
    </row>
    <row r="17" spans="1:19" s="2" customFormat="1" ht="15.75" customHeight="1" x14ac:dyDescent="0.3">
      <c r="A17" s="5"/>
      <c r="B17" s="43"/>
      <c r="C17" s="45"/>
      <c r="D17" s="3"/>
      <c r="E17" s="3"/>
      <c r="F17" s="3"/>
      <c r="G17" s="3"/>
      <c r="H17" s="3"/>
      <c r="I17" s="3"/>
      <c r="J17" s="3"/>
      <c r="K17" s="3"/>
      <c r="L17" s="3"/>
      <c r="M17" s="3"/>
      <c r="N17" s="3"/>
      <c r="O17" s="3"/>
      <c r="P17" s="3"/>
      <c r="Q17" s="3"/>
      <c r="R17" s="3"/>
      <c r="S17" s="3"/>
    </row>
    <row r="18" spans="1:19" s="2" customFormat="1" ht="15.75" customHeight="1" x14ac:dyDescent="0.3">
      <c r="A18" s="5"/>
      <c r="B18" s="38" t="s">
        <v>17</v>
      </c>
      <c r="C18" s="40" t="s">
        <v>18</v>
      </c>
      <c r="D18" s="3"/>
      <c r="E18" s="3"/>
      <c r="F18" s="3"/>
      <c r="G18" s="3"/>
      <c r="H18" s="3"/>
      <c r="I18" s="3"/>
      <c r="J18" s="3"/>
      <c r="K18" s="3"/>
      <c r="L18" s="3"/>
      <c r="M18" s="3"/>
      <c r="N18" s="3"/>
      <c r="O18" s="3"/>
      <c r="P18" s="3"/>
      <c r="Q18" s="3"/>
      <c r="R18" s="3"/>
      <c r="S18" s="3"/>
    </row>
    <row r="19" spans="1:19" s="2" customFormat="1" ht="15.75" customHeight="1" x14ac:dyDescent="0.3">
      <c r="A19" s="5"/>
      <c r="B19" s="8" t="s">
        <v>119</v>
      </c>
      <c r="C19" s="153">
        <v>1965.25</v>
      </c>
      <c r="D19" s="3"/>
      <c r="E19" s="154" t="s">
        <v>120</v>
      </c>
      <c r="F19" s="155"/>
      <c r="G19" s="155"/>
      <c r="H19" s="156"/>
      <c r="I19" s="3"/>
      <c r="J19" s="3"/>
      <c r="K19" s="3"/>
      <c r="L19" s="3"/>
      <c r="M19" s="3"/>
      <c r="N19" s="3"/>
      <c r="O19" s="3"/>
      <c r="P19" s="3"/>
      <c r="Q19" s="3"/>
      <c r="R19" s="3"/>
      <c r="S19" s="3"/>
    </row>
    <row r="20" spans="1:19" s="2" customFormat="1" ht="15.75" customHeight="1" x14ac:dyDescent="0.3">
      <c r="A20" s="5"/>
      <c r="B20" s="8" t="s">
        <v>121</v>
      </c>
      <c r="C20" s="58">
        <v>22.4</v>
      </c>
      <c r="D20" s="3"/>
      <c r="E20" s="157" t="s">
        <v>122</v>
      </c>
      <c r="F20" s="158"/>
      <c r="G20" s="159">
        <v>500</v>
      </c>
      <c r="H20" s="160" t="s">
        <v>123</v>
      </c>
      <c r="I20" s="3"/>
      <c r="J20" s="3"/>
      <c r="K20" s="3"/>
      <c r="L20" s="3"/>
      <c r="M20" s="3"/>
      <c r="N20" s="3"/>
      <c r="O20" s="3"/>
      <c r="P20" s="3"/>
      <c r="Q20" s="3"/>
      <c r="R20" s="3"/>
      <c r="S20" s="3"/>
    </row>
    <row r="21" spans="1:19" s="2" customFormat="1" ht="15.75" customHeight="1" x14ac:dyDescent="0.3">
      <c r="A21" s="5"/>
      <c r="B21" s="8" t="s">
        <v>124</v>
      </c>
      <c r="C21" s="58">
        <v>25.76</v>
      </c>
      <c r="D21" s="3"/>
      <c r="E21" s="157"/>
      <c r="F21" s="158" t="s">
        <v>125</v>
      </c>
      <c r="G21" s="60">
        <v>390</v>
      </c>
      <c r="H21" s="160" t="s">
        <v>126</v>
      </c>
      <c r="I21" s="3"/>
      <c r="J21" s="3"/>
      <c r="K21" s="3"/>
      <c r="L21" s="3"/>
      <c r="M21" s="3"/>
      <c r="N21" s="3"/>
      <c r="O21" s="3"/>
      <c r="P21" s="3"/>
      <c r="Q21" s="3"/>
      <c r="R21" s="3"/>
      <c r="S21" s="3"/>
    </row>
    <row r="22" spans="1:19" s="2" customFormat="1" ht="15.75" customHeight="1" x14ac:dyDescent="0.3">
      <c r="A22" s="5"/>
      <c r="B22" s="8" t="s">
        <v>127</v>
      </c>
      <c r="C22" s="58">
        <v>10.83</v>
      </c>
      <c r="D22" s="3"/>
      <c r="E22" s="157"/>
      <c r="F22" s="161" t="s">
        <v>128</v>
      </c>
      <c r="G22" s="162">
        <v>100</v>
      </c>
      <c r="H22" s="163" t="s">
        <v>129</v>
      </c>
      <c r="I22" s="3"/>
      <c r="J22" s="3"/>
      <c r="K22" s="3"/>
      <c r="L22" s="3"/>
      <c r="M22" s="3"/>
      <c r="N22" s="3"/>
      <c r="O22" s="3"/>
      <c r="P22" s="3"/>
      <c r="Q22" s="3"/>
      <c r="R22" s="3"/>
      <c r="S22" s="3"/>
    </row>
    <row r="23" spans="1:19" s="2" customFormat="1" ht="15.75" customHeight="1" x14ac:dyDescent="0.3">
      <c r="A23" s="5"/>
      <c r="B23" s="8" t="s">
        <v>19</v>
      </c>
      <c r="C23" s="58">
        <v>3.39</v>
      </c>
      <c r="D23" s="3"/>
      <c r="E23" s="157"/>
      <c r="F23" s="158" t="s">
        <v>130</v>
      </c>
      <c r="G23" s="164">
        <f>ROUND(G20/100*G21,2)</f>
        <v>1950</v>
      </c>
      <c r="H23" s="165" t="s">
        <v>131</v>
      </c>
      <c r="I23" s="3"/>
      <c r="J23" s="3"/>
      <c r="K23" s="3"/>
      <c r="L23" s="3"/>
      <c r="M23" s="3"/>
      <c r="N23" s="3"/>
      <c r="O23" s="3"/>
      <c r="P23" s="3"/>
      <c r="Q23" s="3"/>
      <c r="R23" s="3"/>
      <c r="S23" s="3"/>
    </row>
    <row r="24" spans="1:19" s="2" customFormat="1" ht="15.75" customHeight="1" x14ac:dyDescent="0.3">
      <c r="A24" s="5"/>
      <c r="B24" s="8" t="s">
        <v>132</v>
      </c>
      <c r="C24" s="58">
        <v>34.950000000000003</v>
      </c>
      <c r="D24" s="3"/>
      <c r="E24" s="157" t="s">
        <v>133</v>
      </c>
      <c r="F24" s="158"/>
      <c r="G24" s="60">
        <v>5</v>
      </c>
      <c r="H24" s="165" t="s">
        <v>131</v>
      </c>
      <c r="I24" s="3"/>
      <c r="J24" s="3"/>
      <c r="K24" s="3"/>
      <c r="L24" s="3"/>
      <c r="M24" s="3"/>
      <c r="N24" s="3"/>
      <c r="O24" s="3"/>
      <c r="P24" s="3"/>
      <c r="Q24" s="3"/>
      <c r="R24" s="3"/>
      <c r="S24" s="3"/>
    </row>
    <row r="25" spans="1:19" s="2" customFormat="1" ht="15.75" customHeight="1" x14ac:dyDescent="0.3">
      <c r="A25" s="5"/>
      <c r="B25" s="8" t="s">
        <v>134</v>
      </c>
      <c r="C25" s="58">
        <v>1.64</v>
      </c>
      <c r="D25" s="3"/>
      <c r="E25" s="157" t="s">
        <v>135</v>
      </c>
      <c r="F25" s="158"/>
      <c r="G25" s="60">
        <v>1.75</v>
      </c>
      <c r="H25" s="165" t="s">
        <v>131</v>
      </c>
      <c r="I25" s="3"/>
      <c r="J25" s="3"/>
      <c r="K25" s="3"/>
      <c r="L25" s="3"/>
      <c r="M25" s="3"/>
      <c r="N25" s="3"/>
      <c r="O25" s="3"/>
      <c r="P25" s="3"/>
      <c r="Q25" s="3"/>
      <c r="R25" s="3"/>
      <c r="S25" s="3"/>
    </row>
    <row r="26" spans="1:19" s="2" customFormat="1" ht="15.75" customHeight="1" x14ac:dyDescent="0.3">
      <c r="A26" s="5"/>
      <c r="B26" s="8" t="s">
        <v>20</v>
      </c>
      <c r="C26" s="58">
        <v>18.829999999999998</v>
      </c>
      <c r="D26" s="3"/>
      <c r="E26" s="157" t="s">
        <v>136</v>
      </c>
      <c r="F26" s="158"/>
      <c r="G26" s="60">
        <v>1.7</v>
      </c>
      <c r="H26" s="160" t="s">
        <v>126</v>
      </c>
      <c r="I26" s="3"/>
      <c r="J26" s="3"/>
      <c r="K26" s="3"/>
      <c r="L26" s="3"/>
      <c r="M26" s="3"/>
      <c r="N26" s="3"/>
      <c r="O26" s="3"/>
      <c r="P26" s="3"/>
      <c r="Q26" s="3"/>
      <c r="R26" s="3"/>
      <c r="S26" s="3"/>
    </row>
    <row r="27" spans="1:19" s="2" customFormat="1" ht="15.75" customHeight="1" x14ac:dyDescent="0.3">
      <c r="A27" s="5"/>
      <c r="B27" s="8" t="s">
        <v>137</v>
      </c>
      <c r="C27" s="58">
        <v>1.2</v>
      </c>
      <c r="D27" s="3"/>
      <c r="E27" s="157"/>
      <c r="F27" s="158" t="s">
        <v>125</v>
      </c>
      <c r="G27" s="166">
        <v>500</v>
      </c>
      <c r="H27" s="160" t="s">
        <v>123</v>
      </c>
      <c r="I27" s="3"/>
      <c r="J27" s="3"/>
      <c r="K27" s="3"/>
      <c r="L27" s="3"/>
      <c r="M27" s="3"/>
      <c r="N27" s="3"/>
      <c r="O27" s="3"/>
      <c r="P27" s="3"/>
      <c r="Q27" s="3"/>
      <c r="R27" s="3"/>
      <c r="S27" s="3"/>
    </row>
    <row r="28" spans="1:19" s="2" customFormat="1" ht="15.75" customHeight="1" x14ac:dyDescent="0.3">
      <c r="A28" s="5"/>
      <c r="B28" s="8" t="s">
        <v>138</v>
      </c>
      <c r="C28" s="58">
        <v>43.28</v>
      </c>
      <c r="D28" s="3"/>
      <c r="E28" s="157"/>
      <c r="F28" s="161" t="s">
        <v>128</v>
      </c>
      <c r="G28" s="162">
        <v>100</v>
      </c>
      <c r="H28" s="163" t="s">
        <v>129</v>
      </c>
      <c r="I28" s="3"/>
      <c r="J28" s="3"/>
      <c r="K28" s="3"/>
      <c r="L28" s="3"/>
      <c r="M28" s="3"/>
      <c r="N28" s="3"/>
      <c r="O28" s="3"/>
      <c r="P28" s="3"/>
      <c r="Q28" s="3"/>
      <c r="R28" s="3"/>
      <c r="S28" s="3"/>
    </row>
    <row r="29" spans="1:19" s="2" customFormat="1" ht="15.75" customHeight="1" x14ac:dyDescent="0.3">
      <c r="A29" s="5"/>
      <c r="B29" s="38" t="s">
        <v>21</v>
      </c>
      <c r="C29" s="54">
        <f>SUM(C19:C28)+C16</f>
        <v>2440.58</v>
      </c>
      <c r="D29" s="3"/>
      <c r="E29" s="167"/>
      <c r="F29" s="168" t="s">
        <v>130</v>
      </c>
      <c r="G29" s="169">
        <f>ROUND(G26*G27/G28,2)</f>
        <v>8.5</v>
      </c>
      <c r="H29" s="170" t="s">
        <v>131</v>
      </c>
      <c r="I29" s="3"/>
      <c r="J29" s="3"/>
      <c r="K29" s="3"/>
      <c r="L29" s="3"/>
      <c r="M29" s="3"/>
      <c r="N29" s="3"/>
      <c r="O29" s="3"/>
      <c r="P29" s="3"/>
      <c r="Q29" s="3"/>
      <c r="R29" s="3"/>
      <c r="S29" s="3"/>
    </row>
    <row r="30" spans="1:19" s="2" customFormat="1" ht="15.75" customHeight="1" x14ac:dyDescent="0.3">
      <c r="A30" s="5"/>
      <c r="B30" s="8" t="s">
        <v>139</v>
      </c>
      <c r="C30" s="171">
        <v>86.91</v>
      </c>
      <c r="D30" s="3"/>
      <c r="E30" s="3"/>
      <c r="F30" s="3"/>
      <c r="G30" s="3"/>
      <c r="H30" s="3"/>
      <c r="I30" s="3"/>
      <c r="J30" s="3"/>
      <c r="K30" s="3"/>
      <c r="L30" s="3"/>
      <c r="M30" s="3"/>
      <c r="N30" s="3"/>
      <c r="O30" s="3"/>
      <c r="P30" s="3"/>
      <c r="Q30" s="3"/>
      <c r="R30" s="3"/>
      <c r="S30" s="3"/>
    </row>
    <row r="31" spans="1:19" s="2" customFormat="1" ht="15.75" customHeight="1" x14ac:dyDescent="0.3">
      <c r="A31" s="5"/>
      <c r="B31" s="43" t="s">
        <v>22</v>
      </c>
      <c r="C31" s="46">
        <f>C29+C30</f>
        <v>2527.4899999999998</v>
      </c>
      <c r="D31" s="3"/>
      <c r="E31" s="149"/>
      <c r="F31" s="3"/>
      <c r="G31" s="3"/>
      <c r="H31" s="3"/>
      <c r="I31" s="3"/>
      <c r="J31" s="3"/>
      <c r="K31" s="3"/>
      <c r="L31" s="3"/>
      <c r="M31" s="3"/>
      <c r="N31" s="3"/>
      <c r="O31" s="3"/>
      <c r="P31" s="3"/>
      <c r="Q31" s="3"/>
      <c r="R31" s="3"/>
      <c r="S31" s="3"/>
    </row>
    <row r="32" spans="1:19" s="2" customFormat="1" ht="15.75" customHeight="1" x14ac:dyDescent="0.3">
      <c r="A32" s="5"/>
      <c r="B32" s="43"/>
      <c r="C32" s="45"/>
      <c r="D32" s="3"/>
      <c r="E32" s="3"/>
      <c r="F32" s="3"/>
      <c r="G32" s="3"/>
      <c r="H32" s="3"/>
      <c r="I32" s="3"/>
      <c r="J32" s="3"/>
      <c r="K32" s="3"/>
      <c r="L32" s="3"/>
      <c r="M32" s="3"/>
      <c r="N32" s="3"/>
      <c r="O32" s="3"/>
      <c r="P32" s="3"/>
      <c r="Q32" s="3"/>
      <c r="R32" s="3"/>
      <c r="S32" s="3"/>
    </row>
    <row r="33" spans="1:19" s="2" customFormat="1" ht="15.75" customHeight="1" x14ac:dyDescent="0.3">
      <c r="A33" s="43" t="s">
        <v>23</v>
      </c>
      <c r="B33" s="5"/>
      <c r="C33" s="8"/>
      <c r="D33" s="3"/>
      <c r="E33" s="3"/>
      <c r="F33" s="3"/>
      <c r="G33" s="3"/>
      <c r="H33" s="3"/>
      <c r="I33" s="3"/>
      <c r="J33" s="3"/>
      <c r="K33" s="3"/>
      <c r="L33" s="3"/>
      <c r="M33" s="3"/>
      <c r="N33" s="3"/>
      <c r="O33" s="3"/>
      <c r="P33" s="3"/>
      <c r="Q33" s="3"/>
      <c r="R33" s="3"/>
      <c r="S33" s="3"/>
    </row>
    <row r="34" spans="1:19" s="2" customFormat="1" ht="15.75" customHeight="1" x14ac:dyDescent="0.3">
      <c r="A34" s="5"/>
      <c r="B34" s="38" t="s">
        <v>24</v>
      </c>
      <c r="C34" s="8"/>
      <c r="D34" s="3"/>
      <c r="E34" s="3"/>
      <c r="F34" s="3"/>
      <c r="G34" s="3"/>
      <c r="H34" s="3"/>
      <c r="I34" s="3"/>
      <c r="J34" s="3"/>
      <c r="K34" s="3"/>
      <c r="L34" s="3"/>
      <c r="M34" s="3"/>
      <c r="N34" s="3"/>
      <c r="O34" s="3"/>
      <c r="P34" s="3"/>
      <c r="Q34" s="3"/>
      <c r="R34" s="3"/>
      <c r="S34" s="3"/>
    </row>
    <row r="35" spans="1:19" s="2" customFormat="1" ht="15.75" customHeight="1" x14ac:dyDescent="0.3">
      <c r="A35" s="5"/>
      <c r="B35" s="8" t="s">
        <v>25</v>
      </c>
      <c r="C35" s="61">
        <v>7.21</v>
      </c>
      <c r="D35" s="3"/>
      <c r="E35" s="3"/>
      <c r="F35" s="3"/>
      <c r="G35" s="3"/>
      <c r="H35" s="3"/>
      <c r="I35" s="3"/>
      <c r="J35" s="3"/>
      <c r="K35" s="3"/>
      <c r="L35" s="3"/>
      <c r="M35" s="3"/>
      <c r="N35" s="3"/>
      <c r="O35" s="3"/>
      <c r="P35" s="3"/>
      <c r="Q35" s="3"/>
      <c r="R35" s="3"/>
      <c r="S35" s="3"/>
    </row>
    <row r="36" spans="1:19" s="2" customFormat="1" ht="15.75" customHeight="1" x14ac:dyDescent="0.3">
      <c r="A36" s="5"/>
      <c r="B36" s="8" t="s">
        <v>26</v>
      </c>
      <c r="C36" s="61">
        <v>18</v>
      </c>
      <c r="D36" s="3"/>
      <c r="E36" s="3"/>
      <c r="F36" s="3"/>
      <c r="G36" s="3"/>
      <c r="H36" s="3"/>
      <c r="I36" s="3"/>
      <c r="J36" s="3"/>
      <c r="K36" s="3"/>
      <c r="L36" s="3"/>
      <c r="M36" s="3"/>
      <c r="N36" s="3"/>
      <c r="O36" s="3"/>
      <c r="P36" s="3"/>
      <c r="Q36" s="3"/>
      <c r="R36" s="3"/>
      <c r="S36" s="3"/>
    </row>
    <row r="37" spans="1:19" s="2" customFormat="1" ht="15.75" customHeight="1" x14ac:dyDescent="0.3">
      <c r="A37" s="5"/>
      <c r="B37" s="8"/>
      <c r="C37" s="47"/>
      <c r="D37" s="3"/>
      <c r="E37" s="3"/>
      <c r="F37" s="3"/>
      <c r="G37" s="3"/>
      <c r="H37" s="3"/>
      <c r="I37" s="3"/>
      <c r="J37" s="3"/>
      <c r="K37" s="3"/>
      <c r="L37" s="3"/>
      <c r="M37" s="3"/>
      <c r="N37" s="3"/>
      <c r="O37" s="3"/>
      <c r="P37" s="3"/>
      <c r="Q37" s="3"/>
      <c r="R37" s="3"/>
      <c r="S37" s="3"/>
    </row>
    <row r="38" spans="1:19" s="2" customFormat="1" ht="15.75" customHeight="1" x14ac:dyDescent="0.3">
      <c r="A38" s="5"/>
      <c r="B38" s="38" t="s">
        <v>27</v>
      </c>
      <c r="C38" s="41" t="s">
        <v>18</v>
      </c>
      <c r="D38" s="3"/>
      <c r="E38" s="3"/>
      <c r="F38" s="3"/>
      <c r="G38" s="3"/>
      <c r="H38" s="3"/>
      <c r="I38" s="3"/>
      <c r="J38" s="3"/>
      <c r="K38" s="3"/>
      <c r="L38" s="3"/>
      <c r="M38" s="3"/>
      <c r="N38" s="3"/>
      <c r="O38" s="3"/>
      <c r="P38" s="3"/>
      <c r="Q38" s="3"/>
      <c r="R38" s="3"/>
      <c r="S38" s="3"/>
    </row>
    <row r="39" spans="1:19" s="2" customFormat="1" ht="15.75" customHeight="1" x14ac:dyDescent="0.3">
      <c r="A39" s="5"/>
      <c r="B39" s="8" t="s">
        <v>28</v>
      </c>
      <c r="C39" s="61">
        <v>3.52</v>
      </c>
      <c r="D39" s="3"/>
      <c r="E39" s="3"/>
      <c r="F39" s="3"/>
      <c r="G39" s="3"/>
      <c r="H39" s="3"/>
      <c r="I39" s="3"/>
      <c r="J39" s="3"/>
      <c r="K39" s="3"/>
      <c r="L39" s="3"/>
      <c r="M39" s="3"/>
      <c r="N39" s="3"/>
      <c r="O39" s="3"/>
      <c r="P39" s="3"/>
      <c r="Q39" s="3"/>
      <c r="R39" s="3"/>
      <c r="S39" s="3"/>
    </row>
    <row r="40" spans="1:19" s="2" customFormat="1" ht="15.75" customHeight="1" x14ac:dyDescent="0.3">
      <c r="A40" s="5"/>
      <c r="B40" s="8" t="s">
        <v>29</v>
      </c>
      <c r="C40" s="61">
        <v>5.4</v>
      </c>
      <c r="D40" s="3"/>
      <c r="E40" s="3"/>
      <c r="F40" s="3"/>
      <c r="G40" s="3"/>
      <c r="H40" s="3"/>
      <c r="I40" s="3"/>
      <c r="J40" s="3"/>
      <c r="K40" s="3"/>
      <c r="L40" s="3"/>
      <c r="M40" s="3"/>
      <c r="N40" s="3"/>
      <c r="O40" s="3"/>
      <c r="P40" s="3"/>
      <c r="Q40" s="3"/>
      <c r="R40" s="3"/>
      <c r="S40" s="3"/>
    </row>
    <row r="41" spans="1:19" s="2" customFormat="1" ht="15.75" customHeight="1" x14ac:dyDescent="0.3">
      <c r="A41" s="5"/>
      <c r="B41" s="43" t="s">
        <v>30</v>
      </c>
      <c r="C41" s="48">
        <f>SUM(C35:C40)</f>
        <v>34.130000000000003</v>
      </c>
      <c r="D41" s="3"/>
      <c r="E41" s="3"/>
      <c r="F41" s="3"/>
      <c r="G41" s="3"/>
      <c r="H41" s="3"/>
      <c r="I41" s="3"/>
      <c r="J41" s="3"/>
      <c r="K41" s="3"/>
      <c r="L41" s="3"/>
      <c r="M41" s="3"/>
      <c r="N41" s="3"/>
      <c r="O41" s="3"/>
      <c r="P41" s="3"/>
      <c r="Q41" s="3"/>
      <c r="R41" s="3"/>
      <c r="S41" s="3"/>
    </row>
    <row r="42" spans="1:19" s="2" customFormat="1" ht="15.75" customHeight="1" x14ac:dyDescent="0.3">
      <c r="A42" s="5"/>
      <c r="B42" s="43" t="s">
        <v>31</v>
      </c>
      <c r="C42" s="46">
        <f>C31+C41</f>
        <v>2561.62</v>
      </c>
      <c r="D42" s="3"/>
      <c r="E42" s="3"/>
      <c r="F42" s="3"/>
      <c r="G42" s="3"/>
      <c r="H42" s="3"/>
      <c r="I42" s="3"/>
      <c r="J42" s="3"/>
      <c r="K42" s="3"/>
      <c r="L42" s="3"/>
      <c r="M42" s="3"/>
      <c r="N42" s="3"/>
      <c r="O42" s="3"/>
      <c r="P42" s="3"/>
      <c r="Q42" s="3"/>
      <c r="R42" s="3"/>
      <c r="S42" s="3"/>
    </row>
    <row r="43" spans="1:19" s="2" customFormat="1" ht="15.75" customHeight="1" x14ac:dyDescent="0.3">
      <c r="A43" s="5"/>
      <c r="B43" s="43"/>
      <c r="C43" s="45"/>
      <c r="D43" s="3"/>
      <c r="E43" s="3"/>
      <c r="F43" s="3"/>
      <c r="G43" s="3"/>
      <c r="H43" s="3"/>
      <c r="I43" s="3"/>
      <c r="J43" s="3"/>
      <c r="K43" s="3"/>
      <c r="L43" s="3"/>
      <c r="M43" s="3"/>
      <c r="N43" s="3"/>
      <c r="O43" s="3"/>
      <c r="P43" s="3"/>
      <c r="Q43" s="3"/>
      <c r="R43" s="3"/>
      <c r="S43" s="3"/>
    </row>
    <row r="44" spans="1:19" s="2" customFormat="1" ht="15.75" customHeight="1" x14ac:dyDescent="0.3">
      <c r="A44" s="43" t="s">
        <v>32</v>
      </c>
      <c r="B44" s="5"/>
      <c r="C44" s="62">
        <v>27</v>
      </c>
      <c r="D44" s="3"/>
      <c r="E44" s="3"/>
      <c r="F44" s="3"/>
      <c r="G44" s="3"/>
      <c r="H44" s="3"/>
      <c r="I44" s="3"/>
      <c r="J44" s="3"/>
      <c r="K44" s="3"/>
      <c r="L44" s="3"/>
      <c r="M44" s="3"/>
      <c r="N44" s="3"/>
      <c r="O44" s="3"/>
      <c r="P44" s="3"/>
      <c r="Q44" s="3"/>
      <c r="R44" s="3"/>
      <c r="S44" s="3"/>
    </row>
    <row r="45" spans="1:19" s="2" customFormat="1" ht="15.75" customHeight="1" x14ac:dyDescent="0.3">
      <c r="A45" s="5"/>
      <c r="B45" s="5"/>
      <c r="C45" s="42"/>
      <c r="D45" s="3"/>
      <c r="E45" s="3"/>
      <c r="F45" s="3"/>
      <c r="G45" s="3"/>
      <c r="H45" s="3"/>
      <c r="I45" s="3"/>
      <c r="J45" s="3"/>
      <c r="K45" s="3"/>
      <c r="L45" s="3"/>
      <c r="M45" s="3"/>
      <c r="N45" s="3"/>
      <c r="O45" s="3"/>
      <c r="P45" s="3"/>
      <c r="Q45" s="3"/>
      <c r="R45" s="3"/>
      <c r="S45" s="3"/>
    </row>
    <row r="46" spans="1:19" s="2" customFormat="1" ht="15.75" customHeight="1" x14ac:dyDescent="0.3">
      <c r="A46" s="43" t="s">
        <v>33</v>
      </c>
      <c r="B46" s="5"/>
      <c r="C46" s="46">
        <f>C42+C44</f>
        <v>2588.62</v>
      </c>
      <c r="D46" s="3"/>
      <c r="E46" s="3"/>
      <c r="F46" s="3"/>
      <c r="G46" s="3"/>
      <c r="H46" s="3"/>
      <c r="I46" s="3"/>
      <c r="J46" s="3"/>
      <c r="K46" s="3"/>
      <c r="L46" s="3"/>
      <c r="M46" s="3"/>
      <c r="N46" s="3"/>
      <c r="O46" s="3"/>
      <c r="P46" s="3"/>
      <c r="Q46" s="3"/>
      <c r="R46" s="3"/>
      <c r="S46" s="3"/>
    </row>
    <row r="47" spans="1:19" s="2" customFormat="1" ht="15.75" customHeight="1" x14ac:dyDescent="0.3">
      <c r="A47" s="43"/>
      <c r="B47" s="5"/>
      <c r="C47" s="42"/>
      <c r="D47" s="3"/>
      <c r="E47" s="3"/>
      <c r="F47" s="3"/>
      <c r="G47" s="3"/>
      <c r="H47" s="3"/>
      <c r="I47" s="3"/>
      <c r="J47" s="3"/>
      <c r="K47" s="3"/>
      <c r="L47" s="3"/>
      <c r="M47" s="3"/>
      <c r="N47" s="3"/>
      <c r="O47" s="3"/>
      <c r="P47" s="3"/>
      <c r="Q47" s="3"/>
      <c r="R47" s="3"/>
      <c r="S47" s="3"/>
    </row>
    <row r="48" spans="1:19" s="2" customFormat="1" ht="15.75" customHeight="1" x14ac:dyDescent="0.3">
      <c r="A48" s="43"/>
      <c r="B48" s="16" t="s">
        <v>144</v>
      </c>
      <c r="C48" s="46"/>
      <c r="D48" s="3"/>
      <c r="E48" s="3"/>
      <c r="F48" s="3"/>
      <c r="G48" s="3"/>
      <c r="H48" s="3"/>
      <c r="I48" s="3"/>
      <c r="J48" s="3"/>
      <c r="K48" s="3"/>
      <c r="L48" s="3"/>
      <c r="M48" s="3"/>
      <c r="N48" s="3"/>
      <c r="O48" s="3"/>
      <c r="P48" s="3"/>
      <c r="Q48" s="3"/>
      <c r="R48" s="3"/>
      <c r="S48" s="3"/>
    </row>
    <row r="49" spans="1:4" x14ac:dyDescent="0.25">
      <c r="B49" s="94" t="s">
        <v>147</v>
      </c>
      <c r="C49" s="174">
        <f>C31/' LPI Calculator'!C14</f>
        <v>2.8951775486827032</v>
      </c>
    </row>
    <row r="50" spans="1:4" x14ac:dyDescent="0.25">
      <c r="B50" s="94" t="s">
        <v>145</v>
      </c>
      <c r="C50" s="174">
        <f>C42/' LPI Calculator'!C14</f>
        <v>2.9342726231386025</v>
      </c>
    </row>
    <row r="51" spans="1:4" x14ac:dyDescent="0.25">
      <c r="A51" s="8"/>
      <c r="B51" s="8" t="s">
        <v>146</v>
      </c>
      <c r="C51" s="173">
        <f>C46/' LPI Calculator'!C14</f>
        <v>2.9652004581901488</v>
      </c>
      <c r="D51" s="14"/>
    </row>
    <row r="52" spans="1:4" ht="15.6" x14ac:dyDescent="0.3">
      <c r="A52" s="8"/>
      <c r="B52" s="13"/>
      <c r="C52" s="97"/>
      <c r="D52" s="50"/>
    </row>
    <row r="53" spans="1:4" ht="15.6" x14ac:dyDescent="0.3">
      <c r="A53" s="94"/>
      <c r="C53" s="150"/>
      <c r="D53" s="14"/>
    </row>
    <row r="55" spans="1:4" ht="15.6" x14ac:dyDescent="0.25">
      <c r="A55" s="95"/>
      <c r="C55" s="151"/>
    </row>
    <row r="56" spans="1:4" ht="15.6" x14ac:dyDescent="0.25">
      <c r="B56" s="94"/>
      <c r="C56" s="152"/>
    </row>
    <row r="57" spans="1:4" ht="15.6" x14ac:dyDescent="0.25">
      <c r="B57" s="94"/>
      <c r="C57" s="152"/>
    </row>
    <row r="58" spans="1:4" ht="15.6" x14ac:dyDescent="0.25">
      <c r="B58" s="94"/>
      <c r="C58" s="152"/>
    </row>
    <row r="59" spans="1:4" ht="15.6" x14ac:dyDescent="0.25">
      <c r="B59" s="94"/>
      <c r="C59" s="152"/>
    </row>
  </sheetData>
  <mergeCells count="1">
    <mergeCell ref="A3:I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4"/>
  <sheetViews>
    <sheetView zoomScaleNormal="100" workbookViewId="0">
      <selection activeCell="B14" sqref="B14"/>
    </sheetView>
  </sheetViews>
  <sheetFormatPr defaultRowHeight="15" x14ac:dyDescent="0.25"/>
  <cols>
    <col min="1" max="1" width="2.7265625" customWidth="1"/>
    <col min="2" max="2" width="66.6328125" customWidth="1"/>
  </cols>
  <sheetData>
    <row r="1" spans="2:22" ht="15.6" x14ac:dyDescent="0.25">
      <c r="B1" s="175" t="s">
        <v>166</v>
      </c>
    </row>
    <row r="2" spans="2:22" x14ac:dyDescent="0.25">
      <c r="B2" t="str">
        <f>' LPI Calculator'!A9</f>
        <v>Insured Index ($/cwt)</v>
      </c>
      <c r="C2" s="129">
        <f>' LPI Calculator'!C9</f>
        <v>332</v>
      </c>
      <c r="D2" s="129">
        <f>' LPI Calculator'!D9</f>
        <v>330</v>
      </c>
      <c r="E2" s="129">
        <f>' LPI Calculator'!E9</f>
        <v>328</v>
      </c>
      <c r="F2" s="129">
        <f>' LPI Calculator'!F9</f>
        <v>326</v>
      </c>
      <c r="G2" s="129">
        <f>' LPI Calculator'!G9</f>
        <v>324</v>
      </c>
      <c r="H2" s="129">
        <f>' LPI Calculator'!H9</f>
        <v>322</v>
      </c>
      <c r="I2" s="129">
        <f>' LPI Calculator'!I9</f>
        <v>320</v>
      </c>
      <c r="J2" s="129">
        <f>' LPI Calculator'!J9</f>
        <v>318</v>
      </c>
      <c r="K2" s="129">
        <f>' LPI Calculator'!K9</f>
        <v>316</v>
      </c>
      <c r="L2" s="129">
        <f>' LPI Calculator'!L9</f>
        <v>314</v>
      </c>
      <c r="M2" s="129">
        <f>' LPI Calculator'!M9</f>
        <v>312</v>
      </c>
      <c r="N2" s="129">
        <f>' LPI Calculator'!N9</f>
        <v>310</v>
      </c>
      <c r="O2" s="129">
        <f>' LPI Calculator'!O9</f>
        <v>308</v>
      </c>
      <c r="P2" s="129">
        <f>' LPI Calculator'!P9</f>
        <v>306</v>
      </c>
      <c r="Q2" s="129">
        <f>' LPI Calculator'!Q9</f>
        <v>304</v>
      </c>
      <c r="R2" s="129">
        <f>' LPI Calculator'!R9</f>
        <v>302</v>
      </c>
      <c r="S2" s="129">
        <f>' LPI Calculator'!S9</f>
        <v>300</v>
      </c>
      <c r="T2" s="129">
        <f>' LPI Calculator'!T9</f>
        <v>298</v>
      </c>
      <c r="U2" s="129">
        <f>' LPI Calculator'!U9</f>
        <v>296</v>
      </c>
      <c r="V2" s="129">
        <f>' LPI Calculator'!V9</f>
        <v>294</v>
      </c>
    </row>
    <row r="3" spans="2:22" s="126" customFormat="1" x14ac:dyDescent="0.25">
      <c r="B3" s="124" t="s">
        <v>38</v>
      </c>
      <c r="C3" s="130" t="e">
        <f>IF(OR(' LPI Calculator'!C40="-",' LPI Calculator'!C40=""), #N/A,' LPI Calculator'!C40)</f>
        <v>#N/A</v>
      </c>
      <c r="D3" s="130" t="e">
        <f>IF(OR(' LPI Calculator'!D40="-",' LPI Calculator'!D40=""), #N/A,' LPI Calculator'!D40)</f>
        <v>#N/A</v>
      </c>
      <c r="E3" s="130" t="e">
        <f>IF(OR(' LPI Calculator'!E40="-",' LPI Calculator'!E40=""), #N/A,' LPI Calculator'!E40)</f>
        <v>#N/A</v>
      </c>
      <c r="F3" s="130" t="e">
        <f>IF(OR(' LPI Calculator'!F40="-",' LPI Calculator'!F40=""), #N/A,' LPI Calculator'!F40)</f>
        <v>#N/A</v>
      </c>
      <c r="G3" s="130" t="e">
        <f>IF(OR(' LPI Calculator'!G40="-",' LPI Calculator'!G40=""), #N/A,' LPI Calculator'!G40)</f>
        <v>#N/A</v>
      </c>
      <c r="H3" s="130" t="e">
        <f>IF(OR(' LPI Calculator'!H40="-",' LPI Calculator'!H40=""), #N/A,' LPI Calculator'!H40)</f>
        <v>#N/A</v>
      </c>
      <c r="I3" s="130" t="e">
        <f>IF(OR(' LPI Calculator'!I40="-",' LPI Calculator'!I40=""), #N/A,' LPI Calculator'!I40)</f>
        <v>#N/A</v>
      </c>
      <c r="J3" s="130" t="e">
        <f>IF(OR(' LPI Calculator'!J40="-",' LPI Calculator'!J40=""), #N/A,' LPI Calculator'!J40)</f>
        <v>#N/A</v>
      </c>
      <c r="K3" s="130" t="e">
        <f>IF(OR(' LPI Calculator'!K40="-",' LPI Calculator'!K40=""), #N/A,' LPI Calculator'!K40)</f>
        <v>#N/A</v>
      </c>
      <c r="L3" s="130" t="e">
        <f>IF(OR(' LPI Calculator'!L40="-",' LPI Calculator'!L40=""), #N/A,' LPI Calculator'!L40)</f>
        <v>#N/A</v>
      </c>
      <c r="M3" s="130" t="e">
        <f>IF(OR(' LPI Calculator'!M40="-",' LPI Calculator'!M40=""), #N/A,' LPI Calculator'!M40)</f>
        <v>#N/A</v>
      </c>
      <c r="N3" s="130" t="e">
        <f>IF(OR(' LPI Calculator'!N40="-",' LPI Calculator'!N40=""), #N/A,' LPI Calculator'!N40)</f>
        <v>#N/A</v>
      </c>
      <c r="O3" s="130" t="e">
        <f>IF(OR(' LPI Calculator'!O40="-",' LPI Calculator'!O40=""), #N/A,' LPI Calculator'!O40)</f>
        <v>#N/A</v>
      </c>
      <c r="P3" s="130" t="e">
        <f>IF(OR(' LPI Calculator'!P40="-",' LPI Calculator'!P40=""), #N/A,' LPI Calculator'!P40)</f>
        <v>#N/A</v>
      </c>
      <c r="Q3" s="130" t="e">
        <f>IF(OR(' LPI Calculator'!Q40="-",' LPI Calculator'!Q40=""), #N/A,' LPI Calculator'!Q40)</f>
        <v>#N/A</v>
      </c>
      <c r="R3" s="130" t="e">
        <f>IF(OR(' LPI Calculator'!R40="-",' LPI Calculator'!R40=""), #N/A,' LPI Calculator'!R40)</f>
        <v>#N/A</v>
      </c>
      <c r="S3" s="130" t="e">
        <f>IF(OR(' LPI Calculator'!S40="-",' LPI Calculator'!S40=""), #N/A,' LPI Calculator'!S40)</f>
        <v>#N/A</v>
      </c>
      <c r="T3" s="130" t="e">
        <f>IF(OR(' LPI Calculator'!T40="-",' LPI Calculator'!T40=""), #N/A,' LPI Calculator'!T40)</f>
        <v>#N/A</v>
      </c>
      <c r="U3" s="130" t="e">
        <f>IF(OR(' LPI Calculator'!U40="-",' LPI Calculator'!U40=""), #N/A,' LPI Calculator'!U40)</f>
        <v>#N/A</v>
      </c>
      <c r="V3" s="130" t="e">
        <f>IF(OR(' LPI Calculator'!V40="-",' LPI Calculator'!V40=""), #N/A,' LPI Calculator'!V40)</f>
        <v>#N/A</v>
      </c>
    </row>
    <row r="4" spans="2:22" s="126" customFormat="1" x14ac:dyDescent="0.25">
      <c r="B4" s="124" t="s">
        <v>77</v>
      </c>
      <c r="C4" s="130" t="e">
        <f>IF(OR(' LPI Calculator'!C42="-",' LPI Calculator'!C42=""), #N/A,' LPI Calculator'!C42-IF(' LPI Calculator'!C40="-",0,' LPI Calculator'!C40))</f>
        <v>#N/A</v>
      </c>
      <c r="D4" s="130" t="e">
        <f>IF(OR(' LPI Calculator'!D42="-",' LPI Calculator'!D42=""), #N/A,' LPI Calculator'!D42-IF(' LPI Calculator'!D40="-",0,' LPI Calculator'!D40))</f>
        <v>#N/A</v>
      </c>
      <c r="E4" s="130" t="e">
        <f>IF(OR(' LPI Calculator'!E42="-",' LPI Calculator'!E42=""), #N/A,' LPI Calculator'!E42-IF(' LPI Calculator'!E40="-",0,' LPI Calculator'!E40))</f>
        <v>#N/A</v>
      </c>
      <c r="F4" s="130" t="e">
        <f>IF(OR(' LPI Calculator'!F42="-",' LPI Calculator'!F42=""), #N/A,' LPI Calculator'!F42-IF(' LPI Calculator'!F40="-",0,' LPI Calculator'!F40))</f>
        <v>#N/A</v>
      </c>
      <c r="G4" s="130" t="e">
        <f>IF(OR(' LPI Calculator'!G42="-",' LPI Calculator'!G42=""), #N/A,' LPI Calculator'!G42-IF(' LPI Calculator'!G40="-",0,' LPI Calculator'!G40))</f>
        <v>#N/A</v>
      </c>
      <c r="H4" s="130" t="e">
        <f>IF(OR(' LPI Calculator'!H42="-",' LPI Calculator'!H42=""), #N/A,' LPI Calculator'!H42-IF(' LPI Calculator'!H40="-",0,' LPI Calculator'!H40))</f>
        <v>#N/A</v>
      </c>
      <c r="I4" s="130" t="e">
        <f>IF(OR(' LPI Calculator'!I42="-",' LPI Calculator'!I42=""), #N/A,' LPI Calculator'!I42-IF(' LPI Calculator'!I40="-",0,' LPI Calculator'!I40))</f>
        <v>#N/A</v>
      </c>
      <c r="J4" s="130" t="e">
        <f>IF(OR(' LPI Calculator'!J42="-",' LPI Calculator'!J42=""), #N/A,' LPI Calculator'!J42-IF(' LPI Calculator'!J40="-",0,' LPI Calculator'!J40))</f>
        <v>#N/A</v>
      </c>
      <c r="K4" s="130" t="e">
        <f>IF(OR(' LPI Calculator'!K42="-",' LPI Calculator'!K42=""), #N/A,' LPI Calculator'!K42-IF(' LPI Calculator'!K40="-",0,' LPI Calculator'!K40))</f>
        <v>#N/A</v>
      </c>
      <c r="L4" s="130" t="e">
        <f>IF(OR(' LPI Calculator'!L42="-",' LPI Calculator'!L42=""), #N/A,' LPI Calculator'!L42-IF(' LPI Calculator'!L40="-",0,' LPI Calculator'!L40))</f>
        <v>#N/A</v>
      </c>
      <c r="M4" s="130" t="e">
        <f>IF(OR(' LPI Calculator'!M42="-",' LPI Calculator'!M42=""), #N/A,' LPI Calculator'!M42-IF(' LPI Calculator'!M40="-",0,' LPI Calculator'!M40))</f>
        <v>#N/A</v>
      </c>
      <c r="N4" s="130" t="e">
        <f>IF(OR(' LPI Calculator'!N42="-",' LPI Calculator'!N42=""), #N/A,' LPI Calculator'!N42-IF(' LPI Calculator'!N40="-",0,' LPI Calculator'!N40))</f>
        <v>#N/A</v>
      </c>
      <c r="O4" s="130" t="e">
        <f>IF(OR(' LPI Calculator'!O42="-",' LPI Calculator'!O42=""), #N/A,' LPI Calculator'!O42-IF(' LPI Calculator'!O40="-",0,' LPI Calculator'!O40))</f>
        <v>#N/A</v>
      </c>
      <c r="P4" s="130" t="e">
        <f>IF(OR(' LPI Calculator'!P42="-",' LPI Calculator'!P42=""), #N/A,' LPI Calculator'!P42-IF(' LPI Calculator'!P40="-",0,' LPI Calculator'!P40))</f>
        <v>#N/A</v>
      </c>
      <c r="Q4" s="130" t="e">
        <f>IF(OR(' LPI Calculator'!Q42="-",' LPI Calculator'!Q42=""), #N/A,' LPI Calculator'!Q42-IF(' LPI Calculator'!Q40="-",0,' LPI Calculator'!Q40))</f>
        <v>#N/A</v>
      </c>
      <c r="R4" s="130" t="e">
        <f>IF(OR(' LPI Calculator'!R42="-",' LPI Calculator'!R42=""), #N/A,' LPI Calculator'!R42-IF(' LPI Calculator'!R40="-",0,' LPI Calculator'!R40))</f>
        <v>#N/A</v>
      </c>
      <c r="S4" s="130" t="e">
        <f>IF(OR(' LPI Calculator'!S42="-",' LPI Calculator'!S42=""), #N/A,' LPI Calculator'!S42-IF(' LPI Calculator'!S40="-",0,' LPI Calculator'!S40))</f>
        <v>#N/A</v>
      </c>
      <c r="T4" s="130" t="e">
        <f>IF(OR(' LPI Calculator'!T42="-",' LPI Calculator'!T42=""), #N/A,' LPI Calculator'!T42-IF(' LPI Calculator'!T40="-",0,' LPI Calculator'!T40))</f>
        <v>#N/A</v>
      </c>
      <c r="U4" s="130" t="e">
        <f>IF(OR(' LPI Calculator'!U42="-",' LPI Calculator'!U42=""), #N/A,' LPI Calculator'!U42-IF(' LPI Calculator'!U40="-",0,' LPI Calculator'!U40))</f>
        <v>#N/A</v>
      </c>
      <c r="V4" s="130" t="e">
        <f>IF(OR(' LPI Calculator'!V42="-",' LPI Calculator'!V42=""), #N/A,' LPI Calculator'!V42-IF(' LPI Calculator'!V40="-",0,' LPI Calculator'!V40))</f>
        <v>#N/A</v>
      </c>
    </row>
    <row r="5" spans="2:22" s="126" customFormat="1" x14ac:dyDescent="0.25">
      <c r="B5" s="124" t="s">
        <v>76</v>
      </c>
      <c r="C5" s="130" t="e">
        <f>IF(OR(' LPI Calculator'!C43="-",' LPI Calculator'!C43=""), #N/A,' LPI Calculator'!C43-IF(' LPI Calculator'!C42="-",0,' LPI Calculator'!C42))</f>
        <v>#N/A</v>
      </c>
      <c r="D5" s="130" t="e">
        <f>IF(OR(' LPI Calculator'!D43="-",' LPI Calculator'!D43=""), #N/A,' LPI Calculator'!D43-IF(' LPI Calculator'!D42="-",0,' LPI Calculator'!D42))</f>
        <v>#N/A</v>
      </c>
      <c r="E5" s="130" t="e">
        <f>IF(OR(' LPI Calculator'!E43="-",' LPI Calculator'!E43=""), #N/A,' LPI Calculator'!E43-IF(' LPI Calculator'!E42="-",0,' LPI Calculator'!E42))</f>
        <v>#N/A</v>
      </c>
      <c r="F5" s="130" t="e">
        <f>IF(OR(' LPI Calculator'!F43="-",' LPI Calculator'!F43=""), #N/A,' LPI Calculator'!F43-IF(' LPI Calculator'!F42="-",0,' LPI Calculator'!F42))</f>
        <v>#N/A</v>
      </c>
      <c r="G5" s="130" t="e">
        <f>IF(OR(' LPI Calculator'!G43="-",' LPI Calculator'!G43=""), #N/A,' LPI Calculator'!G43-IF(' LPI Calculator'!G42="-",0,' LPI Calculator'!G42))</f>
        <v>#N/A</v>
      </c>
      <c r="H5" s="130" t="e">
        <f>IF(OR(' LPI Calculator'!H43="-",' LPI Calculator'!H43=""), #N/A,' LPI Calculator'!H43-IF(' LPI Calculator'!H42="-",0,' LPI Calculator'!H42))</f>
        <v>#N/A</v>
      </c>
      <c r="I5" s="130" t="e">
        <f>IF(OR(' LPI Calculator'!I43="-",' LPI Calculator'!I43=""), #N/A,' LPI Calculator'!I43-IF(' LPI Calculator'!I42="-",0,' LPI Calculator'!I42))</f>
        <v>#N/A</v>
      </c>
      <c r="J5" s="130" t="e">
        <f>IF(OR(' LPI Calculator'!J43="-",' LPI Calculator'!J43=""), #N/A,' LPI Calculator'!J43-IF(' LPI Calculator'!J42="-",0,' LPI Calculator'!J42))</f>
        <v>#N/A</v>
      </c>
      <c r="K5" s="130" t="e">
        <f>IF(OR(' LPI Calculator'!K43="-",' LPI Calculator'!K43=""), #N/A,' LPI Calculator'!K43-IF(' LPI Calculator'!K42="-",0,' LPI Calculator'!K42))</f>
        <v>#N/A</v>
      </c>
      <c r="L5" s="130" t="e">
        <f>IF(OR(' LPI Calculator'!L43="-",' LPI Calculator'!L43=""), #N/A,' LPI Calculator'!L43-IF(' LPI Calculator'!L42="-",0,' LPI Calculator'!L42))</f>
        <v>#N/A</v>
      </c>
      <c r="M5" s="130" t="e">
        <f>IF(OR(' LPI Calculator'!M43="-",' LPI Calculator'!M43=""), #N/A,' LPI Calculator'!M43-IF(' LPI Calculator'!M42="-",0,' LPI Calculator'!M42))</f>
        <v>#N/A</v>
      </c>
      <c r="N5" s="130" t="e">
        <f>IF(OR(' LPI Calculator'!N43="-",' LPI Calculator'!N43=""), #N/A,' LPI Calculator'!N43-IF(' LPI Calculator'!N42="-",0,' LPI Calculator'!N42))</f>
        <v>#N/A</v>
      </c>
      <c r="O5" s="130" t="e">
        <f>IF(OR(' LPI Calculator'!O43="-",' LPI Calculator'!O43=""), #N/A,' LPI Calculator'!O43-IF(' LPI Calculator'!O42="-",0,' LPI Calculator'!O42))</f>
        <v>#N/A</v>
      </c>
      <c r="P5" s="130" t="e">
        <f>IF(OR(' LPI Calculator'!P43="-",' LPI Calculator'!P43=""), #N/A,' LPI Calculator'!P43-IF(' LPI Calculator'!P42="-",0,' LPI Calculator'!P42))</f>
        <v>#N/A</v>
      </c>
      <c r="Q5" s="130" t="e">
        <f>IF(OR(' LPI Calculator'!Q43="-",' LPI Calculator'!Q43=""), #N/A,' LPI Calculator'!Q43-IF(' LPI Calculator'!Q42="-",0,' LPI Calculator'!Q42))</f>
        <v>#N/A</v>
      </c>
      <c r="R5" s="130" t="e">
        <f>IF(OR(' LPI Calculator'!R43="-",' LPI Calculator'!R43=""), #N/A,' LPI Calculator'!R43-IF(' LPI Calculator'!R42="-",0,' LPI Calculator'!R42))</f>
        <v>#N/A</v>
      </c>
      <c r="S5" s="130" t="e">
        <f>IF(OR(' LPI Calculator'!S43="-",' LPI Calculator'!S43=""), #N/A,' LPI Calculator'!S43-IF(' LPI Calculator'!S42="-",0,' LPI Calculator'!S42))</f>
        <v>#N/A</v>
      </c>
      <c r="T5" s="130" t="e">
        <f>IF(OR(' LPI Calculator'!T43="-",' LPI Calculator'!T43=""), #N/A,' LPI Calculator'!T43-IF(' LPI Calculator'!T42="-",0,' LPI Calculator'!T42))</f>
        <v>#N/A</v>
      </c>
      <c r="U5" s="130" t="e">
        <f>IF(OR(' LPI Calculator'!U43="-",' LPI Calculator'!U43=""), #N/A,' LPI Calculator'!U43-IF(' LPI Calculator'!U42="-",0,' LPI Calculator'!U42))</f>
        <v>#N/A</v>
      </c>
      <c r="V5" s="130" t="e">
        <f>IF(OR(' LPI Calculator'!V43="-",' LPI Calculator'!V43=""), #N/A,' LPI Calculator'!V43-IF(' LPI Calculator'!V42="-",0,' LPI Calculator'!V42))</f>
        <v>#N/A</v>
      </c>
    </row>
    <row r="6" spans="2:22" s="126" customFormat="1" x14ac:dyDescent="0.25"/>
    <row r="7" spans="2:22" s="126" customFormat="1" ht="15.6" x14ac:dyDescent="0.25">
      <c r="B7" s="175" t="s">
        <v>167</v>
      </c>
    </row>
    <row r="8" spans="2:22" s="126" customFormat="1" x14ac:dyDescent="0.25">
      <c r="B8" s="126" t="str">
        <f>' LPI Calculator'!A9</f>
        <v>Insured Index ($/cwt)</v>
      </c>
      <c r="C8" s="127">
        <f>' LPI Calculator'!C9</f>
        <v>332</v>
      </c>
      <c r="D8" s="127">
        <f>' LPI Calculator'!D9</f>
        <v>330</v>
      </c>
      <c r="E8" s="127">
        <f>' LPI Calculator'!E9</f>
        <v>328</v>
      </c>
      <c r="F8" s="127">
        <f>' LPI Calculator'!F9</f>
        <v>326</v>
      </c>
      <c r="G8" s="127">
        <f>' LPI Calculator'!G9</f>
        <v>324</v>
      </c>
      <c r="H8" s="127">
        <f>' LPI Calculator'!H9</f>
        <v>322</v>
      </c>
      <c r="I8" s="127">
        <f>' LPI Calculator'!I9</f>
        <v>320</v>
      </c>
      <c r="J8" s="127">
        <f>' LPI Calculator'!J9</f>
        <v>318</v>
      </c>
      <c r="K8" s="127">
        <f>' LPI Calculator'!K9</f>
        <v>316</v>
      </c>
      <c r="L8" s="127">
        <f>' LPI Calculator'!L9</f>
        <v>314</v>
      </c>
      <c r="M8" s="127">
        <f>' LPI Calculator'!M9</f>
        <v>312</v>
      </c>
      <c r="N8" s="127">
        <f>' LPI Calculator'!N9</f>
        <v>310</v>
      </c>
      <c r="O8" s="127">
        <f>' LPI Calculator'!O9</f>
        <v>308</v>
      </c>
      <c r="P8" s="127">
        <f>' LPI Calculator'!P9</f>
        <v>306</v>
      </c>
      <c r="Q8" s="127">
        <f>' LPI Calculator'!Q9</f>
        <v>304</v>
      </c>
      <c r="R8" s="127">
        <f>' LPI Calculator'!R9</f>
        <v>302</v>
      </c>
      <c r="S8" s="127">
        <f>' LPI Calculator'!S9</f>
        <v>300</v>
      </c>
      <c r="T8" s="127">
        <f>' LPI Calculator'!T9</f>
        <v>298</v>
      </c>
      <c r="U8" s="127">
        <f>' LPI Calculator'!U9</f>
        <v>296</v>
      </c>
      <c r="V8" s="127">
        <f>' LPI Calculator'!V9</f>
        <v>294</v>
      </c>
    </row>
    <row r="9" spans="2:22" s="126" customFormat="1" x14ac:dyDescent="0.25">
      <c r="B9" s="126" t="str">
        <f>' LPI Calculator'!A20</f>
        <v>Premium Cost ($/head @ 873 lbs)</v>
      </c>
      <c r="C9" s="125">
        <f>IF(' LPI Calculator'!C20="", #N/A,' LPI Calculator'!C20)</f>
        <v>75.427200000000013</v>
      </c>
      <c r="D9" s="125">
        <f>IF(' LPI Calculator'!D20="", #N/A,' LPI Calculator'!D20)</f>
        <v>72.808199999999999</v>
      </c>
      <c r="E9" s="125">
        <f>IF(' LPI Calculator'!E20="", #N/A,' LPI Calculator'!E20)</f>
        <v>70.974900000000005</v>
      </c>
      <c r="F9" s="125">
        <f>IF(' LPI Calculator'!F20="", #N/A,' LPI Calculator'!F20)</f>
        <v>67.744799999999998</v>
      </c>
      <c r="G9" s="125">
        <f>IF(' LPI Calculator'!G20="", #N/A,' LPI Calculator'!G20)</f>
        <v>65.475000000000009</v>
      </c>
      <c r="H9" s="125">
        <f>IF(' LPI Calculator'!H20="", #N/A,' LPI Calculator'!H20)</f>
        <v>63.6417</v>
      </c>
      <c r="I9" s="125">
        <f>IF(' LPI Calculator'!I20="", #N/A,' LPI Calculator'!I20)</f>
        <v>61.371900000000004</v>
      </c>
      <c r="J9" s="125">
        <f>IF(' LPI Calculator'!J20="", #N/A,' LPI Calculator'!J20)</f>
        <v>59.538600000000002</v>
      </c>
      <c r="K9" s="125">
        <f>IF(' LPI Calculator'!K20="", #N/A,' LPI Calculator'!K20)</f>
        <v>57.268799999999999</v>
      </c>
      <c r="L9" s="125">
        <f>IF(' LPI Calculator'!L20="", #N/A,' LPI Calculator'!L20)</f>
        <v>55.173600000000008</v>
      </c>
      <c r="M9" s="125">
        <f>IF(' LPI Calculator'!M20="", #N/A,' LPI Calculator'!M20)</f>
        <v>53.427600000000005</v>
      </c>
      <c r="N9" s="125">
        <f>IF(' LPI Calculator'!N20="", #N/A,' LPI Calculator'!N20)</f>
        <v>50.983200000000004</v>
      </c>
      <c r="O9" s="125">
        <f>IF(' LPI Calculator'!O20="", #N/A,' LPI Calculator'!O20)</f>
        <v>49.149900000000002</v>
      </c>
      <c r="P9" s="125">
        <f>IF(' LPI Calculator'!P20="", #N/A,' LPI Calculator'!P20)</f>
        <v>48.538800000000002</v>
      </c>
      <c r="Q9" s="125">
        <f>IF(' LPI Calculator'!Q20="", #N/A,' LPI Calculator'!Q20)</f>
        <v>46.530900000000003</v>
      </c>
      <c r="R9" s="125" t="e">
        <f>IF(' LPI Calculator'!R20="", #N/A,' LPI Calculator'!R20)</f>
        <v>#N/A</v>
      </c>
      <c r="S9" s="125" t="e">
        <f>IF(' LPI Calculator'!S20="", #N/A,' LPI Calculator'!S20)</f>
        <v>#N/A</v>
      </c>
      <c r="T9" s="125" t="e">
        <f>IF(' LPI Calculator'!T20="", #N/A,' LPI Calculator'!T20)</f>
        <v>#N/A</v>
      </c>
      <c r="U9" s="125" t="e">
        <f>IF(' LPI Calculator'!U20="", #N/A,' LPI Calculator'!U20)</f>
        <v>#N/A</v>
      </c>
      <c r="V9" s="125" t="e">
        <f>IF(' LPI Calculator'!V20="", #N/A,' LPI Calculator'!V20)</f>
        <v>#N/A</v>
      </c>
    </row>
    <row r="10" spans="2:22" s="126" customFormat="1" x14ac:dyDescent="0.25">
      <c r="B10" s="126" t="str">
        <f>' LPI Calculator'!A23</f>
        <v>Premium Cost (% of Insured Value)</v>
      </c>
      <c r="C10" s="128">
        <f>IF(' LPI Calculator'!C23="", #N/A,' LPI Calculator'!C23)</f>
        <v>2.6024096385542171E-2</v>
      </c>
      <c r="D10" s="128">
        <f>IF(' LPI Calculator'!D23="", #N/A,' LPI Calculator'!D23)</f>
        <v>2.5272727272727273E-2</v>
      </c>
      <c r="E10" s="128">
        <f>IF(' LPI Calculator'!E23="", #N/A,' LPI Calculator'!E23)</f>
        <v>2.478658536585366E-2</v>
      </c>
      <c r="F10" s="128">
        <f>IF(' LPI Calculator'!F23="", #N/A,' LPI Calculator'!F23)</f>
        <v>2.3803680981595091E-2</v>
      </c>
      <c r="G10" s="128">
        <f>IF(' LPI Calculator'!G23="", #N/A,' LPI Calculator'!G23)</f>
        <v>2.314814814814815E-2</v>
      </c>
      <c r="H10" s="128">
        <f>IF(' LPI Calculator'!H23="", #N/A,' LPI Calculator'!H23)</f>
        <v>2.2639751552795032E-2</v>
      </c>
      <c r="I10" s="128">
        <f>IF(' LPI Calculator'!I23="", #N/A,' LPI Calculator'!I23)</f>
        <v>2.1968749999999999E-2</v>
      </c>
      <c r="J10" s="128">
        <f>IF(' LPI Calculator'!J23="", #N/A,' LPI Calculator'!J23)</f>
        <v>2.1446540880503143E-2</v>
      </c>
      <c r="K10" s="128">
        <f>IF(' LPI Calculator'!K23="", #N/A,' LPI Calculator'!K23)</f>
        <v>2.0759493670886073E-2</v>
      </c>
      <c r="L10" s="128">
        <f>IF(' LPI Calculator'!L23="", #N/A,' LPI Calculator'!L23)</f>
        <v>2.0127388535031848E-2</v>
      </c>
      <c r="M10" s="128">
        <f>IF(' LPI Calculator'!M23="", #N/A,' LPI Calculator'!M23)</f>
        <v>1.9615384615384614E-2</v>
      </c>
      <c r="N10" s="128">
        <f>IF(' LPI Calculator'!N23="", #N/A,' LPI Calculator'!N23)</f>
        <v>1.8838709677419355E-2</v>
      </c>
      <c r="O10" s="128">
        <f>IF(' LPI Calculator'!O23="", #N/A,' LPI Calculator'!O23)</f>
        <v>1.827922077922078E-2</v>
      </c>
      <c r="P10" s="128">
        <f>IF(' LPI Calculator'!P23="", #N/A,' LPI Calculator'!P23)</f>
        <v>1.8169934640522876E-2</v>
      </c>
      <c r="Q10" s="128">
        <f>IF(' LPI Calculator'!Q23="", #N/A,' LPI Calculator'!Q23)</f>
        <v>1.7532894736842105E-2</v>
      </c>
      <c r="R10" s="128" t="e">
        <f>IF(' LPI Calculator'!R23="", #N/A,' LPI Calculator'!R23)</f>
        <v>#N/A</v>
      </c>
      <c r="S10" s="128" t="e">
        <f>IF(' LPI Calculator'!S23="", #N/A,' LPI Calculator'!S23)</f>
        <v>#N/A</v>
      </c>
      <c r="T10" s="128" t="e">
        <f>IF(' LPI Calculator'!T23="", #N/A,' LPI Calculator'!T23)</f>
        <v>#N/A</v>
      </c>
      <c r="U10" s="128" t="e">
        <f>IF(' LPI Calculator'!U23="", #N/A,' LPI Calculator'!U23)</f>
        <v>#N/A</v>
      </c>
      <c r="V10" s="128" t="e">
        <f>IF(' LPI Calculator'!V23="", #N/A,' LPI Calculator'!V23)</f>
        <v>#N/A</v>
      </c>
    </row>
    <row r="11" spans="2:22" s="126" customFormat="1" x14ac:dyDescent="0.25">
      <c r="B11" s="126" t="str">
        <f>"LPIP Payment ($/head at Est. Settlement Price = $"&amp;' LPI Calculator'!I14&amp;"/cwt)"</f>
        <v>LPIP Payment ($/head at Est. Settlement Price = $280/cwt)</v>
      </c>
      <c r="C11" s="125">
        <f>IF(' LPI Calculator'!C36="", #N/A,' LPI Calculator'!C36)</f>
        <v>453.96</v>
      </c>
      <c r="D11" s="125">
        <f>IF(' LPI Calculator'!D36="", #N/A,' LPI Calculator'!D36)</f>
        <v>436.5</v>
      </c>
      <c r="E11" s="125">
        <f>IF(' LPI Calculator'!E36="", #N/A,' LPI Calculator'!E36)</f>
        <v>419.04</v>
      </c>
      <c r="F11" s="125">
        <f>IF(' LPI Calculator'!F36="", #N/A,' LPI Calculator'!F36)</f>
        <v>401.58</v>
      </c>
      <c r="G11" s="125">
        <f>IF(' LPI Calculator'!G36="", #N/A,' LPI Calculator'!G36)</f>
        <v>384.12</v>
      </c>
      <c r="H11" s="125">
        <f>IF(' LPI Calculator'!H36="", #N/A,' LPI Calculator'!H36)</f>
        <v>366.66</v>
      </c>
      <c r="I11" s="125">
        <f>IF(' LPI Calculator'!I36="", #N/A,' LPI Calculator'!I36)</f>
        <v>349.2</v>
      </c>
      <c r="J11" s="125">
        <f>IF(' LPI Calculator'!J36="", #N/A,' LPI Calculator'!J36)</f>
        <v>331.74</v>
      </c>
      <c r="K11" s="125">
        <f>IF(' LPI Calculator'!K36="", #N/A,' LPI Calculator'!K36)</f>
        <v>314.27999999999997</v>
      </c>
      <c r="L11" s="125">
        <f>IF(' LPI Calculator'!L36="", #N/A,' LPI Calculator'!L36)</f>
        <v>296.82</v>
      </c>
      <c r="M11" s="125">
        <f>IF(' LPI Calculator'!M36="", #N/A,' LPI Calculator'!M36)</f>
        <v>279.36</v>
      </c>
      <c r="N11" s="125">
        <f>IF(' LPI Calculator'!N36="", #N/A,' LPI Calculator'!N36)</f>
        <v>261.89999999999998</v>
      </c>
      <c r="O11" s="125">
        <f>IF(' LPI Calculator'!O36="", #N/A,' LPI Calculator'!O36)</f>
        <v>244.44</v>
      </c>
      <c r="P11" s="125">
        <f>IF(' LPI Calculator'!P36="", #N/A,' LPI Calculator'!P36)</f>
        <v>226.98</v>
      </c>
      <c r="Q11" s="125">
        <f>IF(' LPI Calculator'!Q36="", #N/A,' LPI Calculator'!Q36)</f>
        <v>209.52</v>
      </c>
      <c r="R11" s="125" t="e">
        <f>IF(' LPI Calculator'!R36="", #N/A,' LPI Calculator'!R36)</f>
        <v>#N/A</v>
      </c>
      <c r="S11" s="125" t="e">
        <f>IF(' LPI Calculator'!S36="", #N/A,' LPI Calculator'!S36)</f>
        <v>#N/A</v>
      </c>
      <c r="T11" s="125" t="e">
        <f>IF(' LPI Calculator'!T36="", #N/A,' LPI Calculator'!T36)</f>
        <v>#N/A</v>
      </c>
      <c r="U11" s="125" t="e">
        <f>IF(' LPI Calculator'!U36="", #N/A,' LPI Calculator'!U36)</f>
        <v>#N/A</v>
      </c>
      <c r="V11" s="125" t="e">
        <f>IF(' LPI Calculator'!V36="", #N/A,' LPI Calculator'!V36)</f>
        <v>#N/A</v>
      </c>
    </row>
    <row r="12" spans="2:22" s="126" customFormat="1" x14ac:dyDescent="0.25">
      <c r="B12" s="124" t="s">
        <v>171</v>
      </c>
      <c r="C12" s="125" t="e">
        <f>IF(OR(' LPI Calculator'!C43="-",' LPI Calculator'!C43=""), #N/A,' LPI Calculator'!C43)</f>
        <v>#N/A</v>
      </c>
      <c r="D12" s="125" t="e">
        <f>IF(OR(' LPI Calculator'!D43="-",' LPI Calculator'!D43=""), #N/A,' LPI Calculator'!D43)</f>
        <v>#N/A</v>
      </c>
      <c r="E12" s="125" t="e">
        <f>IF(OR(' LPI Calculator'!E43="-",' LPI Calculator'!E43=""), #N/A,' LPI Calculator'!E43)</f>
        <v>#N/A</v>
      </c>
      <c r="F12" s="125" t="e">
        <f>IF(OR(' LPI Calculator'!F43="-",' LPI Calculator'!F43=""), #N/A,' LPI Calculator'!F43)</f>
        <v>#N/A</v>
      </c>
      <c r="G12" s="125" t="e">
        <f>IF(OR(' LPI Calculator'!G43="-",' LPI Calculator'!G43=""), #N/A,' LPI Calculator'!G43)</f>
        <v>#N/A</v>
      </c>
      <c r="H12" s="125" t="e">
        <f>IF(OR(' LPI Calculator'!H43="-",' LPI Calculator'!H43=""), #N/A,' LPI Calculator'!H43)</f>
        <v>#N/A</v>
      </c>
      <c r="I12" s="125" t="e">
        <f>IF(OR(' LPI Calculator'!I43="-",' LPI Calculator'!I43=""), #N/A,' LPI Calculator'!I43)</f>
        <v>#N/A</v>
      </c>
      <c r="J12" s="125" t="e">
        <f>IF(OR(' LPI Calculator'!J43="-",' LPI Calculator'!J43=""), #N/A,' LPI Calculator'!J43)</f>
        <v>#N/A</v>
      </c>
      <c r="K12" s="125" t="e">
        <f>IF(OR(' LPI Calculator'!K43="-",' LPI Calculator'!K43=""), #N/A,' LPI Calculator'!K43)</f>
        <v>#N/A</v>
      </c>
      <c r="L12" s="125" t="e">
        <f>IF(OR(' LPI Calculator'!L43="-",' LPI Calculator'!L43=""), #N/A,' LPI Calculator'!L43)</f>
        <v>#N/A</v>
      </c>
      <c r="M12" s="125" t="e">
        <f>IF(OR(' LPI Calculator'!M43="-",' LPI Calculator'!M43=""), #N/A,' LPI Calculator'!M43)</f>
        <v>#N/A</v>
      </c>
      <c r="N12" s="125" t="e">
        <f>IF(OR(' LPI Calculator'!N43="-",' LPI Calculator'!N43=""), #N/A,' LPI Calculator'!N43)</f>
        <v>#N/A</v>
      </c>
      <c r="O12" s="125" t="e">
        <f>IF(OR(' LPI Calculator'!O43="-",' LPI Calculator'!O43=""), #N/A,' LPI Calculator'!O43)</f>
        <v>#N/A</v>
      </c>
      <c r="P12" s="125" t="e">
        <f>IF(OR(' LPI Calculator'!P43="-",' LPI Calculator'!P43=""), #N/A,' LPI Calculator'!P43)</f>
        <v>#N/A</v>
      </c>
      <c r="Q12" s="125" t="e">
        <f>IF(OR(' LPI Calculator'!Q43="-",' LPI Calculator'!Q43=""), #N/A,' LPI Calculator'!Q43)</f>
        <v>#N/A</v>
      </c>
      <c r="R12" s="125" t="e">
        <f>IF(OR(' LPI Calculator'!R43="-",' LPI Calculator'!R43=""), #N/A,' LPI Calculator'!R43)</f>
        <v>#N/A</v>
      </c>
      <c r="S12" s="125" t="e">
        <f>IF(OR(' LPI Calculator'!S43="-",' LPI Calculator'!S43=""), #N/A,' LPI Calculator'!S43)</f>
        <v>#N/A</v>
      </c>
      <c r="T12" s="125" t="e">
        <f>IF(OR(' LPI Calculator'!T43="-",' LPI Calculator'!T43=""), #N/A,' LPI Calculator'!T43)</f>
        <v>#N/A</v>
      </c>
      <c r="U12" s="125" t="e">
        <f>IF(OR(' LPI Calculator'!U43="-",' LPI Calculator'!U43=""), #N/A,' LPI Calculator'!U43)</f>
        <v>#N/A</v>
      </c>
      <c r="V12" s="125" t="e">
        <f>IF(OR(' LPI Calculator'!V43="-",' LPI Calculator'!V43=""), #N/A,' LPI Calculator'!V43)</f>
        <v>#N/A</v>
      </c>
    </row>
    <row r="13" spans="2:22" s="126" customFormat="1" x14ac:dyDescent="0.25">
      <c r="B13" s="126" t="str">
        <f>"Net Profit (based on Est. Settlement Price @ $"&amp;' LPI Calculator'!I14&amp;"/cwt + LPIP Payment per head)"</f>
        <v>Net Profit (based on Est. Settlement Price @ $280/cwt + LPIP Payment per head)</v>
      </c>
      <c r="C13" s="125">
        <f>IF(' LPI Calculator'!C51="", #N/A,' LPI Calculator'!C51)</f>
        <v>234.3127999999997</v>
      </c>
      <c r="D13" s="125">
        <f>IF(' LPI Calculator'!D51="", #N/A,' LPI Calculator'!D51)</f>
        <v>219.4717999999998</v>
      </c>
      <c r="E13" s="125">
        <f>IF(' LPI Calculator'!E51="", #N/A,' LPI Calculator'!E51)</f>
        <v>203.84509999999955</v>
      </c>
      <c r="F13" s="125">
        <f>IF(' LPI Calculator'!F51="", #N/A,' LPI Calculator'!F51)</f>
        <v>189.61519999999973</v>
      </c>
      <c r="G13" s="125">
        <f>IF(' LPI Calculator'!G51="", #N/A,' LPI Calculator'!G51)</f>
        <v>174.42499999999973</v>
      </c>
      <c r="H13" s="125">
        <f>IF(' LPI Calculator'!H51="", #N/A,' LPI Calculator'!H51)</f>
        <v>158.79829999999947</v>
      </c>
      <c r="I13" s="125">
        <f>IF(' LPI Calculator'!I51="", #N/A,' LPI Calculator'!I51)</f>
        <v>143.60809999999947</v>
      </c>
      <c r="J13" s="125">
        <f>IF(' LPI Calculator'!J51="", #N/A,' LPI Calculator'!J51)</f>
        <v>127.98139999999967</v>
      </c>
      <c r="K13" s="125">
        <f>IF(' LPI Calculator'!K51="", #N/A,' LPI Calculator'!K51)</f>
        <v>112.79119999999966</v>
      </c>
      <c r="L13" s="125">
        <f>IF(' LPI Calculator'!L51="", #N/A,' LPI Calculator'!L51)</f>
        <v>97.42639999999983</v>
      </c>
      <c r="M13" s="125">
        <f>IF(' LPI Calculator'!M51="", #N/A,' LPI Calculator'!M51)</f>
        <v>81.712399999999889</v>
      </c>
      <c r="N13" s="125">
        <f>IF(' LPI Calculator'!N51="", #N/A,' LPI Calculator'!N51)</f>
        <v>66.696799999999712</v>
      </c>
      <c r="O13" s="125">
        <f>IF(' LPI Calculator'!O51="", #N/A,' LPI Calculator'!O51)</f>
        <v>51.070099999999911</v>
      </c>
      <c r="P13" s="125">
        <f>IF(' LPI Calculator'!P51="", #N/A,' LPI Calculator'!P51)</f>
        <v>34.221199999999953</v>
      </c>
      <c r="Q13" s="125">
        <f>IF(' LPI Calculator'!Q51="", #N/A,' LPI Calculator'!Q51)</f>
        <v>18.769099999999526</v>
      </c>
      <c r="R13" s="125" t="e">
        <f>IF(' LPI Calculator'!R51="", #N/A,' LPI Calculator'!R51)</f>
        <v>#N/A</v>
      </c>
      <c r="S13" s="125" t="e">
        <f>IF(' LPI Calculator'!S51="", #N/A,' LPI Calculator'!S51)</f>
        <v>#N/A</v>
      </c>
      <c r="T13" s="125" t="e">
        <f>IF(' LPI Calculator'!T51="", #N/A,' LPI Calculator'!T51)</f>
        <v>#N/A</v>
      </c>
      <c r="U13" s="125" t="e">
        <f>IF(' LPI Calculator'!U51="", #N/A,' LPI Calculator'!U51)</f>
        <v>#N/A</v>
      </c>
      <c r="V13" s="125" t="e">
        <f>IF(' LPI Calculator'!V51="", #N/A,' LPI Calculator'!V51)</f>
        <v>#N/A</v>
      </c>
    </row>
    <row r="14" spans="2:22" s="126" customFormat="1" x14ac:dyDescent="0.25">
      <c r="B14" s="126" t="str">
        <f>"Marginal Return Over Operating &amp; Fixed Costs (based on Est. Settlement Price @ $"&amp;' LPI Calculator'!I14&amp;"/cwt + LPIP Payment per head)"</f>
        <v>Marginal Return Over Operating &amp; Fixed Costs (based on Est. Settlement Price @ $280/cwt + LPIP Payment per head)</v>
      </c>
      <c r="C14" s="125">
        <f>IF(' LPI Calculator'!C50="", #N/A,' LPI Calculator'!C50)</f>
        <v>261.3127999999997</v>
      </c>
      <c r="D14" s="125">
        <f>IF(' LPI Calculator'!D50="", #N/A,' LPI Calculator'!D50)</f>
        <v>246.4717999999998</v>
      </c>
      <c r="E14" s="125">
        <f>IF(' LPI Calculator'!E50="", #N/A,' LPI Calculator'!E50)</f>
        <v>230.84509999999955</v>
      </c>
      <c r="F14" s="125">
        <f>IF(' LPI Calculator'!F50="", #N/A,' LPI Calculator'!F50)</f>
        <v>216.61519999999973</v>
      </c>
      <c r="G14" s="125">
        <f>IF(' LPI Calculator'!G50="", #N/A,' LPI Calculator'!G50)</f>
        <v>201.42499999999973</v>
      </c>
      <c r="H14" s="125">
        <f>IF(' LPI Calculator'!H50="", #N/A,' LPI Calculator'!H50)</f>
        <v>185.79829999999947</v>
      </c>
      <c r="I14" s="125">
        <f>IF(' LPI Calculator'!I50="", #N/A,' LPI Calculator'!I50)</f>
        <v>170.60809999999947</v>
      </c>
      <c r="J14" s="125">
        <f>IF(' LPI Calculator'!J50="", #N/A,' LPI Calculator'!J50)</f>
        <v>154.98139999999967</v>
      </c>
      <c r="K14" s="125">
        <f>IF(' LPI Calculator'!K50="", #N/A,' LPI Calculator'!K50)</f>
        <v>139.79119999999966</v>
      </c>
      <c r="L14" s="125">
        <f>IF(' LPI Calculator'!L50="", #N/A,' LPI Calculator'!L50)</f>
        <v>124.42639999999983</v>
      </c>
      <c r="M14" s="125">
        <f>IF(' LPI Calculator'!M50="", #N/A,' LPI Calculator'!M50)</f>
        <v>108.71239999999989</v>
      </c>
      <c r="N14" s="125">
        <f>IF(' LPI Calculator'!N50="", #N/A,' LPI Calculator'!N50)</f>
        <v>93.696799999999712</v>
      </c>
      <c r="O14" s="125">
        <f>IF(' LPI Calculator'!O50="", #N/A,' LPI Calculator'!O50)</f>
        <v>78.070099999999911</v>
      </c>
      <c r="P14" s="125">
        <f>IF(' LPI Calculator'!P50="", #N/A,' LPI Calculator'!P50)</f>
        <v>61.221199999999953</v>
      </c>
      <c r="Q14" s="125">
        <f>IF(' LPI Calculator'!Q50="", #N/A,' LPI Calculator'!Q50)</f>
        <v>45.769099999999526</v>
      </c>
      <c r="R14" s="125" t="e">
        <f>IF(' LPI Calculator'!R50="", #N/A,' LPI Calculator'!R50)</f>
        <v>#N/A</v>
      </c>
      <c r="S14" s="125" t="e">
        <f>IF(' LPI Calculator'!S50="", #N/A,' LPI Calculator'!S50)</f>
        <v>#N/A</v>
      </c>
      <c r="T14" s="125" t="e">
        <f>IF(' LPI Calculator'!T50="", #N/A,' LPI Calculator'!T50)</f>
        <v>#N/A</v>
      </c>
      <c r="U14" s="125" t="e">
        <f>IF(' LPI Calculator'!U50="", #N/A,' LPI Calculator'!U50)</f>
        <v>#N/A</v>
      </c>
      <c r="V14" s="125" t="e">
        <f>IF(' LPI Calculator'!V50="", #N/A,' LPI Calculator'!V50)</f>
        <v>#N/A</v>
      </c>
    </row>
    <row r="15" spans="2:22" s="126" customFormat="1" x14ac:dyDescent="0.25">
      <c r="B15" s="124" t="s">
        <v>172</v>
      </c>
      <c r="C15" s="125" t="e">
        <f>IF(OR(' LPI Calculator'!C42="-",' LPI Calculator'!C42=""), #N/A,' LPI Calculator'!C42)</f>
        <v>#N/A</v>
      </c>
      <c r="D15" s="125" t="e">
        <f>IF(OR(' LPI Calculator'!D42="-",' LPI Calculator'!D42=""), #N/A,' LPI Calculator'!D42)</f>
        <v>#N/A</v>
      </c>
      <c r="E15" s="125" t="e">
        <f>IF(OR(' LPI Calculator'!E42="-",' LPI Calculator'!E42=""), #N/A,' LPI Calculator'!E42)</f>
        <v>#N/A</v>
      </c>
      <c r="F15" s="125" t="e">
        <f>IF(OR(' LPI Calculator'!F42="-",' LPI Calculator'!F42=""), #N/A,' LPI Calculator'!F42)</f>
        <v>#N/A</v>
      </c>
      <c r="G15" s="125" t="e">
        <f>IF(OR(' LPI Calculator'!G42="-",' LPI Calculator'!G42=""), #N/A,' LPI Calculator'!G42)</f>
        <v>#N/A</v>
      </c>
      <c r="H15" s="125" t="e">
        <f>IF(OR(' LPI Calculator'!H42="-",' LPI Calculator'!H42=""), #N/A,' LPI Calculator'!H42)</f>
        <v>#N/A</v>
      </c>
      <c r="I15" s="125" t="e">
        <f>IF(OR(' LPI Calculator'!I42="-",' LPI Calculator'!I42=""), #N/A,' LPI Calculator'!I42)</f>
        <v>#N/A</v>
      </c>
      <c r="J15" s="125" t="e">
        <f>IF(OR(' LPI Calculator'!J42="-",' LPI Calculator'!J42=""), #N/A,' LPI Calculator'!J42)</f>
        <v>#N/A</v>
      </c>
      <c r="K15" s="125" t="e">
        <f>IF(OR(' LPI Calculator'!K42="-",' LPI Calculator'!K42=""), #N/A,' LPI Calculator'!K42)</f>
        <v>#N/A</v>
      </c>
      <c r="L15" s="125" t="e">
        <f>IF(OR(' LPI Calculator'!L42="-",' LPI Calculator'!L42=""), #N/A,' LPI Calculator'!L42)</f>
        <v>#N/A</v>
      </c>
      <c r="M15" s="125" t="e">
        <f>IF(OR(' LPI Calculator'!M42="-",' LPI Calculator'!M42=""), #N/A,' LPI Calculator'!M42)</f>
        <v>#N/A</v>
      </c>
      <c r="N15" s="125" t="e">
        <f>IF(OR(' LPI Calculator'!N42="-",' LPI Calculator'!N42=""), #N/A,' LPI Calculator'!N42)</f>
        <v>#N/A</v>
      </c>
      <c r="O15" s="125" t="e">
        <f>IF(OR(' LPI Calculator'!O42="-",' LPI Calculator'!O42=""), #N/A,' LPI Calculator'!O42)</f>
        <v>#N/A</v>
      </c>
      <c r="P15" s="125" t="e">
        <f>IF(OR(' LPI Calculator'!P42="-",' LPI Calculator'!P42=""), #N/A,' LPI Calculator'!P42)</f>
        <v>#N/A</v>
      </c>
      <c r="Q15" s="125" t="e">
        <f>IF(OR(' LPI Calculator'!Q42="-",' LPI Calculator'!Q42=""), #N/A,' LPI Calculator'!Q42)</f>
        <v>#N/A</v>
      </c>
      <c r="R15" s="125" t="e">
        <f>IF(OR(' LPI Calculator'!R42="-",' LPI Calculator'!R42=""), #N/A,' LPI Calculator'!R42)</f>
        <v>#N/A</v>
      </c>
      <c r="S15" s="125" t="e">
        <f>IF(OR(' LPI Calculator'!S42="-",' LPI Calculator'!S42=""), #N/A,' LPI Calculator'!S42)</f>
        <v>#N/A</v>
      </c>
      <c r="T15" s="125" t="e">
        <f>IF(OR(' LPI Calculator'!T42="-",' LPI Calculator'!T42=""), #N/A,' LPI Calculator'!T42)</f>
        <v>#N/A</v>
      </c>
      <c r="U15" s="125" t="e">
        <f>IF(OR(' LPI Calculator'!U42="-",' LPI Calculator'!U42=""), #N/A,' LPI Calculator'!U42)</f>
        <v>#N/A</v>
      </c>
      <c r="V15" s="125" t="e">
        <f>IF(OR(' LPI Calculator'!V42="-",' LPI Calculator'!V42=""), #N/A,' LPI Calculator'!V42)</f>
        <v>#N/A</v>
      </c>
    </row>
    <row r="41" spans="2:22" ht="15.6" thickBot="1" x14ac:dyDescent="0.3"/>
    <row r="42" spans="2:22" ht="16.2" thickBot="1" x14ac:dyDescent="0.35">
      <c r="B42" s="96" t="s">
        <v>168</v>
      </c>
      <c r="C42" s="121" t="s">
        <v>79</v>
      </c>
      <c r="D42" s="122"/>
      <c r="E42" s="123">
        <f>' LPI Calculator'!S55</f>
        <v>320</v>
      </c>
    </row>
    <row r="43" spans="2:22" x14ac:dyDescent="0.25">
      <c r="B43" t="str">
        <f>' LPI Calculator'!A9</f>
        <v>Insured Index ($/cwt)</v>
      </c>
      <c r="C43" s="93">
        <f>' LPI Calculator'!C9</f>
        <v>332</v>
      </c>
      <c r="D43" s="93">
        <f>' LPI Calculator'!D9</f>
        <v>330</v>
      </c>
      <c r="E43" s="93">
        <f>' LPI Calculator'!E9</f>
        <v>328</v>
      </c>
      <c r="F43" s="93">
        <f>' LPI Calculator'!F9</f>
        <v>326</v>
      </c>
      <c r="G43" s="93">
        <f>' LPI Calculator'!G9</f>
        <v>324</v>
      </c>
      <c r="H43" s="93">
        <f>' LPI Calculator'!H9</f>
        <v>322</v>
      </c>
      <c r="I43" s="93">
        <f>' LPI Calculator'!I9</f>
        <v>320</v>
      </c>
      <c r="J43" s="93">
        <f>' LPI Calculator'!J9</f>
        <v>318</v>
      </c>
      <c r="K43" s="93">
        <f>' LPI Calculator'!K9</f>
        <v>316</v>
      </c>
      <c r="L43" s="93">
        <f>' LPI Calculator'!L9</f>
        <v>314</v>
      </c>
      <c r="M43" s="93">
        <f>' LPI Calculator'!M9</f>
        <v>312</v>
      </c>
      <c r="N43" s="93">
        <f>' LPI Calculator'!N9</f>
        <v>310</v>
      </c>
      <c r="O43" s="93">
        <f>' LPI Calculator'!O9</f>
        <v>308</v>
      </c>
      <c r="P43" s="93">
        <f>' LPI Calculator'!P9</f>
        <v>306</v>
      </c>
      <c r="Q43" s="93">
        <f>' LPI Calculator'!Q9</f>
        <v>304</v>
      </c>
      <c r="R43" s="93">
        <f>' LPI Calculator'!R9</f>
        <v>302</v>
      </c>
      <c r="S43" s="93">
        <f>' LPI Calculator'!S9</f>
        <v>300</v>
      </c>
      <c r="T43" s="93">
        <f>' LPI Calculator'!T9</f>
        <v>298</v>
      </c>
      <c r="U43" s="93">
        <f>' LPI Calculator'!U9</f>
        <v>296</v>
      </c>
      <c r="V43" s="93">
        <f>' LPI Calculator'!V9</f>
        <v>294</v>
      </c>
    </row>
    <row r="44" spans="2:22" x14ac:dyDescent="0.25">
      <c r="B44" s="94" t="s">
        <v>91</v>
      </c>
      <c r="C44" s="93">
        <f>IF(' LPI Calculator'!C9+C46&gt;$E$42,$E$42-C46,' LPI Calculator'!C9)</f>
        <v>296.52004581901485</v>
      </c>
      <c r="D44" s="93">
        <f>IF(' LPI Calculator'!D9+D46&gt;$E$42,$E$42-D46,' LPI Calculator'!D9)</f>
        <v>296.52004581901485</v>
      </c>
      <c r="E44" s="93">
        <f>IF(' LPI Calculator'!E9+E46&gt;$E$42,$E$42-E46,' LPI Calculator'!E9)</f>
        <v>296.52004581901485</v>
      </c>
      <c r="F44" s="93">
        <f>IF(' LPI Calculator'!F9+F46&gt;$E$42,$E$42-F46,' LPI Calculator'!F9)</f>
        <v>296.52004581901485</v>
      </c>
      <c r="G44" s="93">
        <f>IF(' LPI Calculator'!G9+G46&gt;$E$42,$E$42-G46,' LPI Calculator'!G9)</f>
        <v>296.52004581901485</v>
      </c>
      <c r="H44" s="93">
        <f>IF(' LPI Calculator'!H9+H46&gt;$E$42,$E$42-H46,' LPI Calculator'!H9)</f>
        <v>296.52004581901485</v>
      </c>
      <c r="I44" s="93">
        <f>IF(' LPI Calculator'!I9+I46&gt;$E$42,$E$42-I46,' LPI Calculator'!I9)</f>
        <v>296.52004581901485</v>
      </c>
      <c r="J44" s="93">
        <f>IF(' LPI Calculator'!J9+J46&gt;$E$42,$E$42-J46,' LPI Calculator'!J9)</f>
        <v>296.52004581901485</v>
      </c>
      <c r="K44" s="93">
        <f>IF(' LPI Calculator'!K9+K46&gt;$E$42,$E$42-K46,' LPI Calculator'!K9)</f>
        <v>296.52004581901485</v>
      </c>
      <c r="L44" s="93">
        <f>IF(' LPI Calculator'!L9+L46&gt;$E$42,$E$42-L46,' LPI Calculator'!L9)</f>
        <v>296.52004581901485</v>
      </c>
      <c r="M44" s="93">
        <f>IF(' LPI Calculator'!M9+M46&gt;$E$42,$E$42-M46,' LPI Calculator'!M9)</f>
        <v>296.52004581901485</v>
      </c>
      <c r="N44" s="93">
        <f>IF(' LPI Calculator'!N9+N46&gt;$E$42,$E$42-N46,' LPI Calculator'!N9)</f>
        <v>296.52004581901485</v>
      </c>
      <c r="O44" s="93">
        <f>IF(' LPI Calculator'!O9+O46&gt;$E$42,$E$42-O46,' LPI Calculator'!O9)</f>
        <v>296.52004581901485</v>
      </c>
      <c r="P44" s="93">
        <f>IF(' LPI Calculator'!P9+P46&gt;$E$42,$E$42-P46,' LPI Calculator'!P9)</f>
        <v>296.52004581901485</v>
      </c>
      <c r="Q44" s="93">
        <f>IF(' LPI Calculator'!Q9+Q46&gt;$E$42,$E$42-Q46,' LPI Calculator'!Q9)</f>
        <v>296.52004581901485</v>
      </c>
      <c r="R44" s="93">
        <f>IF(' LPI Calculator'!R9+R46&gt;$E$42,$E$42-R46,' LPI Calculator'!R9)</f>
        <v>296.52004581901485</v>
      </c>
      <c r="S44" s="93">
        <f>IF(' LPI Calculator'!S9+S46&gt;$E$42,$E$42-S46,' LPI Calculator'!S9)</f>
        <v>296.52004581901485</v>
      </c>
      <c r="T44" s="93">
        <f>IF(' LPI Calculator'!T9+T46&gt;$E$42,$E$42-T46,' LPI Calculator'!T9)</f>
        <v>296.52004581901485</v>
      </c>
      <c r="U44" s="93">
        <f>IF(' LPI Calculator'!U9+U46&gt;$E$42,$E$42-U46,' LPI Calculator'!U9)</f>
        <v>296</v>
      </c>
      <c r="V44" s="93">
        <f>IF(' LPI Calculator'!V9+V46&gt;$E$42,$E$42-V46,' LPI Calculator'!V9)</f>
        <v>294</v>
      </c>
    </row>
    <row r="45" spans="2:22" x14ac:dyDescent="0.25">
      <c r="B45" s="94" t="s">
        <v>78</v>
      </c>
      <c r="C45" s="93">
        <f>IF(SUM('Cost of Production'!$C$46/(' LPI Calculator'!$C$14/100))-C44&lt;0,0,SUM('Cost of Production'!$C$46/(' LPI Calculator'!$C$14/100))-C44)</f>
        <v>0</v>
      </c>
      <c r="D45" s="93">
        <f>IF(SUM('Cost of Production'!$C$46/(' LPI Calculator'!$C$14/100))-D44&lt;0,0,SUM('Cost of Production'!$C$46/(' LPI Calculator'!$C$14/100))-D44)</f>
        <v>0</v>
      </c>
      <c r="E45" s="93">
        <f>IF(SUM('Cost of Production'!$C$46/(' LPI Calculator'!$C$14/100))-E44&lt;0,0,SUM('Cost of Production'!$C$46/(' LPI Calculator'!$C$14/100))-E44)</f>
        <v>0</v>
      </c>
      <c r="F45" s="93">
        <f>IF(SUM('Cost of Production'!$C$46/(' LPI Calculator'!$C$14/100))-F44&lt;0,0,SUM('Cost of Production'!$C$46/(' LPI Calculator'!$C$14/100))-F44)</f>
        <v>0</v>
      </c>
      <c r="G45" s="93">
        <f>IF(SUM('Cost of Production'!$C$46/(' LPI Calculator'!$C$14/100))-G44&lt;0,0,SUM('Cost of Production'!$C$46/(' LPI Calculator'!$C$14/100))-G44)</f>
        <v>0</v>
      </c>
      <c r="H45" s="93">
        <f>IF(SUM('Cost of Production'!$C$46/(' LPI Calculator'!$C$14/100))-H44&lt;0,0,SUM('Cost of Production'!$C$46/(' LPI Calculator'!$C$14/100))-H44)</f>
        <v>0</v>
      </c>
      <c r="I45" s="93">
        <f>IF(SUM('Cost of Production'!$C$46/(' LPI Calculator'!$C$14/100))-I44&lt;0,0,SUM('Cost of Production'!$C$46/(' LPI Calculator'!$C$14/100))-I44)</f>
        <v>0</v>
      </c>
      <c r="J45" s="93">
        <f>IF(SUM('Cost of Production'!$C$46/(' LPI Calculator'!$C$14/100))-J44&lt;0,0,SUM('Cost of Production'!$C$46/(' LPI Calculator'!$C$14/100))-J44)</f>
        <v>0</v>
      </c>
      <c r="K45" s="93">
        <f>IF(SUM('Cost of Production'!$C$46/(' LPI Calculator'!$C$14/100))-K44&lt;0,0,SUM('Cost of Production'!$C$46/(' LPI Calculator'!$C$14/100))-K44)</f>
        <v>0</v>
      </c>
      <c r="L45" s="93">
        <f>IF(SUM('Cost of Production'!$C$46/(' LPI Calculator'!$C$14/100))-L44&lt;0,0,SUM('Cost of Production'!$C$46/(' LPI Calculator'!$C$14/100))-L44)</f>
        <v>0</v>
      </c>
      <c r="M45" s="93">
        <f>IF(SUM('Cost of Production'!$C$46/(' LPI Calculator'!$C$14/100))-M44&lt;0,0,SUM('Cost of Production'!$C$46/(' LPI Calculator'!$C$14/100))-M44)</f>
        <v>0</v>
      </c>
      <c r="N45" s="93">
        <f>IF(SUM('Cost of Production'!$C$46/(' LPI Calculator'!$C$14/100))-N44&lt;0,0,SUM('Cost of Production'!$C$46/(' LPI Calculator'!$C$14/100))-N44)</f>
        <v>0</v>
      </c>
      <c r="O45" s="93">
        <f>IF(SUM('Cost of Production'!$C$46/(' LPI Calculator'!$C$14/100))-O44&lt;0,0,SUM('Cost of Production'!$C$46/(' LPI Calculator'!$C$14/100))-O44)</f>
        <v>0</v>
      </c>
      <c r="P45" s="93">
        <f>IF(SUM('Cost of Production'!$C$46/(' LPI Calculator'!$C$14/100))-P44&lt;0,0,SUM('Cost of Production'!$C$46/(' LPI Calculator'!$C$14/100))-P44)</f>
        <v>0</v>
      </c>
      <c r="Q45" s="93">
        <f>IF(SUM('Cost of Production'!$C$46/(' LPI Calculator'!$C$14/100))-Q44&lt;0,0,SUM('Cost of Production'!$C$46/(' LPI Calculator'!$C$14/100))-Q44)</f>
        <v>0</v>
      </c>
      <c r="R45" s="93">
        <f>IF(SUM('Cost of Production'!$C$46/(' LPI Calculator'!$C$14/100))-R44&lt;0,0,SUM('Cost of Production'!$C$46/(' LPI Calculator'!$C$14/100))-R44)</f>
        <v>0</v>
      </c>
      <c r="S45" s="93">
        <f>IF(SUM('Cost of Production'!$C$46/(' LPI Calculator'!$C$14/100))-S44&lt;0,0,SUM('Cost of Production'!$C$46/(' LPI Calculator'!$C$14/100))-S44)</f>
        <v>0</v>
      </c>
      <c r="T45" s="93">
        <f>IF(SUM('Cost of Production'!$C$46/(' LPI Calculator'!$C$14/100))-T44&lt;0,0,SUM('Cost of Production'!$C$46/(' LPI Calculator'!$C$14/100))-T44)</f>
        <v>0</v>
      </c>
      <c r="U45" s="93">
        <f>IF(SUM('Cost of Production'!$C$46/(' LPI Calculator'!$C$14/100))-U44&lt;0,0,SUM('Cost of Production'!$C$46/(' LPI Calculator'!$C$14/100))-U44)</f>
        <v>0.52004581901485381</v>
      </c>
      <c r="V45" s="93">
        <f>IF(SUM('Cost of Production'!$C$46/(' LPI Calculator'!$C$14/100))-V44&lt;0,0,SUM('Cost of Production'!$C$46/(' LPI Calculator'!$C$14/100))-V44)</f>
        <v>2.5200458190148538</v>
      </c>
    </row>
    <row r="46" spans="2:22" x14ac:dyDescent="0.25">
      <c r="B46" s="94" t="str">
        <f>"$/cwt Reward @ Est. Mkt. Price $"&amp;E42&amp;"/cwt"</f>
        <v>$/cwt Reward @ Est. Mkt. Price $320/cwt</v>
      </c>
      <c r="C46" s="98">
        <f>$E$42-SUM('Cost of Production'!$C$46/(' LPI Calculator'!$C$14/100))</f>
        <v>23.479954180985146</v>
      </c>
      <c r="D46" s="98">
        <f>$E$42-SUM('Cost of Production'!$C$46/(' LPI Calculator'!$C$14/100))</f>
        <v>23.479954180985146</v>
      </c>
      <c r="E46" s="98">
        <f>$E$42-SUM('Cost of Production'!$C$46/(' LPI Calculator'!$C$14/100))</f>
        <v>23.479954180985146</v>
      </c>
      <c r="F46" s="98">
        <f>$E$42-SUM('Cost of Production'!$C$46/(' LPI Calculator'!$C$14/100))</f>
        <v>23.479954180985146</v>
      </c>
      <c r="G46" s="98">
        <f>$E$42-SUM('Cost of Production'!$C$46/(' LPI Calculator'!$C$14/100))</f>
        <v>23.479954180985146</v>
      </c>
      <c r="H46" s="98">
        <f>$E$42-SUM('Cost of Production'!$C$46/(' LPI Calculator'!$C$14/100))</f>
        <v>23.479954180985146</v>
      </c>
      <c r="I46" s="98">
        <f>$E$42-SUM('Cost of Production'!$C$46/(' LPI Calculator'!$C$14/100))</f>
        <v>23.479954180985146</v>
      </c>
      <c r="J46" s="98">
        <f>$E$42-SUM('Cost of Production'!$C$46/(' LPI Calculator'!$C$14/100))</f>
        <v>23.479954180985146</v>
      </c>
      <c r="K46" s="98">
        <f>$E$42-SUM('Cost of Production'!$C$46/(' LPI Calculator'!$C$14/100))</f>
        <v>23.479954180985146</v>
      </c>
      <c r="L46" s="98">
        <f>$E$42-SUM('Cost of Production'!$C$46/(' LPI Calculator'!$C$14/100))</f>
        <v>23.479954180985146</v>
      </c>
      <c r="M46" s="98">
        <f>$E$42-SUM('Cost of Production'!$C$46/(' LPI Calculator'!$C$14/100))</f>
        <v>23.479954180985146</v>
      </c>
      <c r="N46" s="98">
        <f>$E$42-SUM('Cost of Production'!$C$46/(' LPI Calculator'!$C$14/100))</f>
        <v>23.479954180985146</v>
      </c>
      <c r="O46" s="98">
        <f>$E$42-SUM('Cost of Production'!$C$46/(' LPI Calculator'!$C$14/100))</f>
        <v>23.479954180985146</v>
      </c>
      <c r="P46" s="98">
        <f>$E$42-SUM('Cost of Production'!$C$46/(' LPI Calculator'!$C$14/100))</f>
        <v>23.479954180985146</v>
      </c>
      <c r="Q46" s="98">
        <f>$E$42-SUM('Cost of Production'!$C$46/(' LPI Calculator'!$C$14/100))</f>
        <v>23.479954180985146</v>
      </c>
      <c r="R46" s="98">
        <f>$E$42-SUM('Cost of Production'!$C$46/(' LPI Calculator'!$C$14/100))</f>
        <v>23.479954180985146</v>
      </c>
      <c r="S46" s="98">
        <f>$E$42-SUM('Cost of Production'!$C$46/(' LPI Calculator'!$C$14/100))</f>
        <v>23.479954180985146</v>
      </c>
      <c r="T46" s="98">
        <f>$E$42-SUM('Cost of Production'!$C$46/(' LPI Calculator'!$C$14/100))</f>
        <v>23.479954180985146</v>
      </c>
      <c r="U46" s="98">
        <f>$E$42-SUM('Cost of Production'!$C$46/(' LPI Calculator'!$C$14/100))</f>
        <v>23.479954180985146</v>
      </c>
      <c r="V46" s="98">
        <f>$E$42-SUM('Cost of Production'!$C$46/(' LPI Calculator'!$C$14/100))</f>
        <v>23.479954180985146</v>
      </c>
    </row>
    <row r="49" spans="2:22" x14ac:dyDescent="0.25">
      <c r="B49" s="94" t="s">
        <v>81</v>
      </c>
    </row>
    <row r="50" spans="2:22" x14ac:dyDescent="0.25">
      <c r="B50" s="94" t="s">
        <v>80</v>
      </c>
    </row>
    <row r="52" spans="2:22" x14ac:dyDescent="0.25">
      <c r="B52" s="94" t="s">
        <v>82</v>
      </c>
    </row>
    <row r="54" spans="2:22" ht="15.6" x14ac:dyDescent="0.25">
      <c r="B54" s="95" t="s">
        <v>169</v>
      </c>
    </row>
    <row r="55" spans="2:22" x14ac:dyDescent="0.25">
      <c r="B55" t="str">
        <f>' LPI Calculator'!A9</f>
        <v>Insured Index ($/cwt)</v>
      </c>
      <c r="C55" s="93">
        <f>' LPI Calculator'!C9</f>
        <v>332</v>
      </c>
      <c r="D55" s="93">
        <f>' LPI Calculator'!D9</f>
        <v>330</v>
      </c>
      <c r="E55" s="93">
        <f>' LPI Calculator'!E9</f>
        <v>328</v>
      </c>
      <c r="F55" s="93">
        <f>' LPI Calculator'!F9</f>
        <v>326</v>
      </c>
      <c r="G55" s="93">
        <f>' LPI Calculator'!G9</f>
        <v>324</v>
      </c>
      <c r="H55" s="93">
        <f>' LPI Calculator'!H9</f>
        <v>322</v>
      </c>
      <c r="I55" s="93">
        <f>' LPI Calculator'!I9</f>
        <v>320</v>
      </c>
      <c r="J55" s="93">
        <f>' LPI Calculator'!J9</f>
        <v>318</v>
      </c>
      <c r="K55" s="93">
        <f>' LPI Calculator'!K9</f>
        <v>316</v>
      </c>
      <c r="L55" s="93">
        <f>' LPI Calculator'!L9</f>
        <v>314</v>
      </c>
      <c r="M55" s="93">
        <f>' LPI Calculator'!M9</f>
        <v>312</v>
      </c>
      <c r="N55" s="93">
        <f>' LPI Calculator'!N9</f>
        <v>310</v>
      </c>
      <c r="O55" s="93">
        <f>' LPI Calculator'!O9</f>
        <v>308</v>
      </c>
      <c r="P55" s="93">
        <f>' LPI Calculator'!P9</f>
        <v>306</v>
      </c>
      <c r="Q55" s="93">
        <f>' LPI Calculator'!Q9</f>
        <v>304</v>
      </c>
      <c r="R55" s="93">
        <f>' LPI Calculator'!R9</f>
        <v>302</v>
      </c>
      <c r="S55" s="93">
        <f>' LPI Calculator'!S9</f>
        <v>300</v>
      </c>
      <c r="T55" s="93">
        <f>' LPI Calculator'!T9</f>
        <v>298</v>
      </c>
      <c r="U55" s="93">
        <f>' LPI Calculator'!U9</f>
        <v>296</v>
      </c>
      <c r="V55" s="93">
        <f>' LPI Calculator'!V9</f>
        <v>294</v>
      </c>
    </row>
    <row r="56" spans="2:22" s="126" customFormat="1" x14ac:dyDescent="0.25">
      <c r="B56" s="124" t="s">
        <v>84</v>
      </c>
      <c r="C56" s="128">
        <f>IF(C57="", #N/A,SUM(C57/C59))</f>
        <v>1.1196544877193255</v>
      </c>
      <c r="D56" s="128">
        <f t="shared" ref="D56:V56" si="0">IF(D57="", #N/A,SUM(D57/D59))</f>
        <v>1.1129095811667993</v>
      </c>
      <c r="E56" s="128">
        <f t="shared" si="0"/>
        <v>1.1061646746142733</v>
      </c>
      <c r="F56" s="128">
        <f t="shared" si="0"/>
        <v>1.0994197680617472</v>
      </c>
      <c r="G56" s="128">
        <f t="shared" si="0"/>
        <v>1.0926748615092212</v>
      </c>
      <c r="H56" s="128">
        <f t="shared" si="0"/>
        <v>1.0859299549566952</v>
      </c>
      <c r="I56" s="128">
        <f t="shared" si="0"/>
        <v>1.0791850484041692</v>
      </c>
      <c r="J56" s="128">
        <f t="shared" si="0"/>
        <v>1.0724401418516432</v>
      </c>
      <c r="K56" s="128">
        <f t="shared" si="0"/>
        <v>1.0656952352991171</v>
      </c>
      <c r="L56" s="128">
        <f t="shared" si="0"/>
        <v>1.0589503287465909</v>
      </c>
      <c r="M56" s="128">
        <f t="shared" si="0"/>
        <v>1.0522054221940649</v>
      </c>
      <c r="N56" s="128">
        <f t="shared" si="0"/>
        <v>1.0454605156415389</v>
      </c>
      <c r="O56" s="128">
        <f t="shared" si="0"/>
        <v>1.0387156090890128</v>
      </c>
      <c r="P56" s="128">
        <f t="shared" si="0"/>
        <v>1.0319707025364868</v>
      </c>
      <c r="Q56" s="128">
        <f t="shared" si="0"/>
        <v>1.0252257959839606</v>
      </c>
      <c r="R56" s="128" t="e">
        <f t="shared" si="0"/>
        <v>#N/A</v>
      </c>
      <c r="S56" s="128" t="e">
        <f t="shared" si="0"/>
        <v>#N/A</v>
      </c>
      <c r="T56" s="128" t="e">
        <f t="shared" si="0"/>
        <v>#N/A</v>
      </c>
      <c r="U56" s="128" t="e">
        <f t="shared" si="0"/>
        <v>#N/A</v>
      </c>
      <c r="V56" s="128" t="e">
        <f t="shared" si="0"/>
        <v>#N/A</v>
      </c>
    </row>
    <row r="57" spans="2:22" s="126" customFormat="1" x14ac:dyDescent="0.25">
      <c r="B57" s="126" t="str">
        <f>' LPI Calculator'!A21</f>
        <v>Insured Value ($/head @ 873 lbs)</v>
      </c>
      <c r="C57" s="125">
        <f>' LPI Calculator'!C21</f>
        <v>2898.36</v>
      </c>
      <c r="D57" s="125">
        <f>' LPI Calculator'!D21</f>
        <v>2880.9</v>
      </c>
      <c r="E57" s="125">
        <f>' LPI Calculator'!E21</f>
        <v>2863.44</v>
      </c>
      <c r="F57" s="125">
        <f>' LPI Calculator'!F21</f>
        <v>2845.98</v>
      </c>
      <c r="G57" s="125">
        <f>' LPI Calculator'!G21</f>
        <v>2828.52</v>
      </c>
      <c r="H57" s="125">
        <f>' LPI Calculator'!H21</f>
        <v>2811.06</v>
      </c>
      <c r="I57" s="125">
        <f>' LPI Calculator'!I21</f>
        <v>2793.6000000000004</v>
      </c>
      <c r="J57" s="125">
        <f>' LPI Calculator'!J21</f>
        <v>2776.1400000000003</v>
      </c>
      <c r="K57" s="125">
        <f>' LPI Calculator'!K21</f>
        <v>2758.6800000000003</v>
      </c>
      <c r="L57" s="125">
        <f>' LPI Calculator'!L21</f>
        <v>2741.2200000000003</v>
      </c>
      <c r="M57" s="125">
        <f>' LPI Calculator'!M21</f>
        <v>2723.76</v>
      </c>
      <c r="N57" s="125">
        <f>' LPI Calculator'!N21</f>
        <v>2706.3</v>
      </c>
      <c r="O57" s="125">
        <f>' LPI Calculator'!O21</f>
        <v>2688.84</v>
      </c>
      <c r="P57" s="125">
        <f>' LPI Calculator'!P21</f>
        <v>2671.38</v>
      </c>
      <c r="Q57" s="125">
        <f>' LPI Calculator'!Q21</f>
        <v>2653.92</v>
      </c>
      <c r="R57" s="125" t="str">
        <f>' LPI Calculator'!R21</f>
        <v/>
      </c>
      <c r="S57" s="125" t="str">
        <f>' LPI Calculator'!S21</f>
        <v/>
      </c>
      <c r="T57" s="125" t="str">
        <f>' LPI Calculator'!T21</f>
        <v/>
      </c>
      <c r="U57" s="125" t="str">
        <f>' LPI Calculator'!U21</f>
        <v/>
      </c>
      <c r="V57" s="125" t="str">
        <f>' LPI Calculator'!V21</f>
        <v/>
      </c>
    </row>
    <row r="58" spans="2:22" s="126" customFormat="1" x14ac:dyDescent="0.25">
      <c r="B58" s="126" t="str">
        <f>"Gross Revenue @ Est. Mkt. Price $"&amp;E42&amp;"/cwt @ "&amp;' LPI Calculator'!C14&amp;" lbs"</f>
        <v>Gross Revenue @ Est. Mkt. Price $320/cwt @ 873 lbs</v>
      </c>
      <c r="C58" s="125">
        <f>SUM($E$42*(' LPI Calculator'!$C$14/100))</f>
        <v>2793.6000000000004</v>
      </c>
      <c r="D58" s="125">
        <f>SUM($E$42*(' LPI Calculator'!$C$14/100))</f>
        <v>2793.6000000000004</v>
      </c>
      <c r="E58" s="125">
        <f>SUM($E$42*(' LPI Calculator'!$C$14/100))</f>
        <v>2793.6000000000004</v>
      </c>
      <c r="F58" s="125">
        <f>SUM($E$42*(' LPI Calculator'!$C$14/100))</f>
        <v>2793.6000000000004</v>
      </c>
      <c r="G58" s="125">
        <f>SUM($E$42*(' LPI Calculator'!$C$14/100))</f>
        <v>2793.6000000000004</v>
      </c>
      <c r="H58" s="125">
        <f>SUM($E$42*(' LPI Calculator'!$C$14/100))</f>
        <v>2793.6000000000004</v>
      </c>
      <c r="I58" s="125">
        <f>SUM($E$42*(' LPI Calculator'!$C$14/100))</f>
        <v>2793.6000000000004</v>
      </c>
      <c r="J58" s="125">
        <f>SUM($E$42*(' LPI Calculator'!$C$14/100))</f>
        <v>2793.6000000000004</v>
      </c>
      <c r="K58" s="125">
        <f>SUM($E$42*(' LPI Calculator'!$C$14/100))</f>
        <v>2793.6000000000004</v>
      </c>
      <c r="L58" s="125">
        <f>SUM($E$42*(' LPI Calculator'!$C$14/100))</f>
        <v>2793.6000000000004</v>
      </c>
      <c r="M58" s="125">
        <f>SUM($E$42*(' LPI Calculator'!$C$14/100))</f>
        <v>2793.6000000000004</v>
      </c>
      <c r="N58" s="125">
        <f>SUM($E$42*(' LPI Calculator'!$C$14/100))</f>
        <v>2793.6000000000004</v>
      </c>
      <c r="O58" s="125">
        <f>SUM($E$42*(' LPI Calculator'!$C$14/100))</f>
        <v>2793.6000000000004</v>
      </c>
      <c r="P58" s="125">
        <f>SUM($E$42*(' LPI Calculator'!$C$14/100))</f>
        <v>2793.6000000000004</v>
      </c>
      <c r="Q58" s="125">
        <f>SUM($E$42*(' LPI Calculator'!$C$14/100))</f>
        <v>2793.6000000000004</v>
      </c>
      <c r="R58" s="125">
        <f>SUM($E$42*(' LPI Calculator'!$C$14/100))</f>
        <v>2793.6000000000004</v>
      </c>
      <c r="S58" s="125">
        <f>SUM($E$42*(' LPI Calculator'!$C$14/100))</f>
        <v>2793.6000000000004</v>
      </c>
      <c r="T58" s="125">
        <f>SUM($E$42*(' LPI Calculator'!$C$14/100))</f>
        <v>2793.6000000000004</v>
      </c>
      <c r="U58" s="125">
        <f>SUM($E$42*(' LPI Calculator'!$C$14/100))</f>
        <v>2793.6000000000004</v>
      </c>
      <c r="V58" s="125">
        <f>SUM($E$42*(' LPI Calculator'!$C$14/100))</f>
        <v>2793.6000000000004</v>
      </c>
    </row>
    <row r="59" spans="2:22" x14ac:dyDescent="0.25">
      <c r="B59" s="94" t="s">
        <v>83</v>
      </c>
      <c r="C59" s="98">
        <f>'Cost of Production'!$C$46</f>
        <v>2588.62</v>
      </c>
      <c r="D59" s="98">
        <f>'Cost of Production'!$C$46</f>
        <v>2588.62</v>
      </c>
      <c r="E59" s="98">
        <f>'Cost of Production'!$C$46</f>
        <v>2588.62</v>
      </c>
      <c r="F59" s="98">
        <f>'Cost of Production'!$C$46</f>
        <v>2588.62</v>
      </c>
      <c r="G59" s="98">
        <f>'Cost of Production'!$C$46</f>
        <v>2588.62</v>
      </c>
      <c r="H59" s="98">
        <f>'Cost of Production'!$C$46</f>
        <v>2588.62</v>
      </c>
      <c r="I59" s="98">
        <f>'Cost of Production'!$C$46</f>
        <v>2588.62</v>
      </c>
      <c r="J59" s="98">
        <f>'Cost of Production'!$C$46</f>
        <v>2588.62</v>
      </c>
      <c r="K59" s="98">
        <f>'Cost of Production'!$C$46</f>
        <v>2588.62</v>
      </c>
      <c r="L59" s="98">
        <f>'Cost of Production'!$C$46</f>
        <v>2588.62</v>
      </c>
      <c r="M59" s="98">
        <f>'Cost of Production'!$C$46</f>
        <v>2588.62</v>
      </c>
      <c r="N59" s="98">
        <f>'Cost of Production'!$C$46</f>
        <v>2588.62</v>
      </c>
      <c r="O59" s="98">
        <f>'Cost of Production'!$C$46</f>
        <v>2588.62</v>
      </c>
      <c r="P59" s="98">
        <f>'Cost of Production'!$C$46</f>
        <v>2588.62</v>
      </c>
      <c r="Q59" s="98">
        <f>'Cost of Production'!$C$46</f>
        <v>2588.62</v>
      </c>
      <c r="R59" s="98">
        <f>'Cost of Production'!$C$46</f>
        <v>2588.62</v>
      </c>
      <c r="S59" s="98">
        <f>'Cost of Production'!$C$46</f>
        <v>2588.62</v>
      </c>
      <c r="T59" s="98">
        <f>'Cost of Production'!$C$46</f>
        <v>2588.62</v>
      </c>
      <c r="U59" s="98">
        <f>'Cost of Production'!$C$46</f>
        <v>2588.62</v>
      </c>
      <c r="V59" s="98">
        <f>'Cost of Production'!$C$46</f>
        <v>2588.62</v>
      </c>
    </row>
    <row r="60" spans="2:22" x14ac:dyDescent="0.25">
      <c r="B60" t="str">
        <f>"Return on Investment (Reward) @ Est. Mkt. Price $"&amp;E42&amp;"/cwt"</f>
        <v>Return on Investment (Reward) @ Est. Mkt. Price $320/cwt</v>
      </c>
      <c r="C60" s="99">
        <f>SUM(C58-C59)/C59</f>
        <v>7.9185048404169206E-2</v>
      </c>
      <c r="D60" s="99">
        <f t="shared" ref="D60:V60" si="1">SUM(D58-D59)/D59</f>
        <v>7.9185048404169206E-2</v>
      </c>
      <c r="E60" s="99">
        <f t="shared" si="1"/>
        <v>7.9185048404169206E-2</v>
      </c>
      <c r="F60" s="99">
        <f t="shared" si="1"/>
        <v>7.9185048404169206E-2</v>
      </c>
      <c r="G60" s="99">
        <f t="shared" si="1"/>
        <v>7.9185048404169206E-2</v>
      </c>
      <c r="H60" s="99">
        <f t="shared" si="1"/>
        <v>7.9185048404169206E-2</v>
      </c>
      <c r="I60" s="99">
        <f t="shared" si="1"/>
        <v>7.9185048404169206E-2</v>
      </c>
      <c r="J60" s="99">
        <f t="shared" si="1"/>
        <v>7.9185048404169206E-2</v>
      </c>
      <c r="K60" s="99">
        <f t="shared" si="1"/>
        <v>7.9185048404169206E-2</v>
      </c>
      <c r="L60" s="99">
        <f t="shared" si="1"/>
        <v>7.9185048404169206E-2</v>
      </c>
      <c r="M60" s="99">
        <f t="shared" si="1"/>
        <v>7.9185048404169206E-2</v>
      </c>
      <c r="N60" s="99">
        <f t="shared" si="1"/>
        <v>7.9185048404169206E-2</v>
      </c>
      <c r="O60" s="99">
        <f t="shared" si="1"/>
        <v>7.9185048404169206E-2</v>
      </c>
      <c r="P60" s="99">
        <f t="shared" si="1"/>
        <v>7.9185048404169206E-2</v>
      </c>
      <c r="Q60" s="99">
        <f t="shared" si="1"/>
        <v>7.9185048404169206E-2</v>
      </c>
      <c r="R60" s="99">
        <f t="shared" si="1"/>
        <v>7.9185048404169206E-2</v>
      </c>
      <c r="S60" s="99">
        <f t="shared" si="1"/>
        <v>7.9185048404169206E-2</v>
      </c>
      <c r="T60" s="99">
        <f t="shared" si="1"/>
        <v>7.9185048404169206E-2</v>
      </c>
      <c r="U60" s="99">
        <f t="shared" si="1"/>
        <v>7.9185048404169206E-2</v>
      </c>
      <c r="V60" s="99">
        <f t="shared" si="1"/>
        <v>7.9185048404169206E-2</v>
      </c>
    </row>
    <row r="81" spans="2:22" ht="15.6" x14ac:dyDescent="0.25">
      <c r="B81" s="95" t="s">
        <v>170</v>
      </c>
    </row>
    <row r="82" spans="2:22" x14ac:dyDescent="0.25">
      <c r="B82" t="str">
        <f>' LPI Calculator'!A9</f>
        <v>Insured Index ($/cwt)</v>
      </c>
      <c r="C82" s="93">
        <f>' LPI Calculator'!C9</f>
        <v>332</v>
      </c>
      <c r="D82" s="93">
        <f>' LPI Calculator'!D9</f>
        <v>330</v>
      </c>
      <c r="E82" s="93">
        <f>' LPI Calculator'!E9</f>
        <v>328</v>
      </c>
      <c r="F82" s="93">
        <f>' LPI Calculator'!F9</f>
        <v>326</v>
      </c>
      <c r="G82" s="93">
        <f>' LPI Calculator'!G9</f>
        <v>324</v>
      </c>
      <c r="H82" s="93">
        <f>' LPI Calculator'!H9</f>
        <v>322</v>
      </c>
      <c r="I82" s="93">
        <f>' LPI Calculator'!I9</f>
        <v>320</v>
      </c>
      <c r="J82" s="93">
        <f>' LPI Calculator'!J9</f>
        <v>318</v>
      </c>
      <c r="K82" s="93">
        <f>' LPI Calculator'!K9</f>
        <v>316</v>
      </c>
      <c r="L82" s="93">
        <f>' LPI Calculator'!L9</f>
        <v>314</v>
      </c>
      <c r="M82" s="93">
        <f>' LPI Calculator'!M9</f>
        <v>312</v>
      </c>
      <c r="N82" s="93">
        <f>' LPI Calculator'!N9</f>
        <v>310</v>
      </c>
      <c r="O82" s="93">
        <f>' LPI Calculator'!O9</f>
        <v>308</v>
      </c>
      <c r="P82" s="93">
        <f>' LPI Calculator'!P9</f>
        <v>306</v>
      </c>
      <c r="Q82" s="93">
        <f>' LPI Calculator'!Q9</f>
        <v>304</v>
      </c>
      <c r="R82" s="93">
        <f>' LPI Calculator'!R9</f>
        <v>302</v>
      </c>
      <c r="S82" s="93">
        <f>' LPI Calculator'!S9</f>
        <v>300</v>
      </c>
      <c r="T82" s="93">
        <f>' LPI Calculator'!T9</f>
        <v>298</v>
      </c>
      <c r="U82" s="93">
        <f>' LPI Calculator'!U9</f>
        <v>296</v>
      </c>
      <c r="V82" s="93">
        <f>' LPI Calculator'!V9</f>
        <v>294</v>
      </c>
    </row>
    <row r="83" spans="2:22" x14ac:dyDescent="0.25">
      <c r="B83" t="s">
        <v>49</v>
      </c>
      <c r="C83" s="99">
        <f>IF(' LPI Calculator'!C23="", #N/A,' LPI Calculator'!C23)</f>
        <v>2.6024096385542171E-2</v>
      </c>
      <c r="D83" s="99">
        <f>IF(' LPI Calculator'!D23="", #N/A,' LPI Calculator'!D23)</f>
        <v>2.5272727272727273E-2</v>
      </c>
      <c r="E83" s="99">
        <f>IF(' LPI Calculator'!E23="", #N/A,' LPI Calculator'!E23)</f>
        <v>2.478658536585366E-2</v>
      </c>
      <c r="F83" s="99">
        <f>IF(' LPI Calculator'!F23="", #N/A,' LPI Calculator'!F23)</f>
        <v>2.3803680981595091E-2</v>
      </c>
      <c r="G83" s="99">
        <f>IF(' LPI Calculator'!G23="", #N/A,' LPI Calculator'!G23)</f>
        <v>2.314814814814815E-2</v>
      </c>
      <c r="H83" s="99">
        <f>IF(' LPI Calculator'!H23="", #N/A,' LPI Calculator'!H23)</f>
        <v>2.2639751552795032E-2</v>
      </c>
      <c r="I83" s="99">
        <f>IF(' LPI Calculator'!I23="", #N/A,' LPI Calculator'!I23)</f>
        <v>2.1968749999999999E-2</v>
      </c>
      <c r="J83" s="99">
        <f>IF(' LPI Calculator'!J23="", #N/A,' LPI Calculator'!J23)</f>
        <v>2.1446540880503143E-2</v>
      </c>
      <c r="K83" s="99">
        <f>IF(' LPI Calculator'!K23="", #N/A,' LPI Calculator'!K23)</f>
        <v>2.0759493670886073E-2</v>
      </c>
      <c r="L83" s="99">
        <f>IF(' LPI Calculator'!L23="", #N/A,' LPI Calculator'!L23)</f>
        <v>2.0127388535031848E-2</v>
      </c>
      <c r="M83" s="99">
        <f>IF(' LPI Calculator'!M23="", #N/A,' LPI Calculator'!M23)</f>
        <v>1.9615384615384614E-2</v>
      </c>
      <c r="N83" s="99">
        <f>IF(' LPI Calculator'!N23="", #N/A,' LPI Calculator'!N23)</f>
        <v>1.8838709677419355E-2</v>
      </c>
      <c r="O83" s="99">
        <f>IF(' LPI Calculator'!O23="", #N/A,' LPI Calculator'!O23)</f>
        <v>1.827922077922078E-2</v>
      </c>
      <c r="P83" s="99">
        <f>IF(' LPI Calculator'!P23="", #N/A,' LPI Calculator'!P23)</f>
        <v>1.8169934640522876E-2</v>
      </c>
      <c r="Q83" s="99">
        <f>IF(' LPI Calculator'!Q23="", #N/A,' LPI Calculator'!Q23)</f>
        <v>1.7532894736842105E-2</v>
      </c>
      <c r="R83" s="99" t="e">
        <f>IF(' LPI Calculator'!R23="", #N/A,' LPI Calculator'!R23)</f>
        <v>#N/A</v>
      </c>
      <c r="S83" s="99" t="e">
        <f>IF(' LPI Calculator'!S23="", #N/A,' LPI Calculator'!S23)</f>
        <v>#N/A</v>
      </c>
      <c r="T83" s="99" t="e">
        <f>IF(' LPI Calculator'!T23="", #N/A,' LPI Calculator'!T23)</f>
        <v>#N/A</v>
      </c>
      <c r="U83" s="99" t="e">
        <f>IF(' LPI Calculator'!U23="", #N/A,' LPI Calculator'!U23)</f>
        <v>#N/A</v>
      </c>
      <c r="V83" s="99" t="e">
        <f>IF(' LPI Calculator'!V23="", #N/A,' LPI Calculator'!V23)</f>
        <v>#N/A</v>
      </c>
    </row>
    <row r="84" spans="2:22" x14ac:dyDescent="0.25">
      <c r="B84" t="s">
        <v>54</v>
      </c>
      <c r="C84" s="98">
        <f>IF(' LPI Calculator'!C31="","",' LPI Calculator'!C31)</f>
        <v>0.15000000000000083</v>
      </c>
      <c r="D84" s="98">
        <f>IF(' LPI Calculator'!D31="","",' LPI Calculator'!D31)</f>
        <v>0.10499999999999933</v>
      </c>
      <c r="E84" s="98">
        <f>IF(' LPI Calculator'!E31="","",' LPI Calculator'!E31)</f>
        <v>0.18500000000000033</v>
      </c>
      <c r="F84" s="98">
        <f>IF(' LPI Calculator'!F31="","",' LPI Calculator'!F31)</f>
        <v>0.12999999999999975</v>
      </c>
      <c r="G84" s="98">
        <f>IF(' LPI Calculator'!G31="","",' LPI Calculator'!G31)</f>
        <v>0.10500000000000058</v>
      </c>
      <c r="H84" s="98">
        <f>IF(' LPI Calculator'!H31="","",' LPI Calculator'!H31)</f>
        <v>0.13000000000000322</v>
      </c>
      <c r="I84" s="98">
        <f>IF(' LPI Calculator'!I31="","",' LPI Calculator'!I31)</f>
        <v>0.10499999999999975</v>
      </c>
      <c r="J84" s="98">
        <f>IF(' LPI Calculator'!J31="","",' LPI Calculator'!J31)</f>
        <v>0.13000000000000059</v>
      </c>
      <c r="K84" s="98">
        <f>IF(' LPI Calculator'!K31="","",' LPI Calculator'!K31)</f>
        <v>0.11999999999999941</v>
      </c>
      <c r="L84" s="98">
        <f>IF(' LPI Calculator'!L31="","",' LPI Calculator'!L31)</f>
        <v>9.9999999999997327E-2</v>
      </c>
      <c r="M84" s="98">
        <f>IF(' LPI Calculator'!M31="","",' LPI Calculator'!M31)</f>
        <v>0.1400000000000001</v>
      </c>
      <c r="N84" s="98">
        <f>IF(' LPI Calculator'!N31="","",' LPI Calculator'!N31)</f>
        <v>0.10500000000000016</v>
      </c>
      <c r="O84" s="98">
        <f>IF(' LPI Calculator'!O31="","",' LPI Calculator'!O31)</f>
        <v>3.499999999999992E-2</v>
      </c>
      <c r="P84" s="98">
        <f>IF(' LPI Calculator'!P31="","",' LPI Calculator'!P31)</f>
        <v>0.11500000000000009</v>
      </c>
      <c r="Q84" s="98" t="str">
        <f>IF(' LPI Calculator'!Q31="","",' LPI Calculator'!Q31)</f>
        <v/>
      </c>
      <c r="R84" s="98" t="str">
        <f>IF(' LPI Calculator'!R31="","",' LPI Calculator'!R31)</f>
        <v/>
      </c>
      <c r="S84" s="98" t="str">
        <f>IF(' LPI Calculator'!S31="","",' LPI Calculator'!S31)</f>
        <v/>
      </c>
      <c r="T84" s="98" t="str">
        <f>IF(' LPI Calculator'!T31="","",' LPI Calculator'!T31)</f>
        <v/>
      </c>
      <c r="U84" s="98" t="str">
        <f>IF(' LPI Calculator'!U31="","",' LPI Calculator'!U31)</f>
        <v/>
      </c>
      <c r="V84" s="98"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9"/>
  <sheetViews>
    <sheetView showGridLines="0" zoomScale="90" zoomScaleNormal="90" workbookViewId="0">
      <selection activeCell="F23" sqref="F23"/>
    </sheetView>
  </sheetViews>
  <sheetFormatPr defaultColWidth="8" defaultRowHeight="17.399999999999999" x14ac:dyDescent="0.3"/>
  <cols>
    <col min="1" max="1" width="1.6328125" style="3" customWidth="1"/>
    <col min="2" max="2" width="29.08984375" style="3" customWidth="1"/>
    <col min="3" max="22" width="8.7265625" style="3" customWidth="1"/>
    <col min="23" max="16384" width="8" style="2"/>
  </cols>
  <sheetData>
    <row r="1" spans="1:84" s="19" customFormat="1" ht="27" customHeight="1" x14ac:dyDescent="0.25">
      <c r="A1" s="17"/>
      <c r="B1" s="17"/>
      <c r="C1" s="18"/>
      <c r="D1" s="18"/>
      <c r="E1" s="18"/>
      <c r="F1" s="18"/>
    </row>
    <row r="2" spans="1:84" s="19" customFormat="1" ht="27.6" x14ac:dyDescent="0.45">
      <c r="A2" s="20" t="s">
        <v>45</v>
      </c>
      <c r="B2" s="17"/>
      <c r="C2" s="18"/>
      <c r="D2" s="18"/>
      <c r="E2" s="18"/>
      <c r="F2" s="18"/>
    </row>
    <row r="3" spans="1:84" s="19" customFormat="1" ht="21" x14ac:dyDescent="0.4">
      <c r="A3" s="30" t="s">
        <v>53</v>
      </c>
      <c r="B3" s="17"/>
      <c r="C3" s="18"/>
      <c r="D3" s="18"/>
      <c r="U3" s="21" t="s">
        <v>5</v>
      </c>
      <c r="V3" s="22">
        <f ca="1">TODAY()</f>
        <v>45209</v>
      </c>
    </row>
    <row r="4" spans="1:84" ht="7.5" customHeight="1" thickBot="1" x14ac:dyDescent="0.35"/>
    <row r="5" spans="1:84" s="14" customFormat="1" ht="16.2" thickBot="1" x14ac:dyDescent="0.35">
      <c r="A5" s="8" t="s">
        <v>34</v>
      </c>
      <c r="B5" s="13"/>
      <c r="C5" s="72">
        <f>' LPI Calculator'!C14</f>
        <v>873</v>
      </c>
      <c r="D5" s="14" t="s">
        <v>4</v>
      </c>
      <c r="G5" s="13"/>
      <c r="H5" s="82" t="s">
        <v>58</v>
      </c>
      <c r="I5" s="100">
        <f>' LPI Calculator'!I14</f>
        <v>280</v>
      </c>
      <c r="J5" s="50" t="s">
        <v>59</v>
      </c>
      <c r="M5" s="83" t="s">
        <v>73</v>
      </c>
      <c r="N5" s="101" t="str">
        <f>' LPI Calculator'!G7</f>
        <v>October</v>
      </c>
      <c r="O5" s="102">
        <f>' LPI Calculator'!H7</f>
        <v>3</v>
      </c>
    </row>
    <row r="6" spans="1:84" ht="18" customHeight="1" x14ac:dyDescent="0.3">
      <c r="A6" s="8" t="s">
        <v>35</v>
      </c>
      <c r="B6" s="13"/>
      <c r="C6" s="103">
        <f>' LPI Calculator'!C15</f>
        <v>500</v>
      </c>
      <c r="D6" s="50" t="s">
        <v>36</v>
      </c>
      <c r="E6" s="2"/>
      <c r="F6" s="2"/>
      <c r="G6" s="13"/>
      <c r="H6" s="83" t="s">
        <v>86</v>
      </c>
      <c r="I6" s="104">
        <v>1500</v>
      </c>
      <c r="J6" s="50" t="s">
        <v>85</v>
      </c>
    </row>
    <row r="7" spans="1:84" ht="18" customHeight="1" x14ac:dyDescent="0.3">
      <c r="A7" s="8" t="s">
        <v>90</v>
      </c>
      <c r="B7" s="13"/>
      <c r="C7" s="72">
        <f>SUM(C6*C5)</f>
        <v>436500</v>
      </c>
      <c r="D7" s="14" t="s">
        <v>4</v>
      </c>
      <c r="E7" s="2"/>
      <c r="F7" s="29" t="s">
        <v>10</v>
      </c>
    </row>
    <row r="8" spans="1:84" ht="18" customHeight="1" x14ac:dyDescent="0.3">
      <c r="A8" s="8"/>
      <c r="B8" s="13"/>
      <c r="C8" s="72"/>
      <c r="D8" s="14"/>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3">
      <c r="A9" s="8"/>
      <c r="B9" s="13"/>
      <c r="C9" s="10"/>
      <c r="D9" s="14"/>
      <c r="E9" s="2"/>
      <c r="F9" s="2"/>
      <c r="BB9" s="2" t="s">
        <v>61</v>
      </c>
      <c r="BC9" s="2" t="s">
        <v>62</v>
      </c>
      <c r="BD9" s="2" t="s">
        <v>63</v>
      </c>
      <c r="BE9" s="56" t="s">
        <v>64</v>
      </c>
      <c r="BF9" s="2" t="s">
        <v>65</v>
      </c>
      <c r="BG9" s="2" t="s">
        <v>66</v>
      </c>
      <c r="BH9" s="2" t="s">
        <v>67</v>
      </c>
      <c r="BI9" s="2" t="s">
        <v>68</v>
      </c>
      <c r="BJ9" s="2" t="s">
        <v>69</v>
      </c>
      <c r="BK9" s="56" t="s">
        <v>70</v>
      </c>
      <c r="BL9" s="2" t="s">
        <v>71</v>
      </c>
      <c r="BM9" s="2" t="s">
        <v>72</v>
      </c>
    </row>
    <row r="10" spans="1:84" x14ac:dyDescent="0.3">
      <c r="A10" s="181" t="s">
        <v>42</v>
      </c>
      <c r="B10" s="181"/>
      <c r="C10" s="181"/>
      <c r="D10" s="181"/>
      <c r="E10" s="181"/>
      <c r="F10" s="181"/>
      <c r="G10" s="181"/>
      <c r="H10" s="181"/>
      <c r="I10" s="181"/>
      <c r="J10" s="181"/>
      <c r="K10" s="181"/>
      <c r="L10" s="181"/>
      <c r="M10" s="181"/>
      <c r="N10" s="181"/>
      <c r="O10" s="181"/>
      <c r="P10" s="181"/>
      <c r="Q10" s="181"/>
      <c r="R10" s="181"/>
      <c r="S10" s="181"/>
      <c r="T10" s="181"/>
      <c r="U10" s="181"/>
      <c r="V10" s="181"/>
      <c r="W10" s="1"/>
      <c r="X10" s="1"/>
      <c r="Y10" s="1"/>
      <c r="Z10" s="1"/>
      <c r="AA10" s="1"/>
    </row>
    <row r="11" spans="1:84" s="56" customFormat="1" ht="7.5" customHeight="1" x14ac:dyDescent="0.3">
      <c r="A11" s="55"/>
      <c r="B11" s="55"/>
      <c r="C11" s="55"/>
      <c r="D11" s="55"/>
      <c r="E11" s="55"/>
      <c r="F11" s="55"/>
      <c r="G11" s="55"/>
      <c r="H11" s="55"/>
      <c r="I11" s="55"/>
      <c r="J11" s="55"/>
      <c r="K11" s="55"/>
      <c r="L11" s="55"/>
      <c r="M11" s="55"/>
      <c r="N11" s="55"/>
      <c r="O11" s="55"/>
      <c r="P11" s="55"/>
      <c r="Q11" s="55"/>
      <c r="R11" s="55"/>
      <c r="S11" s="55"/>
      <c r="T11" s="55"/>
      <c r="U11" s="55"/>
      <c r="V11" s="55"/>
      <c r="W11" s="1"/>
      <c r="X11" s="1"/>
      <c r="Y11" s="1"/>
      <c r="Z11" s="1"/>
      <c r="AA11" s="1"/>
      <c r="BB11" s="2"/>
    </row>
    <row r="12" spans="1:84" x14ac:dyDescent="0.3">
      <c r="A12" s="4"/>
      <c r="C12" s="183" t="s">
        <v>46</v>
      </c>
      <c r="D12" s="183"/>
      <c r="E12" s="183"/>
      <c r="F12" s="183"/>
      <c r="G12" s="183"/>
      <c r="H12" s="183"/>
      <c r="I12" s="183"/>
      <c r="J12" s="183"/>
      <c r="K12" s="183"/>
      <c r="L12" s="183"/>
      <c r="M12" s="183"/>
      <c r="N12" s="183"/>
      <c r="O12" s="183"/>
      <c r="P12" s="183"/>
      <c r="Q12" s="183"/>
      <c r="R12" s="183"/>
      <c r="S12" s="183"/>
      <c r="T12" s="183"/>
      <c r="U12" s="183"/>
      <c r="V12" s="183"/>
    </row>
    <row r="13" spans="1:84" x14ac:dyDescent="0.3">
      <c r="A13" s="6" t="s">
        <v>55</v>
      </c>
      <c r="B13" s="2"/>
      <c r="C13" s="105">
        <f>' LPI Calculator'!C9</f>
        <v>332</v>
      </c>
      <c r="D13" s="73">
        <f>SUM(C13-2)</f>
        <v>330</v>
      </c>
      <c r="E13" s="73">
        <f t="shared" ref="E13:V13" si="1">SUM(D13-2)</f>
        <v>328</v>
      </c>
      <c r="F13" s="73">
        <f t="shared" si="1"/>
        <v>326</v>
      </c>
      <c r="G13" s="73">
        <f t="shared" si="1"/>
        <v>324</v>
      </c>
      <c r="H13" s="73">
        <f t="shared" si="1"/>
        <v>322</v>
      </c>
      <c r="I13" s="73">
        <f t="shared" si="1"/>
        <v>320</v>
      </c>
      <c r="J13" s="73">
        <f t="shared" si="1"/>
        <v>318</v>
      </c>
      <c r="K13" s="73">
        <f t="shared" si="1"/>
        <v>316</v>
      </c>
      <c r="L13" s="73">
        <f t="shared" si="1"/>
        <v>314</v>
      </c>
      <c r="M13" s="73">
        <f t="shared" si="1"/>
        <v>312</v>
      </c>
      <c r="N13" s="73">
        <f t="shared" si="1"/>
        <v>310</v>
      </c>
      <c r="O13" s="73">
        <f t="shared" si="1"/>
        <v>308</v>
      </c>
      <c r="P13" s="73">
        <f t="shared" si="1"/>
        <v>306</v>
      </c>
      <c r="Q13" s="73">
        <f t="shared" si="1"/>
        <v>304</v>
      </c>
      <c r="R13" s="73">
        <f t="shared" si="1"/>
        <v>302</v>
      </c>
      <c r="S13" s="73">
        <f t="shared" si="1"/>
        <v>300</v>
      </c>
      <c r="T13" s="73">
        <f t="shared" si="1"/>
        <v>298</v>
      </c>
      <c r="U13" s="73">
        <f t="shared" si="1"/>
        <v>296</v>
      </c>
      <c r="V13" s="73">
        <f t="shared" si="1"/>
        <v>294</v>
      </c>
    </row>
    <row r="14" spans="1:84" x14ac:dyDescent="0.3">
      <c r="A14" s="6" t="s">
        <v>56</v>
      </c>
      <c r="B14" s="2"/>
      <c r="C14" s="106">
        <f>' LPI Calculator'!C10</f>
        <v>8.64</v>
      </c>
      <c r="D14" s="106">
        <f>' LPI Calculator'!D10</f>
        <v>8.34</v>
      </c>
      <c r="E14" s="106">
        <f>' LPI Calculator'!E10</f>
        <v>8.1300000000000008</v>
      </c>
      <c r="F14" s="106">
        <f>' LPI Calculator'!F10</f>
        <v>7.76</v>
      </c>
      <c r="G14" s="106">
        <f>' LPI Calculator'!G10</f>
        <v>7.5</v>
      </c>
      <c r="H14" s="106">
        <f>' LPI Calculator'!H10</f>
        <v>7.29</v>
      </c>
      <c r="I14" s="106">
        <f>' LPI Calculator'!I10</f>
        <v>7.03</v>
      </c>
      <c r="J14" s="106">
        <f>' LPI Calculator'!J10</f>
        <v>6.82</v>
      </c>
      <c r="K14" s="106">
        <f>' LPI Calculator'!K10</f>
        <v>6.56</v>
      </c>
      <c r="L14" s="106">
        <f>' LPI Calculator'!L10</f>
        <v>6.32</v>
      </c>
      <c r="M14" s="106">
        <f>' LPI Calculator'!M10</f>
        <v>6.12</v>
      </c>
      <c r="N14" s="106">
        <f>' LPI Calculator'!N10</f>
        <v>5.84</v>
      </c>
      <c r="O14" s="106">
        <f>' LPI Calculator'!O10</f>
        <v>5.63</v>
      </c>
      <c r="P14" s="106">
        <f>' LPI Calculator'!P10</f>
        <v>5.56</v>
      </c>
      <c r="Q14" s="106">
        <f>' LPI Calculator'!Q10</f>
        <v>5.33</v>
      </c>
      <c r="R14" s="106">
        <f>' LPI Calculator'!R10</f>
        <v>0</v>
      </c>
      <c r="S14" s="106">
        <f>' LPI Calculator'!S10</f>
        <v>0</v>
      </c>
      <c r="T14" s="106">
        <f>' LPI Calculator'!T10</f>
        <v>0</v>
      </c>
      <c r="U14" s="106">
        <f>' LPI Calculator'!U10</f>
        <v>0</v>
      </c>
      <c r="V14" s="106">
        <f>' LPI Calculator'!V10</f>
        <v>0</v>
      </c>
    </row>
    <row r="15" spans="1:84" ht="7.5" customHeight="1" x14ac:dyDescent="0.3">
      <c r="A15" s="7"/>
      <c r="C15" s="12"/>
      <c r="D15" s="12"/>
      <c r="E15" s="12"/>
      <c r="F15" s="12"/>
      <c r="G15" s="12"/>
      <c r="H15" s="12"/>
      <c r="I15" s="12"/>
      <c r="J15" s="12"/>
      <c r="K15" s="12"/>
      <c r="L15" s="12"/>
      <c r="M15" s="12"/>
      <c r="N15" s="12"/>
      <c r="O15" s="12"/>
      <c r="P15" s="12"/>
      <c r="Q15" s="12"/>
      <c r="R15" s="12"/>
      <c r="S15" s="12"/>
      <c r="T15" s="12"/>
      <c r="U15" s="12"/>
      <c r="V15" s="12"/>
    </row>
    <row r="16" spans="1:84" x14ac:dyDescent="0.3">
      <c r="A16" s="181" t="s">
        <v>41</v>
      </c>
      <c r="B16" s="181"/>
      <c r="C16" s="181"/>
      <c r="D16" s="181"/>
      <c r="E16" s="181"/>
      <c r="F16" s="181"/>
      <c r="G16" s="181"/>
      <c r="H16" s="181"/>
      <c r="I16" s="181"/>
      <c r="J16" s="181"/>
      <c r="K16" s="181"/>
      <c r="L16" s="181"/>
      <c r="M16" s="181"/>
      <c r="N16" s="181"/>
      <c r="O16" s="181"/>
      <c r="P16" s="181"/>
      <c r="Q16" s="181"/>
      <c r="R16" s="181"/>
      <c r="S16" s="181"/>
      <c r="T16" s="181"/>
      <c r="U16" s="181"/>
      <c r="V16" s="181"/>
      <c r="W16" s="1"/>
      <c r="X16" s="1"/>
      <c r="Y16" s="1"/>
      <c r="Z16" s="1"/>
      <c r="AA16" s="1"/>
    </row>
    <row r="17" spans="1:54" s="56" customFormat="1" ht="7.5" customHeight="1" x14ac:dyDescent="0.3">
      <c r="A17" s="55"/>
      <c r="B17" s="55"/>
      <c r="C17" s="55"/>
      <c r="D17" s="55"/>
      <c r="E17" s="55"/>
      <c r="F17" s="55"/>
      <c r="G17" s="55"/>
      <c r="H17" s="55"/>
      <c r="I17" s="55"/>
      <c r="J17" s="55"/>
      <c r="K17" s="55"/>
      <c r="L17" s="55"/>
      <c r="M17" s="55"/>
      <c r="N17" s="55"/>
      <c r="O17" s="55"/>
      <c r="P17" s="55"/>
      <c r="Q17" s="55"/>
      <c r="R17" s="55"/>
      <c r="S17" s="55"/>
      <c r="T17" s="55"/>
      <c r="U17" s="55"/>
      <c r="V17" s="55"/>
      <c r="W17" s="1"/>
      <c r="X17" s="1"/>
      <c r="Y17" s="1"/>
      <c r="Z17" s="1"/>
      <c r="AA17" s="1"/>
      <c r="BB17" s="2"/>
    </row>
    <row r="18" spans="1:54" x14ac:dyDescent="0.3">
      <c r="A18" s="6" t="str">
        <f>"Premium Cost ($/head @ "&amp;C5&amp;" lbs)"</f>
        <v>Premium Cost ($/head @ 873 lbs)</v>
      </c>
      <c r="B18" s="79"/>
      <c r="C18" s="76">
        <f>IF(SUM(C14*($C$5/100))=0,"",SUM(C23/$C$6))</f>
        <v>3</v>
      </c>
      <c r="D18" s="76">
        <f>IF(SUM(D14*($C$5/100))=0,"",SUM(D23/$C$6))</f>
        <v>3</v>
      </c>
      <c r="E18" s="76">
        <f>IF(SUM(E14*($C$5/100))=0,"",SUM(E23/$C$6))</f>
        <v>3</v>
      </c>
      <c r="F18" s="76">
        <f>IF(SUM(F14*($C$5/100))=0,"",SUM(F23/$C$6))</f>
        <v>3</v>
      </c>
      <c r="G18" s="76">
        <f t="shared" ref="G18:V18" si="2">IF(SUM(G14*($C$5/100))=0,"",SUM(G23/$C$6))</f>
        <v>3</v>
      </c>
      <c r="H18" s="76">
        <f t="shared" si="2"/>
        <v>3</v>
      </c>
      <c r="I18" s="76">
        <f t="shared" si="2"/>
        <v>3</v>
      </c>
      <c r="J18" s="76">
        <f t="shared" si="2"/>
        <v>3</v>
      </c>
      <c r="K18" s="76">
        <f t="shared" si="2"/>
        <v>3</v>
      </c>
      <c r="L18" s="76">
        <f t="shared" si="2"/>
        <v>3</v>
      </c>
      <c r="M18" s="76">
        <f t="shared" si="2"/>
        <v>3</v>
      </c>
      <c r="N18" s="76">
        <f t="shared" si="2"/>
        <v>3</v>
      </c>
      <c r="O18" s="76">
        <f t="shared" si="2"/>
        <v>3</v>
      </c>
      <c r="P18" s="76">
        <f t="shared" si="2"/>
        <v>3</v>
      </c>
      <c r="Q18" s="76">
        <f t="shared" si="2"/>
        <v>3</v>
      </c>
      <c r="R18" s="76" t="str">
        <f t="shared" si="2"/>
        <v/>
      </c>
      <c r="S18" s="76" t="str">
        <f t="shared" si="2"/>
        <v/>
      </c>
      <c r="T18" s="76" t="str">
        <f t="shared" si="2"/>
        <v/>
      </c>
      <c r="U18" s="76" t="str">
        <f t="shared" si="2"/>
        <v/>
      </c>
      <c r="V18" s="76" t="str">
        <f t="shared" si="2"/>
        <v/>
      </c>
    </row>
    <row r="19" spans="1:54" x14ac:dyDescent="0.3">
      <c r="A19" s="6" t="str">
        <f>"Insured Value ($/head @ "&amp;C5&amp;" lbs)"</f>
        <v>Insured Value ($/head @ 873 lbs)</v>
      </c>
      <c r="B19" s="79"/>
      <c r="C19" s="81">
        <f>IF(SUM(C14*($C$5/100))=0,"",SUM((C18/C14)*(C13)))</f>
        <v>115.27777777777777</v>
      </c>
      <c r="D19" s="81">
        <f>IF(SUM(D14*($C$5/100))=0,"",SUM((D18/D14)*(D13)))</f>
        <v>118.70503597122301</v>
      </c>
      <c r="E19" s="81">
        <f>IF(SUM(E14*($C$5/100))=0,"",SUM((E18/E14)*(E13)))</f>
        <v>121.03321033210331</v>
      </c>
      <c r="F19" s="81">
        <f>IF(SUM(F14*($C$5/100))=0,"",SUM((F18/F14)*(F13)))</f>
        <v>126.03092783505156</v>
      </c>
      <c r="G19" s="81">
        <f t="shared" ref="G19:V19" si="3">IF(SUM(G14*($C$5/100))=0,"",SUM((G18/G14)*(G13)))</f>
        <v>129.6</v>
      </c>
      <c r="H19" s="81">
        <f t="shared" si="3"/>
        <v>132.51028806584364</v>
      </c>
      <c r="I19" s="81">
        <f t="shared" si="3"/>
        <v>136.55761024182078</v>
      </c>
      <c r="J19" s="81">
        <f t="shared" si="3"/>
        <v>139.88269794721407</v>
      </c>
      <c r="K19" s="81">
        <f t="shared" si="3"/>
        <v>144.51219512195124</v>
      </c>
      <c r="L19" s="81">
        <f t="shared" si="3"/>
        <v>149.0506329113924</v>
      </c>
      <c r="M19" s="81">
        <f t="shared" si="3"/>
        <v>152.94117647058823</v>
      </c>
      <c r="N19" s="81">
        <f t="shared" si="3"/>
        <v>159.24657534246577</v>
      </c>
      <c r="O19" s="81">
        <f t="shared" si="3"/>
        <v>164.12078152753108</v>
      </c>
      <c r="P19" s="81">
        <f t="shared" si="3"/>
        <v>165.10791366906477</v>
      </c>
      <c r="Q19" s="81">
        <f t="shared" si="3"/>
        <v>171.10694183864916</v>
      </c>
      <c r="R19" s="81" t="str">
        <f t="shared" si="3"/>
        <v/>
      </c>
      <c r="S19" s="81" t="str">
        <f t="shared" si="3"/>
        <v/>
      </c>
      <c r="T19" s="81" t="str">
        <f t="shared" si="3"/>
        <v/>
      </c>
      <c r="U19" s="81" t="str">
        <f t="shared" si="3"/>
        <v/>
      </c>
      <c r="V19" s="81" t="str">
        <f t="shared" si="3"/>
        <v/>
      </c>
    </row>
    <row r="20" spans="1:54" ht="7.5" customHeight="1" x14ac:dyDescent="0.3">
      <c r="A20" s="6"/>
      <c r="B20" s="79"/>
      <c r="C20" s="81"/>
      <c r="D20" s="81"/>
      <c r="E20" s="81"/>
      <c r="F20" s="81"/>
      <c r="G20" s="81"/>
      <c r="H20" s="81"/>
      <c r="I20" s="81"/>
      <c r="J20" s="81"/>
      <c r="K20" s="81"/>
      <c r="L20" s="81"/>
      <c r="M20" s="81"/>
      <c r="N20" s="81"/>
      <c r="O20" s="81"/>
      <c r="P20" s="81"/>
      <c r="Q20" s="81"/>
      <c r="R20" s="81"/>
      <c r="S20" s="81"/>
      <c r="T20" s="81"/>
      <c r="U20" s="81"/>
      <c r="V20" s="81"/>
    </row>
    <row r="21" spans="1:54" x14ac:dyDescent="0.3">
      <c r="A21" s="6" t="s">
        <v>49</v>
      </c>
      <c r="B21" s="79"/>
      <c r="C21" s="110">
        <f>IF(SUM(C14*($C$5/100))=0,"",SUM(C18/C19))</f>
        <v>2.6024096385542171E-2</v>
      </c>
      <c r="D21" s="110">
        <f>IF(SUM(D14*($C$5/100))=0,"",SUM(D18/D19))</f>
        <v>2.5272727272727273E-2</v>
      </c>
      <c r="E21" s="110">
        <f>IF(SUM(E14*($C$5/100))=0,"",SUM(E18/E19))</f>
        <v>2.478658536585366E-2</v>
      </c>
      <c r="F21" s="110">
        <f>IF(SUM(F14*($C$5/100))=0,"",SUM(F18/F19))</f>
        <v>2.3803680981595091E-2</v>
      </c>
      <c r="G21" s="110">
        <f t="shared" ref="G21:V21" si="4">IF(SUM(G14*($C$5/100))=0,"",SUM(G18/G19))</f>
        <v>2.314814814814815E-2</v>
      </c>
      <c r="H21" s="110">
        <f t="shared" si="4"/>
        <v>2.2639751552795028E-2</v>
      </c>
      <c r="I21" s="110">
        <f t="shared" si="4"/>
        <v>2.1968749999999999E-2</v>
      </c>
      <c r="J21" s="110">
        <f t="shared" si="4"/>
        <v>2.1446540880503146E-2</v>
      </c>
      <c r="K21" s="110">
        <f t="shared" si="4"/>
        <v>2.0759493670886073E-2</v>
      </c>
      <c r="L21" s="110">
        <f t="shared" si="4"/>
        <v>2.0127388535031848E-2</v>
      </c>
      <c r="M21" s="110">
        <f t="shared" si="4"/>
        <v>1.9615384615384614E-2</v>
      </c>
      <c r="N21" s="110">
        <f t="shared" si="4"/>
        <v>1.8838709677419352E-2</v>
      </c>
      <c r="O21" s="110">
        <f t="shared" si="4"/>
        <v>1.827922077922078E-2</v>
      </c>
      <c r="P21" s="110">
        <f t="shared" si="4"/>
        <v>1.8169934640522873E-2</v>
      </c>
      <c r="Q21" s="110">
        <f t="shared" si="4"/>
        <v>1.7532894736842105E-2</v>
      </c>
      <c r="R21" s="110" t="str">
        <f t="shared" si="4"/>
        <v/>
      </c>
      <c r="S21" s="110" t="str">
        <f t="shared" si="4"/>
        <v/>
      </c>
      <c r="T21" s="110" t="str">
        <f t="shared" si="4"/>
        <v/>
      </c>
      <c r="U21" s="110" t="str">
        <f t="shared" si="4"/>
        <v/>
      </c>
      <c r="V21" s="110" t="str">
        <f t="shared" si="4"/>
        <v/>
      </c>
    </row>
    <row r="22" spans="1:54" ht="7.5" customHeight="1" x14ac:dyDescent="0.3">
      <c r="A22" s="6"/>
      <c r="B22" s="79"/>
      <c r="C22" s="76"/>
      <c r="D22" s="76"/>
      <c r="E22" s="76"/>
      <c r="F22" s="76"/>
      <c r="G22" s="76"/>
      <c r="H22" s="76"/>
      <c r="I22" s="76"/>
      <c r="J22" s="76"/>
      <c r="K22" s="76"/>
      <c r="L22" s="76"/>
      <c r="M22" s="76"/>
      <c r="N22" s="76"/>
      <c r="O22" s="76"/>
      <c r="P22" s="76"/>
      <c r="Q22" s="76"/>
      <c r="R22" s="76"/>
      <c r="S22" s="76"/>
      <c r="T22" s="76"/>
      <c r="U22" s="76"/>
      <c r="V22" s="76"/>
    </row>
    <row r="23" spans="1:54" x14ac:dyDescent="0.3">
      <c r="A23" s="6" t="str">
        <f>"Total Premium ("&amp;C6&amp;" calves)"</f>
        <v>Total Premium (500 calves)</v>
      </c>
      <c r="B23" s="79"/>
      <c r="C23" s="112">
        <f>IF(SUM(C14*($C$5/100))=0,"",IF(' LPI Calculator'!C25&lt;$I$6,' LPI Calculator'!C25,'WLPIP 2 (HIDE)'!$I$6))</f>
        <v>1500</v>
      </c>
      <c r="D23" s="112">
        <f>IF(SUM(D14*($C$5/100))=0,"",IF(' LPI Calculator'!D25&lt;$I$6,' LPI Calculator'!D25,'WLPIP 2 (HIDE)'!$I$6))</f>
        <v>1500</v>
      </c>
      <c r="E23" s="112">
        <f>IF(SUM(E14*($C$5/100))=0,"",IF(' LPI Calculator'!E25&lt;$I$6,' LPI Calculator'!E25,'WLPIP 2 (HIDE)'!$I$6))</f>
        <v>1500</v>
      </c>
      <c r="F23" s="112">
        <f>IF(SUM(F14*($C$5/100))=0,"",IF(' LPI Calculator'!F25&lt;$I$6,' LPI Calculator'!F25,'WLPIP 2 (HIDE)'!$I$6))</f>
        <v>1500</v>
      </c>
      <c r="G23" s="112">
        <f>IF(SUM(G14*($C$5/100))=0,"",IF(' LPI Calculator'!G25&lt;$I$6,' LPI Calculator'!G25,'WLPIP 2 (HIDE)'!$I$6))</f>
        <v>1500</v>
      </c>
      <c r="H23" s="112">
        <f>IF(SUM(H14*($C$5/100))=0,"",IF(' LPI Calculator'!H25&lt;$I$6,' LPI Calculator'!H25,'WLPIP 2 (HIDE)'!$I$6))</f>
        <v>1500</v>
      </c>
      <c r="I23" s="112">
        <f>IF(SUM(I14*($C$5/100))=0,"",IF(' LPI Calculator'!I25&lt;$I$6,' LPI Calculator'!I25,'WLPIP 2 (HIDE)'!$I$6))</f>
        <v>1500</v>
      </c>
      <c r="J23" s="112">
        <f>IF(SUM(J14*($C$5/100))=0,"",IF(' LPI Calculator'!J25&lt;$I$6,' LPI Calculator'!J25,'WLPIP 2 (HIDE)'!$I$6))</f>
        <v>1500</v>
      </c>
      <c r="K23" s="112">
        <f>IF(SUM(K14*($C$5/100))=0,"",IF(' LPI Calculator'!K25&lt;$I$6,' LPI Calculator'!K25,'WLPIP 2 (HIDE)'!$I$6))</f>
        <v>1500</v>
      </c>
      <c r="L23" s="112">
        <f>IF(SUM(L14*($C$5/100))=0,"",IF(' LPI Calculator'!L25&lt;$I$6,' LPI Calculator'!L25,'WLPIP 2 (HIDE)'!$I$6))</f>
        <v>1500</v>
      </c>
      <c r="M23" s="112">
        <f>IF(SUM(M14*($C$5/100))=0,"",IF(' LPI Calculator'!M25&lt;$I$6,' LPI Calculator'!M25,'WLPIP 2 (HIDE)'!$I$6))</f>
        <v>1500</v>
      </c>
      <c r="N23" s="112">
        <f>IF(SUM(N14*($C$5/100))=0,"",IF(' LPI Calculator'!N25&lt;$I$6,' LPI Calculator'!N25,'WLPIP 2 (HIDE)'!$I$6))</f>
        <v>1500</v>
      </c>
      <c r="O23" s="112">
        <f>IF(SUM(O14*($C$5/100))=0,"",IF(' LPI Calculator'!O25&lt;$I$6,' LPI Calculator'!O25,'WLPIP 2 (HIDE)'!$I$6))</f>
        <v>1500</v>
      </c>
      <c r="P23" s="112">
        <f>IF(SUM(P14*($C$5/100))=0,"",IF(' LPI Calculator'!P25&lt;$I$6,' LPI Calculator'!P25,'WLPIP 2 (HIDE)'!$I$6))</f>
        <v>1500</v>
      </c>
      <c r="Q23" s="112">
        <f>IF(SUM(Q14*($C$5/100))=0,"",IF(' LPI Calculator'!Q25&lt;$I$6,' LPI Calculator'!Q25,'WLPIP 2 (HIDE)'!$I$6))</f>
        <v>1500</v>
      </c>
      <c r="R23" s="112" t="str">
        <f>IF(SUM(R14*($C$5/100))=0,"",IF(' LPI Calculator'!R25&lt;$I$6,' LPI Calculator'!R25,'WLPIP 2 (HIDE)'!$I$6))</f>
        <v/>
      </c>
      <c r="S23" s="112" t="str">
        <f>IF(SUM(S14*($C$5/100))=0,"",IF(' LPI Calculator'!S25&lt;$I$6,' LPI Calculator'!S25,'WLPIP 2 (HIDE)'!$I$6))</f>
        <v/>
      </c>
      <c r="T23" s="112" t="str">
        <f>IF(SUM(T14*($C$5/100))=0,"",IF(' LPI Calculator'!T25&lt;$I$6,' LPI Calculator'!T25,'WLPIP 2 (HIDE)'!$I$6))</f>
        <v/>
      </c>
      <c r="U23" s="112" t="str">
        <f>IF(SUM(U14*($C$5/100))=0,"",IF(' LPI Calculator'!U25&lt;$I$6,' LPI Calculator'!U25,'WLPIP 2 (HIDE)'!$I$6))</f>
        <v/>
      </c>
      <c r="V23" s="112" t="str">
        <f>IF(SUM(V14*($C$5/100))=0,"",IF(' LPI Calculator'!V25&lt;$I$6,' LPI Calculator'!V25,'WLPIP 2 (HIDE)'!$I$6))</f>
        <v/>
      </c>
      <c r="W23" s="2" t="s">
        <v>88</v>
      </c>
      <c r="Y23" s="197" t="s">
        <v>87</v>
      </c>
      <c r="Z23" s="197"/>
      <c r="AA23" s="197"/>
      <c r="AB23" s="197"/>
    </row>
    <row r="24" spans="1:54" x14ac:dyDescent="0.3">
      <c r="A24" s="6" t="str">
        <f>"Total Insured ("&amp;C6&amp;" calves)"</f>
        <v>Total Insured (500 calves)</v>
      </c>
      <c r="B24" s="6"/>
      <c r="C24" s="81">
        <f>IF(SUM(C14*($C$5/100))=0,"",SUM(C19*$C$6))</f>
        <v>57638.888888888883</v>
      </c>
      <c r="D24" s="81">
        <f>IF(SUM(D14*($C$5/100))=0,"",SUM(D19*$C$6))</f>
        <v>59352.517985611506</v>
      </c>
      <c r="E24" s="81">
        <f>IF(SUM(E14*($C$5/100))=0,"",SUM(E19*$C$6))</f>
        <v>60516.605166051653</v>
      </c>
      <c r="F24" s="81">
        <f>IF(SUM(F14*($C$5/100))=0,"",SUM(F19*$C$6))</f>
        <v>63015.463917525776</v>
      </c>
      <c r="G24" s="81">
        <f t="shared" ref="G24:V24" si="5">IF(SUM(G14*($C$5/100))=0,"",SUM(G19*$C$6))</f>
        <v>64800</v>
      </c>
      <c r="H24" s="81">
        <f t="shared" si="5"/>
        <v>66255.144032921817</v>
      </c>
      <c r="I24" s="81">
        <f t="shared" si="5"/>
        <v>68278.805120910387</v>
      </c>
      <c r="J24" s="81">
        <f t="shared" si="5"/>
        <v>69941.348973607033</v>
      </c>
      <c r="K24" s="81">
        <f t="shared" si="5"/>
        <v>72256.097560975613</v>
      </c>
      <c r="L24" s="81">
        <f t="shared" si="5"/>
        <v>74525.3164556962</v>
      </c>
      <c r="M24" s="81">
        <f t="shared" si="5"/>
        <v>76470.588235294112</v>
      </c>
      <c r="N24" s="81">
        <f t="shared" si="5"/>
        <v>79623.287671232887</v>
      </c>
      <c r="O24" s="81">
        <f t="shared" si="5"/>
        <v>82060.390763765536</v>
      </c>
      <c r="P24" s="81">
        <f t="shared" si="5"/>
        <v>82553.956834532379</v>
      </c>
      <c r="Q24" s="81">
        <f t="shared" si="5"/>
        <v>85553.47091932458</v>
      </c>
      <c r="R24" s="81" t="str">
        <f t="shared" si="5"/>
        <v/>
      </c>
      <c r="S24" s="81" t="str">
        <f t="shared" si="5"/>
        <v/>
      </c>
      <c r="T24" s="81" t="str">
        <f t="shared" si="5"/>
        <v/>
      </c>
      <c r="U24" s="81" t="str">
        <f t="shared" si="5"/>
        <v/>
      </c>
      <c r="V24" s="81" t="str">
        <f t="shared" si="5"/>
        <v/>
      </c>
      <c r="Y24" s="197"/>
      <c r="Z24" s="197"/>
      <c r="AA24" s="197"/>
      <c r="AB24" s="197"/>
    </row>
    <row r="25" spans="1:54" ht="7.5" customHeight="1" x14ac:dyDescent="0.3">
      <c r="A25" s="7"/>
      <c r="C25" s="111"/>
      <c r="D25" s="111"/>
      <c r="E25" s="111"/>
      <c r="F25" s="111"/>
      <c r="G25" s="111"/>
      <c r="H25" s="111"/>
      <c r="I25" s="111"/>
      <c r="J25" s="111"/>
      <c r="K25" s="75"/>
      <c r="L25" s="75"/>
      <c r="M25" s="75"/>
      <c r="N25" s="75"/>
      <c r="O25" s="75"/>
      <c r="P25" s="75"/>
      <c r="Q25" s="75"/>
      <c r="R25" s="75"/>
      <c r="S25" s="75"/>
      <c r="T25" s="75"/>
      <c r="U25" s="75"/>
      <c r="V25" s="75"/>
      <c r="Y25" s="197"/>
      <c r="Z25" s="197"/>
      <c r="AA25" s="197"/>
      <c r="AB25" s="197"/>
    </row>
    <row r="26" spans="1:54" s="56" customFormat="1" x14ac:dyDescent="0.3">
      <c r="A26" s="1" t="str">
        <f>"WLPIP Payment at Estimated Settlement Price = $"&amp;I5&amp;"/cwt"</f>
        <v>WLPIP Payment at Estimated Settlement Price = $280/cwt</v>
      </c>
      <c r="B26" s="3"/>
      <c r="C26" s="76"/>
      <c r="D26" s="76"/>
      <c r="E26" s="76"/>
      <c r="F26" s="76"/>
      <c r="G26" s="76"/>
      <c r="H26" s="76"/>
      <c r="I26" s="76"/>
      <c r="J26" s="76"/>
      <c r="K26" s="76"/>
      <c r="L26" s="76"/>
      <c r="M26" s="76"/>
      <c r="N26" s="76"/>
      <c r="O26" s="76"/>
      <c r="P26" s="76"/>
      <c r="Q26" s="76"/>
      <c r="R26" s="76"/>
      <c r="S26" s="76"/>
      <c r="T26" s="76"/>
      <c r="U26" s="76"/>
      <c r="V26" s="76"/>
      <c r="Y26" s="197"/>
      <c r="Z26" s="197"/>
      <c r="AA26" s="197"/>
      <c r="AB26" s="197"/>
      <c r="BB26" s="2"/>
    </row>
    <row r="27" spans="1:54" s="56" customFormat="1" x14ac:dyDescent="0.3">
      <c r="A27" s="7"/>
      <c r="B27" s="3" t="s">
        <v>60</v>
      </c>
      <c r="C27" s="81">
        <f>IF(SUM(C14*($C$5/100))=0,"",IF(ROUND(C13-$I$5,1)&lt;1,"-",SUM(C13-$I$5)*(C18/C14)))</f>
        <v>18.055555555555554</v>
      </c>
      <c r="D27" s="81">
        <f>IF(SUM(D14*($C$5/100))=0,"",IF(ROUND(D13-$I$5,1)&lt;1,"-",SUM(D13-$I$5)*(D18/D14)))</f>
        <v>17.985611510791365</v>
      </c>
      <c r="E27" s="81">
        <f>IF(SUM(E14*($C$5/100))=0,"",IF(ROUND(E13-$I$5,1)&lt;1,"-",SUM(E13-$I$5)*(E18/E14)))</f>
        <v>17.712177121771216</v>
      </c>
      <c r="F27" s="81">
        <f>IF(SUM(F14*($C$5/100))=0,"",IF(ROUND(F13-$I$5,1)&lt;1,"-",SUM(F13-$I$5)*(F18/F14)))</f>
        <v>17.783505154639176</v>
      </c>
      <c r="G27" s="81">
        <f t="shared" ref="G27:V27" si="6">IF(SUM(G14*($C$5/100))=0,"",IF(ROUND(G13-$I$5,1)&lt;1,"-",SUM(G13-$I$5)*(G18/G14)))</f>
        <v>17.600000000000001</v>
      </c>
      <c r="H27" s="81">
        <f t="shared" si="6"/>
        <v>17.283950617283953</v>
      </c>
      <c r="I27" s="81">
        <f t="shared" si="6"/>
        <v>17.069701280227598</v>
      </c>
      <c r="J27" s="81">
        <f t="shared" si="6"/>
        <v>16.715542521994134</v>
      </c>
      <c r="K27" s="81">
        <f t="shared" si="6"/>
        <v>16.463414634146343</v>
      </c>
      <c r="L27" s="81">
        <f t="shared" si="6"/>
        <v>16.139240506329113</v>
      </c>
      <c r="M27" s="81">
        <f t="shared" si="6"/>
        <v>15.686274509803921</v>
      </c>
      <c r="N27" s="81">
        <f t="shared" si="6"/>
        <v>15.410958904109592</v>
      </c>
      <c r="O27" s="81">
        <f t="shared" si="6"/>
        <v>14.920071047957371</v>
      </c>
      <c r="P27" s="81">
        <f t="shared" si="6"/>
        <v>14.028776978417268</v>
      </c>
      <c r="Q27" s="81">
        <f t="shared" si="6"/>
        <v>13.50844277673546</v>
      </c>
      <c r="R27" s="81" t="str">
        <f t="shared" si="6"/>
        <v/>
      </c>
      <c r="S27" s="81" t="str">
        <f t="shared" si="6"/>
        <v/>
      </c>
      <c r="T27" s="81" t="str">
        <f t="shared" si="6"/>
        <v/>
      </c>
      <c r="U27" s="81" t="str">
        <f t="shared" si="6"/>
        <v/>
      </c>
      <c r="V27" s="81" t="str">
        <f t="shared" si="6"/>
        <v/>
      </c>
      <c r="Y27" s="197"/>
      <c r="Z27" s="197"/>
      <c r="AA27" s="197"/>
      <c r="AB27" s="197"/>
      <c r="BB27" s="2"/>
    </row>
    <row r="28" spans="1:54" s="56" customFormat="1" x14ac:dyDescent="0.3">
      <c r="A28" s="7"/>
      <c r="B28" s="6" t="str">
        <f>"Total WLPIP ($ per "&amp;C6&amp;" calves)"</f>
        <v>Total WLPIP ($ per 500 calves)</v>
      </c>
      <c r="C28" s="81">
        <f>IF(SUM(C14*($C$5/100))=0,"",IF(C27="-","-",SUM(C27*$C$6)))</f>
        <v>9027.7777777777774</v>
      </c>
      <c r="D28" s="81">
        <f>IF(SUM(D14*($C$5/100))=0,"",IF(D27="-","-",SUM(D27*$C$6)))</f>
        <v>8992.8057553956824</v>
      </c>
      <c r="E28" s="81">
        <f>IF(SUM(E14*($C$5/100))=0,"",IF(E27="-","-",SUM(E27*$C$6)))</f>
        <v>8856.0885608856079</v>
      </c>
      <c r="F28" s="81">
        <f t="shared" ref="F28:V28" si="7">IF(SUM(F14*($C$5/100))=0,"",IF(F27="-","-",SUM(F27*$C$6)))</f>
        <v>8891.7525773195885</v>
      </c>
      <c r="G28" s="81">
        <f t="shared" si="7"/>
        <v>8800</v>
      </c>
      <c r="H28" s="81">
        <f t="shared" si="7"/>
        <v>8641.9753086419769</v>
      </c>
      <c r="I28" s="81">
        <f t="shared" si="7"/>
        <v>8534.8506401137984</v>
      </c>
      <c r="J28" s="81">
        <f t="shared" si="7"/>
        <v>8357.7712609970677</v>
      </c>
      <c r="K28" s="81">
        <f t="shared" si="7"/>
        <v>8231.707317073171</v>
      </c>
      <c r="L28" s="81">
        <f t="shared" si="7"/>
        <v>8069.6202531645567</v>
      </c>
      <c r="M28" s="81">
        <f t="shared" si="7"/>
        <v>7843.1372549019607</v>
      </c>
      <c r="N28" s="81">
        <f t="shared" si="7"/>
        <v>7705.4794520547957</v>
      </c>
      <c r="O28" s="81">
        <f t="shared" si="7"/>
        <v>7460.0355239786859</v>
      </c>
      <c r="P28" s="81">
        <f t="shared" si="7"/>
        <v>7014.3884892086335</v>
      </c>
      <c r="Q28" s="81">
        <f t="shared" si="7"/>
        <v>6754.2213883677305</v>
      </c>
      <c r="R28" s="81" t="str">
        <f t="shared" si="7"/>
        <v/>
      </c>
      <c r="S28" s="81" t="str">
        <f t="shared" si="7"/>
        <v/>
      </c>
      <c r="T28" s="81" t="str">
        <f t="shared" si="7"/>
        <v/>
      </c>
      <c r="U28" s="81" t="str">
        <f t="shared" si="7"/>
        <v/>
      </c>
      <c r="V28" s="81" t="str">
        <f t="shared" si="7"/>
        <v/>
      </c>
      <c r="Y28" s="197"/>
      <c r="Z28" s="197"/>
      <c r="AA28" s="197"/>
      <c r="AB28" s="197"/>
      <c r="BB28" s="2"/>
    </row>
    <row r="29" spans="1:54" ht="7.5" customHeight="1" x14ac:dyDescent="0.3">
      <c r="A29" s="74"/>
      <c r="B29" s="75"/>
      <c r="C29" s="9"/>
      <c r="D29" s="9"/>
      <c r="E29" s="9"/>
      <c r="F29" s="9"/>
      <c r="G29" s="9"/>
      <c r="H29" s="9"/>
      <c r="I29" s="9"/>
      <c r="J29" s="9"/>
      <c r="Y29" s="197"/>
      <c r="Z29" s="197"/>
      <c r="AA29" s="197"/>
      <c r="AB29" s="197"/>
    </row>
    <row r="30" spans="1:54" x14ac:dyDescent="0.3">
      <c r="A30" s="4" t="s">
        <v>74</v>
      </c>
      <c r="C30" s="9"/>
      <c r="D30" s="9"/>
      <c r="E30" s="9"/>
      <c r="F30" s="9"/>
      <c r="G30" s="9"/>
      <c r="H30" s="9"/>
      <c r="I30" s="9"/>
      <c r="J30" s="9"/>
      <c r="Y30" s="197"/>
      <c r="Z30" s="197"/>
      <c r="AA30" s="197"/>
      <c r="AB30" s="197"/>
    </row>
    <row r="31" spans="1:54" x14ac:dyDescent="0.3">
      <c r="A31" s="7"/>
      <c r="B31" s="3" t="s">
        <v>38</v>
      </c>
      <c r="C31" s="66">
        <f>IF(SUM(C14*($C$5/100))=0,"",IF(C18+'Cost of Production'!$C$31-'WLPIP 2 (HIDE)'!C19&lt;0,"-",SUM(C18+'Cost of Production'!$C$31-'WLPIP 2 (HIDE)'!C19)))</f>
        <v>2415.212222222222</v>
      </c>
      <c r="D31" s="66">
        <f>IF(SUM(D14*($C$5/100))=0,"",IF(D18+'Cost of Production'!$C$31-'WLPIP 2 (HIDE)'!D19&lt;0,"-",SUM(D18+'Cost of Production'!$C$31-'WLPIP 2 (HIDE)'!D19)))</f>
        <v>2411.7849640287768</v>
      </c>
      <c r="E31" s="66">
        <f>IF(SUM(E14*($C$5/100))=0,"",IF(E18+'Cost of Production'!$C$31-'WLPIP 2 (HIDE)'!E19&lt;0,"-",SUM(E18+'Cost of Production'!$C$31-'WLPIP 2 (HIDE)'!E19)))</f>
        <v>2409.4567896678964</v>
      </c>
      <c r="F31" s="66">
        <f>IF(SUM(F14*($C$5/100))=0,"",IF(F18+'Cost of Production'!$C$31-'WLPIP 2 (HIDE)'!F19&lt;0,"-",SUM(F18+'Cost of Production'!$C$31-'WLPIP 2 (HIDE)'!F19)))</f>
        <v>2404.4590721649483</v>
      </c>
      <c r="G31" s="66">
        <f>IF(SUM(G14*($C$5/100))=0,"",IF(G18+'Cost of Production'!$C$31-'WLPIP 2 (HIDE)'!G19&lt;0,"-",SUM(G18+'Cost of Production'!$C$31-'WLPIP 2 (HIDE)'!G19)))</f>
        <v>2400.89</v>
      </c>
      <c r="H31" s="66">
        <f>IF(SUM(H14*($C$5/100))=0,"",IF(H18+'Cost of Production'!$C$31-'WLPIP 2 (HIDE)'!H19&lt;0,"-",SUM(H18+'Cost of Production'!$C$31-'WLPIP 2 (HIDE)'!H19)))</f>
        <v>2397.9797119341561</v>
      </c>
      <c r="I31" s="66">
        <f>IF(SUM(I14*($C$5/100))=0,"",IF(I18+'Cost of Production'!$C$31-'WLPIP 2 (HIDE)'!I19&lt;0,"-",SUM(I18+'Cost of Production'!$C$31-'WLPIP 2 (HIDE)'!I19)))</f>
        <v>2393.9323897581789</v>
      </c>
      <c r="J31" s="66">
        <f>IF(SUM(J14*($C$5/100))=0,"",IF(J18+'Cost of Production'!$C$31-'WLPIP 2 (HIDE)'!J19&lt;0,"-",SUM(J18+'Cost of Production'!$C$31-'WLPIP 2 (HIDE)'!J19)))</f>
        <v>2390.6073020527856</v>
      </c>
      <c r="K31" s="66">
        <f>IF(SUM(K14*($C$5/100))=0,"",IF(K18+'Cost of Production'!$C$31-'WLPIP 2 (HIDE)'!K19&lt;0,"-",SUM(K18+'Cost of Production'!$C$31-'WLPIP 2 (HIDE)'!K19)))</f>
        <v>2385.9778048780486</v>
      </c>
      <c r="L31" s="66">
        <f>IF(SUM(L14*($C$5/100))=0,"",IF(L18+'Cost of Production'!$C$31-'WLPIP 2 (HIDE)'!L19&lt;0,"-",SUM(L18+'Cost of Production'!$C$31-'WLPIP 2 (HIDE)'!L19)))</f>
        <v>2381.4393670886075</v>
      </c>
      <c r="M31" s="66">
        <f>IF(SUM(M14*($C$5/100))=0,"",IF(M18+'Cost of Production'!$C$31-'WLPIP 2 (HIDE)'!M19&lt;0,"-",SUM(M18+'Cost of Production'!$C$31-'WLPIP 2 (HIDE)'!M19)))</f>
        <v>2377.5488235294115</v>
      </c>
      <c r="N31" s="66">
        <f>IF(SUM(N14*($C$5/100))=0,"",IF(N18+'Cost of Production'!$C$31-'WLPIP 2 (HIDE)'!N19&lt;0,"-",SUM(N18+'Cost of Production'!$C$31-'WLPIP 2 (HIDE)'!N19)))</f>
        <v>2371.243424657534</v>
      </c>
      <c r="O31" s="66">
        <f>IF(SUM(O14*($C$5/100))=0,"",IF(O18+'Cost of Production'!$C$31-'WLPIP 2 (HIDE)'!O19&lt;0,"-",SUM(O18+'Cost of Production'!$C$31-'WLPIP 2 (HIDE)'!O19)))</f>
        <v>2366.3692184724687</v>
      </c>
      <c r="P31" s="66">
        <f>IF(SUM(P14*($C$5/100))=0,"",IF(P18+'Cost of Production'!$C$31-'WLPIP 2 (HIDE)'!P19&lt;0,"-",SUM(P18+'Cost of Production'!$C$31-'WLPIP 2 (HIDE)'!P19)))</f>
        <v>2365.3820863309352</v>
      </c>
      <c r="Q31" s="66">
        <f>IF(SUM(Q14*($C$5/100))=0,"",IF(Q18+'Cost of Production'!$C$31-'WLPIP 2 (HIDE)'!Q19&lt;0,"-",SUM(Q18+'Cost of Production'!$C$31-'WLPIP 2 (HIDE)'!Q19)))</f>
        <v>2359.3830581613506</v>
      </c>
      <c r="R31" s="66" t="str">
        <f>IF(SUM(R14*($C$5/100))=0,"",IF(R18+'Cost of Production'!$C$31-'WLPIP 2 (HIDE)'!R19&lt;0,"-",SUM(R18+'Cost of Production'!$C$31-'WLPIP 2 (HIDE)'!R19)))</f>
        <v/>
      </c>
      <c r="S31" s="66" t="str">
        <f>IF(SUM(S14*($C$5/100))=0,"",IF(S18+'Cost of Production'!$C$31-'WLPIP 2 (HIDE)'!S19&lt;0,"-",SUM(S18+'Cost of Production'!$C$31-'WLPIP 2 (HIDE)'!S19)))</f>
        <v/>
      </c>
      <c r="T31" s="66" t="str">
        <f>IF(SUM(T14*($C$5/100))=0,"",IF(T18+'Cost of Production'!$C$31-'WLPIP 2 (HIDE)'!T19&lt;0,"-",SUM(T18+'Cost of Production'!$C$31-'WLPIP 2 (HIDE)'!T19)))</f>
        <v/>
      </c>
      <c r="U31" s="66" t="str">
        <f>IF(SUM(U14*($C$5/100))=0,"",IF(U18+'Cost of Production'!$C$31-'WLPIP 2 (HIDE)'!U19&lt;0,"-",SUM(U18+'Cost of Production'!$C$31-'WLPIP 2 (HIDE)'!U19)))</f>
        <v/>
      </c>
      <c r="V31" s="66" t="str">
        <f>IF(SUM(V14*($C$5/100))=0,"",IF(V18+'Cost of Production'!$C$31-'WLPIP 2 (HIDE)'!V19&lt;0,"-",SUM(V18+'Cost of Production'!$C$31-'WLPIP 2 (HIDE)'!V19)))</f>
        <v/>
      </c>
    </row>
    <row r="32" spans="1:54" x14ac:dyDescent="0.3">
      <c r="A32" s="7"/>
      <c r="B32" s="3" t="s">
        <v>47</v>
      </c>
      <c r="C32" s="66">
        <f>IF(SUM(C14*($C$5/100))=0,"",IF(C18+'Cost of Production'!$C$31+'Cost of Production'!$C$46-'WLPIP 2 (HIDE)'!C19&lt;0,"-",SUM(C18+'Cost of Production'!$C$31+'Cost of Production'!$C$46-'WLPIP 2 (HIDE)'!C19)))</f>
        <v>5003.8322222222223</v>
      </c>
      <c r="D32" s="66">
        <f>IF(SUM(D14*($C$5/100))=0,"",IF(D18+'Cost of Production'!$C$31+'Cost of Production'!$C$46-'WLPIP 2 (HIDE)'!D19&lt;0,"-",SUM(D18+'Cost of Production'!$C$31+'Cost of Production'!$C$46-'WLPIP 2 (HIDE)'!D19)))</f>
        <v>5000.4049640287767</v>
      </c>
      <c r="E32" s="66">
        <f>IF(SUM(E14*($C$5/100))=0,"",IF(E18+'Cost of Production'!$C$31+'Cost of Production'!$C$46-'WLPIP 2 (HIDE)'!E19&lt;0,"-",SUM(E18+'Cost of Production'!$C$31+'Cost of Production'!$C$46-'WLPIP 2 (HIDE)'!E19)))</f>
        <v>4998.0767896678963</v>
      </c>
      <c r="F32" s="66">
        <f>IF(SUM(F14*($C$5/100))=0,"",IF(F18+'Cost of Production'!$C$31+'Cost of Production'!$C$46-'WLPIP 2 (HIDE)'!F19&lt;0,"-",SUM(F18+'Cost of Production'!$C$31+'Cost of Production'!$C$46-'WLPIP 2 (HIDE)'!F19)))</f>
        <v>4993.0790721649482</v>
      </c>
      <c r="G32" s="66">
        <f>IF(SUM(G14*($C$5/100))=0,"",IF(G18+'Cost of Production'!$C$31+'Cost of Production'!$C$46-'WLPIP 2 (HIDE)'!G19&lt;0,"-",SUM(G18+'Cost of Production'!$C$31+'Cost of Production'!$C$46-'WLPIP 2 (HIDE)'!G19)))</f>
        <v>4989.5099999999993</v>
      </c>
      <c r="H32" s="66">
        <f>IF(SUM(H14*($C$5/100))=0,"",IF(H18+'Cost of Production'!$C$31+'Cost of Production'!$C$46-'WLPIP 2 (HIDE)'!H19&lt;0,"-",SUM(H18+'Cost of Production'!$C$31+'Cost of Production'!$C$46-'WLPIP 2 (HIDE)'!H19)))</f>
        <v>4986.5997119341564</v>
      </c>
      <c r="I32" s="66">
        <f>IF(SUM(I14*($C$5/100))=0,"",IF(I18+'Cost of Production'!$C$31+'Cost of Production'!$C$46-'WLPIP 2 (HIDE)'!I19&lt;0,"-",SUM(I18+'Cost of Production'!$C$31+'Cost of Production'!$C$46-'WLPIP 2 (HIDE)'!I19)))</f>
        <v>4982.5523897581788</v>
      </c>
      <c r="J32" s="66">
        <f>IF(SUM(J14*($C$5/100))=0,"",IF(J18+'Cost of Production'!$C$31+'Cost of Production'!$C$46-'WLPIP 2 (HIDE)'!J19&lt;0,"-",SUM(J18+'Cost of Production'!$C$31+'Cost of Production'!$C$46-'WLPIP 2 (HIDE)'!J19)))</f>
        <v>4979.2273020527855</v>
      </c>
      <c r="K32" s="66">
        <f>IF(SUM(K14*($C$5/100))=0,"",IF(K18+'Cost of Production'!$C$31+'Cost of Production'!$C$46-'WLPIP 2 (HIDE)'!K19&lt;0,"-",SUM(K18+'Cost of Production'!$C$31+'Cost of Production'!$C$46-'WLPIP 2 (HIDE)'!K19)))</f>
        <v>4974.597804878048</v>
      </c>
      <c r="L32" s="66">
        <f>IF(SUM(L14*($C$5/100))=0,"",IF(L18+'Cost of Production'!$C$31+'Cost of Production'!$C$46-'WLPIP 2 (HIDE)'!L19&lt;0,"-",SUM(L18+'Cost of Production'!$C$31+'Cost of Production'!$C$46-'WLPIP 2 (HIDE)'!L19)))</f>
        <v>4970.0593670886074</v>
      </c>
      <c r="M32" s="66">
        <f>IF(SUM(M14*($C$5/100))=0,"",IF(M18+'Cost of Production'!$C$31+'Cost of Production'!$C$46-'WLPIP 2 (HIDE)'!M19&lt;0,"-",SUM(M18+'Cost of Production'!$C$31+'Cost of Production'!$C$46-'WLPIP 2 (HIDE)'!M19)))</f>
        <v>4966.1688235294114</v>
      </c>
      <c r="N32" s="66">
        <f>IF(SUM(N14*($C$5/100))=0,"",IF(N18+'Cost of Production'!$C$31+'Cost of Production'!$C$46-'WLPIP 2 (HIDE)'!N19&lt;0,"-",SUM(N18+'Cost of Production'!$C$31+'Cost of Production'!$C$46-'WLPIP 2 (HIDE)'!N19)))</f>
        <v>4959.8634246575339</v>
      </c>
      <c r="O32" s="66">
        <f>IF(SUM(O14*($C$5/100))=0,"",IF(O18+'Cost of Production'!$C$31+'Cost of Production'!$C$46-'WLPIP 2 (HIDE)'!O19&lt;0,"-",SUM(O18+'Cost of Production'!$C$31+'Cost of Production'!$C$46-'WLPIP 2 (HIDE)'!O19)))</f>
        <v>4954.9892184724686</v>
      </c>
      <c r="P32" s="66">
        <f>IF(SUM(P14*($C$5/100))=0,"",IF(P18+'Cost of Production'!$C$31+'Cost of Production'!$C$46-'WLPIP 2 (HIDE)'!P19&lt;0,"-",SUM(P18+'Cost of Production'!$C$31+'Cost of Production'!$C$46-'WLPIP 2 (HIDE)'!P19)))</f>
        <v>4954.0020863309346</v>
      </c>
      <c r="Q32" s="66">
        <f>IF(SUM(Q14*($C$5/100))=0,"",IF(Q18+'Cost of Production'!$C$31+'Cost of Production'!$C$46-'WLPIP 2 (HIDE)'!Q19&lt;0,"-",SUM(Q18+'Cost of Production'!$C$31+'Cost of Production'!$C$46-'WLPIP 2 (HIDE)'!Q19)))</f>
        <v>4948.0030581613501</v>
      </c>
      <c r="R32" s="66" t="str">
        <f>IF(SUM(R14*($C$5/100))=0,"",IF(R18+'Cost of Production'!$C$31+'Cost of Production'!$C$46-'WLPIP 2 (HIDE)'!R19&lt;0,"-",SUM(R18+'Cost of Production'!$C$31+'Cost of Production'!$C$46-'WLPIP 2 (HIDE)'!R19)))</f>
        <v/>
      </c>
      <c r="S32" s="66" t="str">
        <f>IF(SUM(S14*($C$5/100))=0,"",IF(S18+'Cost of Production'!$C$31+'Cost of Production'!$C$46-'WLPIP 2 (HIDE)'!S19&lt;0,"-",SUM(S18+'Cost of Production'!$C$31+'Cost of Production'!$C$46-'WLPIP 2 (HIDE)'!S19)))</f>
        <v/>
      </c>
      <c r="T32" s="66" t="str">
        <f>IF(SUM(T14*($C$5/100))=0,"",IF(T18+'Cost of Production'!$C$31+'Cost of Production'!$C$46-'WLPIP 2 (HIDE)'!T19&lt;0,"-",SUM(T18+'Cost of Production'!$C$31+'Cost of Production'!$C$46-'WLPIP 2 (HIDE)'!T19)))</f>
        <v/>
      </c>
      <c r="U32" s="66" t="str">
        <f>IF(SUM(U14*($C$5/100))=0,"",IF(U18+'Cost of Production'!$C$31+'Cost of Production'!$C$46-'WLPIP 2 (HIDE)'!U19&lt;0,"-",SUM(U18+'Cost of Production'!$C$31+'Cost of Production'!$C$46-'WLPIP 2 (HIDE)'!U19)))</f>
        <v/>
      </c>
      <c r="V32" s="66" t="str">
        <f>IF(SUM(V14*($C$5/100))=0,"",IF(V18+'Cost of Production'!$C$31+'Cost of Production'!$C$46-'WLPIP 2 (HIDE)'!V19&lt;0,"-",SUM(V18+'Cost of Production'!$C$31+'Cost of Production'!$C$46-'WLPIP 2 (HIDE)'!V19)))</f>
        <v/>
      </c>
    </row>
    <row r="33" spans="1:54" x14ac:dyDescent="0.3">
      <c r="A33" s="7"/>
      <c r="B33" s="3" t="s">
        <v>39</v>
      </c>
      <c r="C33" s="66" t="str">
        <f>IF(SUM(C14*($C$5/100))=0,"",IF(C18+'Cost of Production'!$C$44-'WLPIP 2 (HIDE)'!C19&lt;0,"-",SUM(C18+'Cost of Production'!$C$44-'WLPIP 2 (HIDE)'!C19)))</f>
        <v>-</v>
      </c>
      <c r="D33" s="66" t="str">
        <f>IF(SUM(D14*($C$5/100))=0,"",IF(D18+'Cost of Production'!$C$44-'WLPIP 2 (HIDE)'!D19&lt;0,"-",SUM(D18+'Cost of Production'!$C$44-'WLPIP 2 (HIDE)'!D19)))</f>
        <v>-</v>
      </c>
      <c r="E33" s="66" t="str">
        <f>IF(SUM(E14*($C$5/100))=0,"",IF(E18+'Cost of Production'!$C$44-'WLPIP 2 (HIDE)'!E19&lt;0,"-",SUM(E18+'Cost of Production'!$C$44-'WLPIP 2 (HIDE)'!E19)))</f>
        <v>-</v>
      </c>
      <c r="F33" s="66" t="str">
        <f>IF(SUM(F14*($C$5/100))=0,"",IF(F18+'Cost of Production'!$C$44-'WLPIP 2 (HIDE)'!F19&lt;0,"-",SUM(F18+'Cost of Production'!$C$44-'WLPIP 2 (HIDE)'!F19)))</f>
        <v>-</v>
      </c>
      <c r="G33" s="66" t="str">
        <f>IF(SUM(G14*($C$5/100))=0,"",IF(G18+'Cost of Production'!$C$44-'WLPIP 2 (HIDE)'!G19&lt;0,"-",SUM(G18+'Cost of Production'!$C$44-'WLPIP 2 (HIDE)'!G19)))</f>
        <v>-</v>
      </c>
      <c r="H33" s="66" t="str">
        <f>IF(SUM(H14*($C$5/100))=0,"",IF(H18+'Cost of Production'!$C$44-'WLPIP 2 (HIDE)'!H19&lt;0,"-",SUM(H18+'Cost of Production'!$C$44-'WLPIP 2 (HIDE)'!H19)))</f>
        <v>-</v>
      </c>
      <c r="I33" s="66" t="str">
        <f>IF(SUM(I14*($C$5/100))=0,"",IF(I18+'Cost of Production'!$C$44-'WLPIP 2 (HIDE)'!I19&lt;0,"-",SUM(I18+'Cost of Production'!$C$44-'WLPIP 2 (HIDE)'!I19)))</f>
        <v>-</v>
      </c>
      <c r="J33" s="66" t="str">
        <f>IF(SUM(J14*($C$5/100))=0,"",IF(J18+'Cost of Production'!$C$44-'WLPIP 2 (HIDE)'!J19&lt;0,"-",SUM(J18+'Cost of Production'!$C$44-'WLPIP 2 (HIDE)'!J19)))</f>
        <v>-</v>
      </c>
      <c r="K33" s="66" t="str">
        <f>IF(SUM(K14*($C$5/100))=0,"",IF(K18+'Cost of Production'!$C$44-'WLPIP 2 (HIDE)'!K19&lt;0,"-",SUM(K18+'Cost of Production'!$C$44-'WLPIP 2 (HIDE)'!K19)))</f>
        <v>-</v>
      </c>
      <c r="L33" s="66" t="str">
        <f>IF(SUM(L14*($C$5/100))=0,"",IF(L18+'Cost of Production'!$C$44-'WLPIP 2 (HIDE)'!L19&lt;0,"-",SUM(L18+'Cost of Production'!$C$44-'WLPIP 2 (HIDE)'!L19)))</f>
        <v>-</v>
      </c>
      <c r="M33" s="66" t="str">
        <f>IF(SUM(M14*($C$5/100))=0,"",IF(M18+'Cost of Production'!$C$44-'WLPIP 2 (HIDE)'!M19&lt;0,"-",SUM(M18+'Cost of Production'!$C$44-'WLPIP 2 (HIDE)'!M19)))</f>
        <v>-</v>
      </c>
      <c r="N33" s="66" t="str">
        <f>IF(SUM(N14*($C$5/100))=0,"",IF(N18+'Cost of Production'!$C$44-'WLPIP 2 (HIDE)'!N19&lt;0,"-",SUM(N18+'Cost of Production'!$C$44-'WLPIP 2 (HIDE)'!N19)))</f>
        <v>-</v>
      </c>
      <c r="O33" s="66" t="str">
        <f>IF(SUM(O14*($C$5/100))=0,"",IF(O18+'Cost of Production'!$C$44-'WLPIP 2 (HIDE)'!O19&lt;0,"-",SUM(O18+'Cost of Production'!$C$44-'WLPIP 2 (HIDE)'!O19)))</f>
        <v>-</v>
      </c>
      <c r="P33" s="66" t="str">
        <f>IF(SUM(P14*($C$5/100))=0,"",IF(P18+'Cost of Production'!$C$44-'WLPIP 2 (HIDE)'!P19&lt;0,"-",SUM(P18+'Cost of Production'!$C$44-'WLPIP 2 (HIDE)'!P19)))</f>
        <v>-</v>
      </c>
      <c r="Q33" s="66" t="str">
        <f>IF(SUM(Q14*($C$5/100))=0,"",IF(Q18+'Cost of Production'!$C$44-'WLPIP 2 (HIDE)'!Q19&lt;0,"-",SUM(Q18+'Cost of Production'!$C$44-'WLPIP 2 (HIDE)'!Q19)))</f>
        <v>-</v>
      </c>
      <c r="R33" s="66" t="str">
        <f>IF(SUM(R14*($C$5/100))=0,"",IF(R18+'Cost of Production'!$C$44-'WLPIP 2 (HIDE)'!R19&lt;0,"-",SUM(R18+'Cost of Production'!$C$44-'WLPIP 2 (HIDE)'!R19)))</f>
        <v/>
      </c>
      <c r="S33" s="66" t="str">
        <f>IF(SUM(S14*($C$5/100))=0,"",IF(S18+'Cost of Production'!$C$44-'WLPIP 2 (HIDE)'!S19&lt;0,"-",SUM(S18+'Cost of Production'!$C$44-'WLPIP 2 (HIDE)'!S19)))</f>
        <v/>
      </c>
      <c r="T33" s="66" t="str">
        <f>IF(SUM(T14*($C$5/100))=0,"",IF(T18+'Cost of Production'!$C$44-'WLPIP 2 (HIDE)'!T19&lt;0,"-",SUM(T18+'Cost of Production'!$C$44-'WLPIP 2 (HIDE)'!T19)))</f>
        <v/>
      </c>
      <c r="U33" s="66" t="str">
        <f>IF(SUM(U14*($C$5/100))=0,"",IF(U18+'Cost of Production'!$C$44-'WLPIP 2 (HIDE)'!U19&lt;0,"-",SUM(U18+'Cost of Production'!$C$44-'WLPIP 2 (HIDE)'!U19)))</f>
        <v/>
      </c>
      <c r="V33" s="66" t="str">
        <f>IF(SUM(V14*($C$5/100))=0,"",IF(V18+'Cost of Production'!$C$44-'WLPIP 2 (HIDE)'!V19&lt;0,"-",SUM(V18+'Cost of Production'!$C$44-'WLPIP 2 (HIDE)'!V19)))</f>
        <v/>
      </c>
    </row>
    <row r="34" spans="1:54" x14ac:dyDescent="0.3">
      <c r="A34" s="7"/>
      <c r="B34" s="6" t="s">
        <v>40</v>
      </c>
      <c r="C34" s="51" t="str">
        <f>IF(SUM(C14*($C$5/100))=0,"",IF(C18+'Cost of Production'!$C$48-'WLPIP 2 (HIDE)'!C19&lt;0,"-",SUM(C18+'Cost of Production'!$C$48-'WLPIP 2 (HIDE)'!C19)))</f>
        <v>-</v>
      </c>
      <c r="D34" s="51" t="str">
        <f>IF(SUM(D14*($C$5/100))=0,"",IF(D18+'Cost of Production'!$C$48-'WLPIP 2 (HIDE)'!D19&lt;0,"-",SUM(D18+'Cost of Production'!$C$48-'WLPIP 2 (HIDE)'!D19)))</f>
        <v>-</v>
      </c>
      <c r="E34" s="51" t="str">
        <f>IF(SUM(E14*($C$5/100))=0,"",IF(E18+'Cost of Production'!$C$48-'WLPIP 2 (HIDE)'!E19&lt;0,"-",SUM(E18+'Cost of Production'!$C$48-'WLPIP 2 (HIDE)'!E19)))</f>
        <v>-</v>
      </c>
      <c r="F34" s="51" t="str">
        <f>IF(SUM(F14*($C$5/100))=0,"",IF(F18+'Cost of Production'!$C$48-'WLPIP 2 (HIDE)'!F19&lt;0,"-",SUM(F18+'Cost of Production'!$C$48-'WLPIP 2 (HIDE)'!F19)))</f>
        <v>-</v>
      </c>
      <c r="G34" s="51" t="str">
        <f>IF(SUM(G14*($C$5/100))=0,"",IF(G18+'Cost of Production'!$C$48-'WLPIP 2 (HIDE)'!G19&lt;0,"-",SUM(G18+'Cost of Production'!$C$48-'WLPIP 2 (HIDE)'!G19)))</f>
        <v>-</v>
      </c>
      <c r="H34" s="51" t="str">
        <f>IF(SUM(H14*($C$5/100))=0,"",IF(H18+'Cost of Production'!$C$48-'WLPIP 2 (HIDE)'!H19&lt;0,"-",SUM(H18+'Cost of Production'!$C$48-'WLPIP 2 (HIDE)'!H19)))</f>
        <v>-</v>
      </c>
      <c r="I34" s="51" t="str">
        <f>IF(SUM(I14*($C$5/100))=0,"",IF(I18+'Cost of Production'!$C$48-'WLPIP 2 (HIDE)'!I19&lt;0,"-",SUM(I18+'Cost of Production'!$C$48-'WLPIP 2 (HIDE)'!I19)))</f>
        <v>-</v>
      </c>
      <c r="J34" s="51" t="str">
        <f>IF(SUM(J14*($C$5/100))=0,"",IF(J18+'Cost of Production'!$C$48-'WLPIP 2 (HIDE)'!J19&lt;0,"-",SUM(J18+'Cost of Production'!$C$48-'WLPIP 2 (HIDE)'!J19)))</f>
        <v>-</v>
      </c>
      <c r="K34" s="51" t="str">
        <f>IF(SUM(K14*($C$5/100))=0,"",IF(K18+'Cost of Production'!$C$48-'WLPIP 2 (HIDE)'!K19&lt;0,"-",SUM(K18+'Cost of Production'!$C$48-'WLPIP 2 (HIDE)'!K19)))</f>
        <v>-</v>
      </c>
      <c r="L34" s="51" t="str">
        <f>IF(SUM(L14*($C$5/100))=0,"",IF(L18+'Cost of Production'!$C$48-'WLPIP 2 (HIDE)'!L19&lt;0,"-",SUM(L18+'Cost of Production'!$C$48-'WLPIP 2 (HIDE)'!L19)))</f>
        <v>-</v>
      </c>
      <c r="M34" s="51" t="str">
        <f>IF(SUM(M14*($C$5/100))=0,"",IF(M18+'Cost of Production'!$C$48-'WLPIP 2 (HIDE)'!M19&lt;0,"-",SUM(M18+'Cost of Production'!$C$48-'WLPIP 2 (HIDE)'!M19)))</f>
        <v>-</v>
      </c>
      <c r="N34" s="51" t="str">
        <f>IF(SUM(N14*($C$5/100))=0,"",IF(N18+'Cost of Production'!$C$48-'WLPIP 2 (HIDE)'!N19&lt;0,"-",SUM(N18+'Cost of Production'!$C$48-'WLPIP 2 (HIDE)'!N19)))</f>
        <v>-</v>
      </c>
      <c r="O34" s="51" t="str">
        <f>IF(SUM(O14*($C$5/100))=0,"",IF(O18+'Cost of Production'!$C$48-'WLPIP 2 (HIDE)'!O19&lt;0,"-",SUM(O18+'Cost of Production'!$C$48-'WLPIP 2 (HIDE)'!O19)))</f>
        <v>-</v>
      </c>
      <c r="P34" s="51" t="str">
        <f>IF(SUM(P14*($C$5/100))=0,"",IF(P18+'Cost of Production'!$C$48-'WLPIP 2 (HIDE)'!P19&lt;0,"-",SUM(P18+'Cost of Production'!$C$48-'WLPIP 2 (HIDE)'!P19)))</f>
        <v>-</v>
      </c>
      <c r="Q34" s="51" t="str">
        <f>IF(SUM(Q14*($C$5/100))=0,"",IF(Q18+'Cost of Production'!$C$48-'WLPIP 2 (HIDE)'!Q19&lt;0,"-",SUM(Q18+'Cost of Production'!$C$48-'WLPIP 2 (HIDE)'!Q19)))</f>
        <v>-</v>
      </c>
      <c r="R34" s="51" t="str">
        <f>IF(SUM(R14*($C$5/100))=0,"",IF(R18+'Cost of Production'!$C$48-'WLPIP 2 (HIDE)'!R19&lt;0,"-",SUM(R18+'Cost of Production'!$C$48-'WLPIP 2 (HIDE)'!R19)))</f>
        <v/>
      </c>
      <c r="S34" s="51" t="str">
        <f>IF(SUM(S14*($C$5/100))=0,"",IF(S18+'Cost of Production'!$C$48-'WLPIP 2 (HIDE)'!S19&lt;0,"-",SUM(S18+'Cost of Production'!$C$48-'WLPIP 2 (HIDE)'!S19)))</f>
        <v/>
      </c>
      <c r="T34" s="51" t="str">
        <f>IF(SUM(T14*($C$5/100))=0,"",IF(T18+'Cost of Production'!$C$48-'WLPIP 2 (HIDE)'!T19&lt;0,"-",SUM(T18+'Cost of Production'!$C$48-'WLPIP 2 (HIDE)'!T19)))</f>
        <v/>
      </c>
      <c r="U34" s="51" t="str">
        <f>IF(SUM(U14*($C$5/100))=0,"",IF(U18+'Cost of Production'!$C$48-'WLPIP 2 (HIDE)'!U19&lt;0,"-",SUM(U18+'Cost of Production'!$C$48-'WLPIP 2 (HIDE)'!U19)))</f>
        <v/>
      </c>
      <c r="V34" s="51" t="str">
        <f>IF(SUM(V14*($C$5/100))=0,"",IF(V18+'Cost of Production'!$C$48-'WLPIP 2 (HIDE)'!V19&lt;0,"-",SUM(V18+'Cost of Production'!$C$48-'WLPIP 2 (HIDE)'!V19)))</f>
        <v/>
      </c>
    </row>
    <row r="35" spans="1:54" ht="7.5" customHeight="1" x14ac:dyDescent="0.3">
      <c r="A35" s="7"/>
      <c r="B35" s="6"/>
      <c r="C35" s="51"/>
      <c r="D35" s="51"/>
      <c r="E35" s="51"/>
      <c r="F35" s="51"/>
      <c r="G35" s="51"/>
      <c r="H35" s="51"/>
      <c r="I35" s="51"/>
      <c r="J35" s="51"/>
      <c r="K35" s="51"/>
      <c r="L35" s="51"/>
      <c r="M35" s="51"/>
      <c r="N35" s="51"/>
      <c r="O35" s="51"/>
      <c r="P35" s="51"/>
      <c r="Q35" s="51"/>
      <c r="R35" s="51"/>
      <c r="S35" s="51"/>
      <c r="T35" s="51"/>
      <c r="U35" s="51"/>
      <c r="V35" s="51"/>
    </row>
    <row r="36" spans="1:54" ht="18" customHeight="1" x14ac:dyDescent="0.3">
      <c r="A36" s="113" t="s">
        <v>57</v>
      </c>
      <c r="B36" s="109"/>
      <c r="C36" s="108"/>
      <c r="D36" s="108"/>
      <c r="E36" s="108"/>
      <c r="F36" s="108"/>
      <c r="G36" s="108"/>
      <c r="H36" s="108"/>
      <c r="I36" s="108"/>
      <c r="J36" s="108"/>
      <c r="K36" s="109"/>
      <c r="L36" s="109"/>
      <c r="M36" s="109"/>
      <c r="N36" s="109"/>
      <c r="O36" s="109"/>
      <c r="P36" s="109"/>
      <c r="Q36" s="109"/>
      <c r="R36" s="109"/>
      <c r="S36" s="109"/>
      <c r="T36" s="109"/>
      <c r="U36" s="109"/>
      <c r="V36" s="109"/>
      <c r="W36" s="2" t="s">
        <v>88</v>
      </c>
      <c r="Y36" s="116" t="s">
        <v>89</v>
      </c>
      <c r="Z36" s="116"/>
      <c r="AA36" s="116"/>
      <c r="AB36" s="116"/>
    </row>
    <row r="37" spans="1:54" ht="18" hidden="1" customHeight="1" x14ac:dyDescent="0.3">
      <c r="A37" s="114"/>
      <c r="B37" s="109" t="s">
        <v>50</v>
      </c>
      <c r="C37" s="115">
        <f t="shared" ref="C37:V37" si="8">IF(OR(D23="",C23=""),"",SUM(C18-D18))</f>
        <v>0</v>
      </c>
      <c r="D37" s="115">
        <f t="shared" si="8"/>
        <v>0</v>
      </c>
      <c r="E37" s="115">
        <f t="shared" si="8"/>
        <v>0</v>
      </c>
      <c r="F37" s="115">
        <f t="shared" si="8"/>
        <v>0</v>
      </c>
      <c r="G37" s="115">
        <f t="shared" si="8"/>
        <v>0</v>
      </c>
      <c r="H37" s="115">
        <f t="shared" si="8"/>
        <v>0</v>
      </c>
      <c r="I37" s="115">
        <f t="shared" si="8"/>
        <v>0</v>
      </c>
      <c r="J37" s="115">
        <f t="shared" si="8"/>
        <v>0</v>
      </c>
      <c r="K37" s="115">
        <f t="shared" si="8"/>
        <v>0</v>
      </c>
      <c r="L37" s="115">
        <f t="shared" si="8"/>
        <v>0</v>
      </c>
      <c r="M37" s="115">
        <f t="shared" si="8"/>
        <v>0</v>
      </c>
      <c r="N37" s="115">
        <f t="shared" si="8"/>
        <v>0</v>
      </c>
      <c r="O37" s="115">
        <f t="shared" si="8"/>
        <v>0</v>
      </c>
      <c r="P37" s="115">
        <f t="shared" si="8"/>
        <v>0</v>
      </c>
      <c r="Q37" s="115" t="str">
        <f t="shared" si="8"/>
        <v/>
      </c>
      <c r="R37" s="115" t="str">
        <f t="shared" si="8"/>
        <v/>
      </c>
      <c r="S37" s="115" t="str">
        <f t="shared" si="8"/>
        <v/>
      </c>
      <c r="T37" s="115" t="str">
        <f t="shared" si="8"/>
        <v/>
      </c>
      <c r="U37" s="115" t="str">
        <f t="shared" si="8"/>
        <v/>
      </c>
      <c r="V37" s="115" t="str">
        <f t="shared" si="8"/>
        <v/>
      </c>
      <c r="BB37" s="2">
        <f>SUM(BB36+1)</f>
        <v>1</v>
      </c>
    </row>
    <row r="38" spans="1:54" ht="18" hidden="1" customHeight="1" x14ac:dyDescent="0.3">
      <c r="A38" s="114"/>
      <c r="B38" s="109" t="s">
        <v>51</v>
      </c>
      <c r="C38" s="115">
        <f t="shared" ref="C38:V38" si="9">IF(OR(D23="",C23=""),"",SUM(C19-D19))</f>
        <v>-3.4272581934452404</v>
      </c>
      <c r="D38" s="115">
        <f t="shared" si="9"/>
        <v>-2.3281743608802969</v>
      </c>
      <c r="E38" s="115">
        <f t="shared" si="9"/>
        <v>-4.9977175029482481</v>
      </c>
      <c r="F38" s="115">
        <f t="shared" si="9"/>
        <v>-3.5690721649484374</v>
      </c>
      <c r="G38" s="115">
        <f t="shared" si="9"/>
        <v>-2.9102880658436447</v>
      </c>
      <c r="H38" s="115">
        <f t="shared" si="9"/>
        <v>-4.0473221759771434</v>
      </c>
      <c r="I38" s="115">
        <f t="shared" si="9"/>
        <v>-3.3250877053932868</v>
      </c>
      <c r="J38" s="115">
        <f t="shared" si="9"/>
        <v>-4.6294971747371676</v>
      </c>
      <c r="K38" s="115">
        <f t="shared" si="9"/>
        <v>-4.5384377894411614</v>
      </c>
      <c r="L38" s="115">
        <f t="shared" si="9"/>
        <v>-3.8905435591958337</v>
      </c>
      <c r="M38" s="115">
        <f t="shared" si="9"/>
        <v>-6.3053988718775429</v>
      </c>
      <c r="N38" s="115">
        <f t="shared" si="9"/>
        <v>-4.8742061850653045</v>
      </c>
      <c r="O38" s="115">
        <f t="shared" si="9"/>
        <v>-0.98713214153369222</v>
      </c>
      <c r="P38" s="115">
        <f t="shared" si="9"/>
        <v>-5.9990281695843919</v>
      </c>
      <c r="Q38" s="115" t="str">
        <f t="shared" si="9"/>
        <v/>
      </c>
      <c r="R38" s="115" t="str">
        <f t="shared" si="9"/>
        <v/>
      </c>
      <c r="S38" s="115" t="str">
        <f t="shared" si="9"/>
        <v/>
      </c>
      <c r="T38" s="115" t="str">
        <f t="shared" si="9"/>
        <v/>
      </c>
      <c r="U38" s="115" t="str">
        <f t="shared" si="9"/>
        <v/>
      </c>
      <c r="V38" s="115" t="str">
        <f t="shared" si="9"/>
        <v/>
      </c>
      <c r="BB38" s="2">
        <f>SUM(BB37+1)</f>
        <v>2</v>
      </c>
    </row>
    <row r="39" spans="1:54" s="56" customFormat="1" x14ac:dyDescent="0.3">
      <c r="A39" s="114"/>
      <c r="B39" s="109" t="s">
        <v>54</v>
      </c>
      <c r="C39" s="107">
        <f t="shared" ref="C39:V39" si="10">IF(OR(D23="",C23=""),"",SUM((C23-D23)/(C24-D24)))</f>
        <v>0</v>
      </c>
      <c r="D39" s="107">
        <f t="shared" si="10"/>
        <v>0</v>
      </c>
      <c r="E39" s="107">
        <f t="shared" si="10"/>
        <v>0</v>
      </c>
      <c r="F39" s="107">
        <f t="shared" si="10"/>
        <v>0</v>
      </c>
      <c r="G39" s="107">
        <f t="shared" si="10"/>
        <v>0</v>
      </c>
      <c r="H39" s="107">
        <f t="shared" si="10"/>
        <v>0</v>
      </c>
      <c r="I39" s="107">
        <f t="shared" si="10"/>
        <v>0</v>
      </c>
      <c r="J39" s="107">
        <f t="shared" si="10"/>
        <v>0</v>
      </c>
      <c r="K39" s="107">
        <f t="shared" si="10"/>
        <v>0</v>
      </c>
      <c r="L39" s="107">
        <f t="shared" si="10"/>
        <v>0</v>
      </c>
      <c r="M39" s="107">
        <f t="shared" si="10"/>
        <v>0</v>
      </c>
      <c r="N39" s="107">
        <f t="shared" si="10"/>
        <v>0</v>
      </c>
      <c r="O39" s="107">
        <f t="shared" si="10"/>
        <v>0</v>
      </c>
      <c r="P39" s="107">
        <f t="shared" si="10"/>
        <v>0</v>
      </c>
      <c r="Q39" s="107" t="str">
        <f t="shared" si="10"/>
        <v/>
      </c>
      <c r="R39" s="107" t="str">
        <f t="shared" si="10"/>
        <v/>
      </c>
      <c r="S39" s="107" t="str">
        <f t="shared" si="10"/>
        <v/>
      </c>
      <c r="T39" s="107" t="str">
        <f t="shared" si="10"/>
        <v/>
      </c>
      <c r="U39" s="107" t="str">
        <f t="shared" si="10"/>
        <v/>
      </c>
      <c r="V39" s="107" t="str">
        <f t="shared" si="10"/>
        <v/>
      </c>
      <c r="BB39" s="2"/>
    </row>
    <row r="40" spans="1:54" s="56" customFormat="1" ht="7.5" customHeight="1" x14ac:dyDescent="0.3">
      <c r="A40" s="74"/>
      <c r="B40" s="75"/>
      <c r="C40" s="76"/>
      <c r="D40" s="76"/>
      <c r="E40" s="76"/>
      <c r="F40" s="76"/>
      <c r="G40" s="76"/>
      <c r="H40" s="76"/>
      <c r="I40" s="76"/>
      <c r="J40" s="76"/>
      <c r="K40" s="76"/>
      <c r="L40" s="76"/>
      <c r="M40" s="76"/>
      <c r="N40" s="76"/>
      <c r="O40" s="76"/>
      <c r="P40" s="76"/>
      <c r="Q40" s="76"/>
      <c r="R40" s="76"/>
      <c r="S40" s="76"/>
      <c r="T40" s="76"/>
      <c r="U40" s="76"/>
      <c r="V40" s="76"/>
      <c r="BB40" s="2"/>
    </row>
    <row r="41" spans="1:54" x14ac:dyDescent="0.3">
      <c r="A41" s="181" t="s">
        <v>48</v>
      </c>
      <c r="B41" s="181"/>
      <c r="C41" s="181"/>
      <c r="D41" s="181"/>
      <c r="E41" s="181"/>
      <c r="F41" s="181"/>
      <c r="G41" s="181"/>
      <c r="H41" s="181"/>
      <c r="I41" s="181"/>
      <c r="J41" s="181"/>
      <c r="K41" s="181"/>
      <c r="L41" s="181"/>
      <c r="M41" s="181"/>
      <c r="N41" s="181"/>
      <c r="O41" s="181"/>
      <c r="P41" s="181"/>
      <c r="Q41" s="181"/>
      <c r="R41" s="181"/>
      <c r="S41" s="181"/>
      <c r="T41" s="181"/>
      <c r="U41" s="181"/>
      <c r="V41" s="181"/>
      <c r="W41" s="1"/>
      <c r="X41" s="1"/>
      <c r="Y41" s="1"/>
      <c r="Z41" s="1"/>
      <c r="AA41" s="1"/>
    </row>
    <row r="42" spans="1:54" s="56" customFormat="1" ht="7.5" customHeight="1" x14ac:dyDescent="0.3">
      <c r="A42" s="55"/>
      <c r="B42" s="55"/>
      <c r="C42" s="55"/>
      <c r="D42" s="55"/>
      <c r="E42" s="55"/>
      <c r="F42" s="55"/>
      <c r="G42" s="55"/>
      <c r="H42" s="55"/>
      <c r="I42" s="55"/>
      <c r="J42" s="55"/>
      <c r="K42" s="55"/>
      <c r="L42" s="55"/>
      <c r="M42" s="55"/>
      <c r="N42" s="55"/>
      <c r="O42" s="55"/>
      <c r="P42" s="55"/>
      <c r="Q42" s="55"/>
      <c r="R42" s="55"/>
      <c r="S42" s="55"/>
      <c r="T42" s="55"/>
      <c r="U42" s="55"/>
      <c r="V42" s="55"/>
      <c r="W42" s="1"/>
      <c r="X42" s="1"/>
      <c r="Y42" s="1"/>
      <c r="Z42" s="1"/>
      <c r="AA42" s="1"/>
    </row>
    <row r="43" spans="1:54" x14ac:dyDescent="0.3">
      <c r="A43" s="16" t="str">
        <f>"Marginal Returns (based on Est. Settlement Price @ $"&amp;I5&amp;"/cwt + WLPIP Payment per head)"</f>
        <v>Marginal Returns (based on Est. Settlement Price @ $280/cwt + WLPIP Payment per head)</v>
      </c>
      <c r="B43" s="38"/>
      <c r="C43" s="9"/>
      <c r="D43" s="9"/>
      <c r="E43" s="9"/>
      <c r="F43" s="9"/>
      <c r="G43" s="9"/>
      <c r="H43" s="9"/>
      <c r="I43" s="9"/>
      <c r="J43" s="9"/>
    </row>
    <row r="44" spans="1:54" x14ac:dyDescent="0.3">
      <c r="A44" s="5"/>
      <c r="B44" s="8" t="s">
        <v>0</v>
      </c>
      <c r="C44" s="84">
        <f>IF(SUM(C14*($C$5/100))=0,"",IF(ROUND(C13-$I$5,1)&lt;1,(($I$5/100)*$C$5)-('Cost of Production'!$C$31+C18),((($I$5/100)*$C$5)+C27)-('Cost of Production'!$C$31+C18)))</f>
        <v>-68.034444444444489</v>
      </c>
      <c r="D44" s="84">
        <f>IF(SUM(D14*($C$5/100))=0,"",IF(ROUND(D13-$I$5,1)&lt;1,(($I$5/100)*$C$5)-('Cost of Production'!$C$31+D18),((($I$5/100)*$C$5)+D27)-('Cost of Production'!$C$31+D18)))</f>
        <v>-68.104388489208759</v>
      </c>
      <c r="E44" s="84">
        <f>IF(SUM(E14*($C$5/100))=0,"",IF(ROUND(E13-$I$5,1)&lt;1,(($I$5/100)*$C$5)-('Cost of Production'!$C$31+E18),((($I$5/100)*$C$5)+E27)-('Cost of Production'!$C$31+E18)))</f>
        <v>-68.377822878228926</v>
      </c>
      <c r="F44" s="84">
        <f>IF(SUM(F14*($C$5/100))=0,"",IF(ROUND(F13-$I$5,1)&lt;1,(($I$5/100)*$C$5)-('Cost of Production'!$C$31+F18),((($I$5/100)*$C$5)+F27)-('Cost of Production'!$C$31+F18)))</f>
        <v>-68.306494845361158</v>
      </c>
      <c r="G44" s="84">
        <f>IF(SUM(G14*($C$5/100))=0,"",IF(ROUND(G13-$I$5,1)&lt;1,(($I$5/100)*$C$5)-('Cost of Production'!$C$31+G18),((($I$5/100)*$C$5)+G27)-('Cost of Production'!$C$31+G18)))</f>
        <v>-68.490000000000236</v>
      </c>
      <c r="H44" s="84">
        <f>IF(SUM(H14*($C$5/100))=0,"",IF(ROUND(H13-$I$5,1)&lt;1,(($I$5/100)*$C$5)-('Cost of Production'!$C$31+H18),((($I$5/100)*$C$5)+H27)-('Cost of Production'!$C$31+H18)))</f>
        <v>-68.806049382716083</v>
      </c>
      <c r="I44" s="84">
        <f>IF(SUM(I14*($C$5/100))=0,"",IF(ROUND(I13-$I$5,1)&lt;1,(($I$5/100)*$C$5)-('Cost of Production'!$C$31+I18),((($I$5/100)*$C$5)+I27)-('Cost of Production'!$C$31+I18)))</f>
        <v>-69.020298719772654</v>
      </c>
      <c r="J44" s="84">
        <f>IF(SUM(J14*($C$5/100))=0,"",IF(ROUND(J13-$I$5,1)&lt;1,(($I$5/100)*$C$5)-('Cost of Production'!$C$31+J18),((($I$5/100)*$C$5)+J27)-('Cost of Production'!$C$31+J18)))</f>
        <v>-69.374457478006207</v>
      </c>
      <c r="K44" s="84">
        <f>IF(SUM(K14*($C$5/100))=0,"",IF(ROUND(K13-$I$5,1)&lt;1,(($I$5/100)*$C$5)-('Cost of Production'!$C$31+K18),((($I$5/100)*$C$5)+K27)-('Cost of Production'!$C$31+K18)))</f>
        <v>-69.626585365853771</v>
      </c>
      <c r="L44" s="84">
        <f>IF(SUM(L14*($C$5/100))=0,"",IF(ROUND(L13-$I$5,1)&lt;1,(($I$5/100)*$C$5)-('Cost of Production'!$C$31+L18),((($I$5/100)*$C$5)+L27)-('Cost of Production'!$C$31+L18)))</f>
        <v>-69.95075949367083</v>
      </c>
      <c r="M44" s="84">
        <f>IF(SUM(M14*($C$5/100))=0,"",IF(ROUND(M13-$I$5,1)&lt;1,(($I$5/100)*$C$5)-('Cost of Production'!$C$31+M18),((($I$5/100)*$C$5)+M27)-('Cost of Production'!$C$31+M18)))</f>
        <v>-70.403725490196393</v>
      </c>
      <c r="N44" s="84">
        <f>IF(SUM(N14*($C$5/100))=0,"",IF(ROUND(N13-$I$5,1)&lt;1,(($I$5/100)*$C$5)-('Cost of Production'!$C$31+N18),((($I$5/100)*$C$5)+N27)-('Cost of Production'!$C$31+N18)))</f>
        <v>-70.679041095890625</v>
      </c>
      <c r="O44" s="84">
        <f>IF(SUM(O14*($C$5/100))=0,"",IF(ROUND(O13-$I$5,1)&lt;1,(($I$5/100)*$C$5)-('Cost of Production'!$C$31+O18),((($I$5/100)*$C$5)+O27)-('Cost of Production'!$C$31+O18)))</f>
        <v>-71.169928952042937</v>
      </c>
      <c r="P44" s="84">
        <f>IF(SUM(P14*($C$5/100))=0,"",IF(ROUND(P13-$I$5,1)&lt;1,(($I$5/100)*$C$5)-('Cost of Production'!$C$31+P18),((($I$5/100)*$C$5)+P27)-('Cost of Production'!$C$31+P18)))</f>
        <v>-72.061223021582919</v>
      </c>
      <c r="Q44" s="84">
        <f>IF(SUM(Q14*($C$5/100))=0,"",IF(ROUND(Q13-$I$5,1)&lt;1,(($I$5/100)*$C$5)-('Cost of Production'!$C$31+Q18),((($I$5/100)*$C$5)+Q27)-('Cost of Production'!$C$31+Q18)))</f>
        <v>-72.581557223264554</v>
      </c>
      <c r="R44" s="84" t="str">
        <f>IF(SUM(R14*($C$5/100))=0,"",IF(ROUND(R13-$I$5,1)&lt;1,(($I$5/100)*$C$5)-('Cost of Production'!$C$31+R18),((($I$5/100)*$C$5)+R27)-('Cost of Production'!$C$31+R18)))</f>
        <v/>
      </c>
      <c r="S44" s="84" t="str">
        <f>IF(SUM(S14*($C$5/100))=0,"",IF(ROUND(S13-$I$5,1)&lt;1,(($I$5/100)*$C$5)-('Cost of Production'!$C$31+S18),((($I$5/100)*$C$5)+S27)-('Cost of Production'!$C$31+S18)))</f>
        <v/>
      </c>
      <c r="T44" s="84" t="str">
        <f>IF(SUM(T14*($C$5/100))=0,"",IF(ROUND(T13-$I$5,1)&lt;1,(($I$5/100)*$C$5)-('Cost of Production'!$C$31+T18),((($I$5/100)*$C$5)+T27)-('Cost of Production'!$C$31+T18)))</f>
        <v/>
      </c>
      <c r="U44" s="84" t="str">
        <f>IF(SUM(U14*($C$5/100))=0,"",IF(ROUND(U13-$I$5,1)&lt;1,(($I$5/100)*$C$5)-('Cost of Production'!$C$31+U18),((($I$5/100)*$C$5)+U27)-('Cost of Production'!$C$31+U18)))</f>
        <v/>
      </c>
      <c r="V44" s="84" t="str">
        <f>IF(SUM(V14*($C$5/100))=0,"",IF(ROUND(V13-$I$5,1)&lt;1,(($I$5/100)*$C$5)-('Cost of Production'!$C$31+V18),((($I$5/100)*$C$5)+V27)-('Cost of Production'!$C$31+V18)))</f>
        <v/>
      </c>
    </row>
    <row r="45" spans="1:54" x14ac:dyDescent="0.3">
      <c r="A45" s="5"/>
      <c r="B45" s="8" t="s">
        <v>1</v>
      </c>
      <c r="C45" s="84">
        <f>IF(SUM(C14*($C$5/100))=0,"",IF(ROUND(C13-$I$5,1)&lt;1,(($I$5/100)*$C$5)-('Cost of Production'!$C$31+'Cost of Production'!$C$46+C18),((($I$5/100)*$C$5)+C27)-('Cost of Production'!$C$31+'Cost of Production'!$C$46+C18)))</f>
        <v>-2656.6544444444444</v>
      </c>
      <c r="D45" s="84">
        <f>IF(SUM(D14*($C$5/100))=0,"",IF(ROUND(D13-$I$5,1)&lt;1,(($I$5/100)*$C$5)-('Cost of Production'!$C$31+'Cost of Production'!$C$46+D18),((($I$5/100)*$C$5)+D27)-('Cost of Production'!$C$31+'Cost of Production'!$C$46+D18)))</f>
        <v>-2656.7243884892086</v>
      </c>
      <c r="E45" s="84">
        <f>IF(SUM(E14*($C$5/100))=0,"",IF(ROUND(E13-$I$5,1)&lt;1,(($I$5/100)*$C$5)-('Cost of Production'!$C$31+'Cost of Production'!$C$46+E18),((($I$5/100)*$C$5)+E27)-('Cost of Production'!$C$31+'Cost of Production'!$C$46+E18)))</f>
        <v>-2656.9978228782288</v>
      </c>
      <c r="F45" s="84">
        <f>IF(SUM(F14*($C$5/100))=0,"",IF(ROUND(F13-$I$5,1)&lt;1,(($I$5/100)*$C$5)-('Cost of Production'!$C$31+'Cost of Production'!$C$46+F18),((($I$5/100)*$C$5)+F27)-('Cost of Production'!$C$31+'Cost of Production'!$C$46+F18)))</f>
        <v>-2656.926494845361</v>
      </c>
      <c r="G45" s="84">
        <f>IF(SUM(G14*($C$5/100))=0,"",IF(ROUND(G13-$I$5,1)&lt;1,(($I$5/100)*$C$5)-('Cost of Production'!$C$31+'Cost of Production'!$C$46+G18),((($I$5/100)*$C$5)+G27)-('Cost of Production'!$C$31+'Cost of Production'!$C$46+G18)))</f>
        <v>-2657.11</v>
      </c>
      <c r="H45" s="84">
        <f>IF(SUM(H14*($C$5/100))=0,"",IF(ROUND(H13-$I$5,1)&lt;1,(($I$5/100)*$C$5)-('Cost of Production'!$C$31+'Cost of Production'!$C$46+H18),((($I$5/100)*$C$5)+H27)-('Cost of Production'!$C$31+'Cost of Production'!$C$46+H18)))</f>
        <v>-2657.426049382716</v>
      </c>
      <c r="I45" s="84">
        <f>IF(SUM(I14*($C$5/100))=0,"",IF(ROUND(I13-$I$5,1)&lt;1,(($I$5/100)*$C$5)-('Cost of Production'!$C$31+'Cost of Production'!$C$46+I18),((($I$5/100)*$C$5)+I27)-('Cost of Production'!$C$31+'Cost of Production'!$C$46+I18)))</f>
        <v>-2657.6402987197725</v>
      </c>
      <c r="J45" s="84">
        <f>IF(SUM(J14*($C$5/100))=0,"",IF(ROUND(J13-$I$5,1)&lt;1,(($I$5/100)*$C$5)-('Cost of Production'!$C$31+'Cost of Production'!$C$46+J18),((($I$5/100)*$C$5)+J27)-('Cost of Production'!$C$31+'Cost of Production'!$C$46+J18)))</f>
        <v>-2657.9944574780061</v>
      </c>
      <c r="K45" s="84">
        <f>IF(SUM(K14*($C$5/100))=0,"",IF(ROUND(K13-$I$5,1)&lt;1,(($I$5/100)*$C$5)-('Cost of Production'!$C$31+'Cost of Production'!$C$46+K18),((($I$5/100)*$C$5)+K27)-('Cost of Production'!$C$31+'Cost of Production'!$C$46+K18)))</f>
        <v>-2658.2465853658537</v>
      </c>
      <c r="L45" s="84">
        <f>IF(SUM(L14*($C$5/100))=0,"",IF(ROUND(L13-$I$5,1)&lt;1,(($I$5/100)*$C$5)-('Cost of Production'!$C$31+'Cost of Production'!$C$46+L18),((($I$5/100)*$C$5)+L27)-('Cost of Production'!$C$31+'Cost of Production'!$C$46+L18)))</f>
        <v>-2658.5707594936707</v>
      </c>
      <c r="M45" s="84">
        <f>IF(SUM(M14*($C$5/100))=0,"",IF(ROUND(M13-$I$5,1)&lt;1,(($I$5/100)*$C$5)-('Cost of Production'!$C$31+'Cost of Production'!$C$46+M18),((($I$5/100)*$C$5)+M27)-('Cost of Production'!$C$31+'Cost of Production'!$C$46+M18)))</f>
        <v>-2659.0237254901963</v>
      </c>
      <c r="N45" s="84">
        <f>IF(SUM(N14*($C$5/100))=0,"",IF(ROUND(N13-$I$5,1)&lt;1,(($I$5/100)*$C$5)-('Cost of Production'!$C$31+'Cost of Production'!$C$46+N18),((($I$5/100)*$C$5)+N27)-('Cost of Production'!$C$31+'Cost of Production'!$C$46+N18)))</f>
        <v>-2659.2990410958905</v>
      </c>
      <c r="O45" s="84">
        <f>IF(SUM(O14*($C$5/100))=0,"",IF(ROUND(O13-$I$5,1)&lt;1,(($I$5/100)*$C$5)-('Cost of Production'!$C$31+'Cost of Production'!$C$46+O18),((($I$5/100)*$C$5)+O27)-('Cost of Production'!$C$31+'Cost of Production'!$C$46+O18)))</f>
        <v>-2659.7899289520428</v>
      </c>
      <c r="P45" s="84">
        <f>IF(SUM(P14*($C$5/100))=0,"",IF(ROUND(P13-$I$5,1)&lt;1,(($I$5/100)*$C$5)-('Cost of Production'!$C$31+'Cost of Production'!$C$46+P18),((($I$5/100)*$C$5)+P27)-('Cost of Production'!$C$31+'Cost of Production'!$C$46+P18)))</f>
        <v>-2660.6812230215828</v>
      </c>
      <c r="Q45" s="84">
        <f>IF(SUM(Q14*($C$5/100))=0,"",IF(ROUND(Q13-$I$5,1)&lt;1,(($I$5/100)*$C$5)-('Cost of Production'!$C$31+'Cost of Production'!$C$46+Q18),((($I$5/100)*$C$5)+Q27)-('Cost of Production'!$C$31+'Cost of Production'!$C$46+Q18)))</f>
        <v>-2661.2015572232644</v>
      </c>
      <c r="R45" s="84" t="str">
        <f>IF(SUM(R14*($C$5/100))=0,"",IF(ROUND(R13-$I$5,1)&lt;1,(($I$5/100)*$C$5)-('Cost of Production'!$C$31+'Cost of Production'!$C$46+R18),((($I$5/100)*$C$5)+R27)-('Cost of Production'!$C$31+'Cost of Production'!$C$46+R18)))</f>
        <v/>
      </c>
      <c r="S45" s="84" t="str">
        <f>IF(SUM(S14*($C$5/100))=0,"",IF(ROUND(S13-$I$5,1)&lt;1,(($I$5/100)*$C$5)-('Cost of Production'!$C$31+'Cost of Production'!$C$46+S18),((($I$5/100)*$C$5)+S27)-('Cost of Production'!$C$31+'Cost of Production'!$C$46+S18)))</f>
        <v/>
      </c>
      <c r="T45" s="84" t="str">
        <f>IF(SUM(T14*($C$5/100))=0,"",IF(ROUND(T13-$I$5,1)&lt;1,(($I$5/100)*$C$5)-('Cost of Production'!$C$31+'Cost of Production'!$C$46+T18),((($I$5/100)*$C$5)+T27)-('Cost of Production'!$C$31+'Cost of Production'!$C$46+T18)))</f>
        <v/>
      </c>
      <c r="U45" s="84" t="str">
        <f>IF(SUM(U14*($C$5/100))=0,"",IF(ROUND(U13-$I$5,1)&lt;1,(($I$5/100)*$C$5)-('Cost of Production'!$C$31+'Cost of Production'!$C$46+U18),((($I$5/100)*$C$5)+U27)-('Cost of Production'!$C$31+'Cost of Production'!$C$46+U18)))</f>
        <v/>
      </c>
      <c r="V45" s="84" t="str">
        <f>IF(SUM(V14*($C$5/100))=0,"",IF(ROUND(V13-$I$5,1)&lt;1,(($I$5/100)*$C$5)-('Cost of Production'!$C$31+'Cost of Production'!$C$46+V18),((($I$5/100)*$C$5)+V27)-('Cost of Production'!$C$31+'Cost of Production'!$C$46+V18)))</f>
        <v/>
      </c>
    </row>
    <row r="46" spans="1:54" x14ac:dyDescent="0.3">
      <c r="A46" s="5"/>
      <c r="B46" s="8" t="s">
        <v>2</v>
      </c>
      <c r="C46" s="84">
        <f>IF(SUM(C14*($C$5/100))=0,"",IF(ROUND(C13-$I$5,1)&lt;1,(($I$5/100)*$C$5)-('Cost of Production'!$C$44+C18),((($I$5/100)*$C$5)+C27)-('Cost of Production'!$C$44+C18)))</f>
        <v>2432.4555555555553</v>
      </c>
      <c r="D46" s="84">
        <f>IF(SUM(D14*($C$5/100))=0,"",IF(ROUND(D13-$I$5,1)&lt;1,(($I$5/100)*$C$5)-('Cost of Production'!$C$44+D18),((($I$5/100)*$C$5)+D27)-('Cost of Production'!$C$44+D18)))</f>
        <v>2432.385611510791</v>
      </c>
      <c r="E46" s="84">
        <f>IF(SUM(E14*($C$5/100))=0,"",IF(ROUND(E13-$I$5,1)&lt;1,(($I$5/100)*$C$5)-('Cost of Production'!$C$44+E18),((($I$5/100)*$C$5)+E27)-('Cost of Production'!$C$44+E18)))</f>
        <v>2432.1121771217709</v>
      </c>
      <c r="F46" s="84">
        <f>IF(SUM(F14*($C$5/100))=0,"",IF(ROUND(F13-$I$5,1)&lt;1,(($I$5/100)*$C$5)-('Cost of Production'!$C$44+F18),((($I$5/100)*$C$5)+F27)-('Cost of Production'!$C$44+F18)))</f>
        <v>2432.1835051546386</v>
      </c>
      <c r="G46" s="84">
        <f>IF(SUM(G14*($C$5/100))=0,"",IF(ROUND(G13-$I$5,1)&lt;1,(($I$5/100)*$C$5)-('Cost of Production'!$C$44+G18),((($I$5/100)*$C$5)+G27)-('Cost of Production'!$C$44+G18)))</f>
        <v>2431.9999999999995</v>
      </c>
      <c r="H46" s="84">
        <f>IF(SUM(H14*($C$5/100))=0,"",IF(ROUND(H13-$I$5,1)&lt;1,(($I$5/100)*$C$5)-('Cost of Production'!$C$44+H18),((($I$5/100)*$C$5)+H27)-('Cost of Production'!$C$44+H18)))</f>
        <v>2431.6839506172837</v>
      </c>
      <c r="I46" s="84">
        <f>IF(SUM(I14*($C$5/100))=0,"",IF(ROUND(I13-$I$5,1)&lt;1,(($I$5/100)*$C$5)-('Cost of Production'!$C$44+I18),((($I$5/100)*$C$5)+I27)-('Cost of Production'!$C$44+I18)))</f>
        <v>2431.4697012802271</v>
      </c>
      <c r="J46" s="84">
        <f>IF(SUM(J14*($C$5/100))=0,"",IF(ROUND(J13-$I$5,1)&lt;1,(($I$5/100)*$C$5)-('Cost of Production'!$C$44+J18),((($I$5/100)*$C$5)+J27)-('Cost of Production'!$C$44+J18)))</f>
        <v>2431.1155425219936</v>
      </c>
      <c r="K46" s="84">
        <f>IF(SUM(K14*($C$5/100))=0,"",IF(ROUND(K13-$I$5,1)&lt;1,(($I$5/100)*$C$5)-('Cost of Production'!$C$44+K18),((($I$5/100)*$C$5)+K27)-('Cost of Production'!$C$44+K18)))</f>
        <v>2430.863414634146</v>
      </c>
      <c r="L46" s="84">
        <f>IF(SUM(L14*($C$5/100))=0,"",IF(ROUND(L13-$I$5,1)&lt;1,(($I$5/100)*$C$5)-('Cost of Production'!$C$44+L18),((($I$5/100)*$C$5)+L27)-('Cost of Production'!$C$44+L18)))</f>
        <v>2430.539240506329</v>
      </c>
      <c r="M46" s="84">
        <f>IF(SUM(M14*($C$5/100))=0,"",IF(ROUND(M13-$I$5,1)&lt;1,(($I$5/100)*$C$5)-('Cost of Production'!$C$44+M18),((($I$5/100)*$C$5)+M27)-('Cost of Production'!$C$44+M18)))</f>
        <v>2430.0862745098034</v>
      </c>
      <c r="N46" s="84">
        <f>IF(SUM(N14*($C$5/100))=0,"",IF(ROUND(N13-$I$5,1)&lt;1,(($I$5/100)*$C$5)-('Cost of Production'!$C$44+N18),((($I$5/100)*$C$5)+N27)-('Cost of Production'!$C$44+N18)))</f>
        <v>2429.8109589041092</v>
      </c>
      <c r="O46" s="84">
        <f>IF(SUM(O14*($C$5/100))=0,"",IF(ROUND(O13-$I$5,1)&lt;1,(($I$5/100)*$C$5)-('Cost of Production'!$C$44+O18),((($I$5/100)*$C$5)+O27)-('Cost of Production'!$C$44+O18)))</f>
        <v>2429.3200710479568</v>
      </c>
      <c r="P46" s="84">
        <f>IF(SUM(P14*($C$5/100))=0,"",IF(ROUND(P13-$I$5,1)&lt;1,(($I$5/100)*$C$5)-('Cost of Production'!$C$44+P18),((($I$5/100)*$C$5)+P27)-('Cost of Production'!$C$44+P18)))</f>
        <v>2428.4287769784169</v>
      </c>
      <c r="Q46" s="84">
        <f>IF(SUM(Q14*($C$5/100))=0,"",IF(ROUND(Q13-$I$5,1)&lt;1,(($I$5/100)*$C$5)-('Cost of Production'!$C$44+Q18),((($I$5/100)*$C$5)+Q27)-('Cost of Production'!$C$44+Q18)))</f>
        <v>2427.9084427767352</v>
      </c>
      <c r="R46" s="84" t="str">
        <f>IF(SUM(R14*($C$5/100))=0,"",IF(ROUND(R13-$I$5,1)&lt;1,(($I$5/100)*$C$5)-('Cost of Production'!$C$44+R18),((($I$5/100)*$C$5)+R27)-('Cost of Production'!$C$44+R18)))</f>
        <v/>
      </c>
      <c r="S46" s="84" t="str">
        <f>IF(SUM(S14*($C$5/100))=0,"",IF(ROUND(S13-$I$5,1)&lt;1,(($I$5/100)*$C$5)-('Cost of Production'!$C$44+S18),((($I$5/100)*$C$5)+S27)-('Cost of Production'!$C$44+S18)))</f>
        <v/>
      </c>
      <c r="T46" s="84" t="str">
        <f>IF(SUM(T14*($C$5/100))=0,"",IF(ROUND(T13-$I$5,1)&lt;1,(($I$5/100)*$C$5)-('Cost of Production'!$C$44+T18),((($I$5/100)*$C$5)+T27)-('Cost of Production'!$C$44+T18)))</f>
        <v/>
      </c>
      <c r="U46" s="84" t="str">
        <f>IF(SUM(U14*($C$5/100))=0,"",IF(ROUND(U13-$I$5,1)&lt;1,(($I$5/100)*$C$5)-('Cost of Production'!$C$44+U18),((($I$5/100)*$C$5)+U27)-('Cost of Production'!$C$44+U18)))</f>
        <v/>
      </c>
      <c r="V46" s="84" t="str">
        <f>IF(SUM(V14*($C$5/100))=0,"",IF(ROUND(V13-$I$5,1)&lt;1,(($I$5/100)*$C$5)-('Cost of Production'!$C$44+V18),((($I$5/100)*$C$5)+V27)-('Cost of Production'!$C$44+V18)))</f>
        <v/>
      </c>
    </row>
    <row r="47" spans="1:54" x14ac:dyDescent="0.3">
      <c r="A47" s="5"/>
      <c r="B47" s="38" t="s">
        <v>3</v>
      </c>
      <c r="C47" s="85">
        <f>IF(SUM(C14*($C$5/100))=0,"",IF(ROUND(C13-$I$5,1)&lt;1,(($I$5/100)*$C$5)-('Cost of Production'!$C$48+C18),((($I$5/100)*$C$5)+C27)-('Cost of Production'!$C$48+C18)))</f>
        <v>2459.4555555555553</v>
      </c>
      <c r="D47" s="85">
        <f>IF(SUM(D14*($C$5/100))=0,"",IF(ROUND(D13-$I$5,1)&lt;1,(($I$5/100)*$C$5)-('Cost of Production'!$C$48+D18),((($I$5/100)*$C$5)+D27)-('Cost of Production'!$C$48+D18)))</f>
        <v>2459.385611510791</v>
      </c>
      <c r="E47" s="85">
        <f>IF(SUM(E14*($C$5/100))=0,"",IF(ROUND(E13-$I$5,1)&lt;1,(($I$5/100)*$C$5)-('Cost of Production'!$C$48+E18),((($I$5/100)*$C$5)+E27)-('Cost of Production'!$C$48+E18)))</f>
        <v>2459.1121771217709</v>
      </c>
      <c r="F47" s="85">
        <f>IF(SUM(F14*($C$5/100))=0,"",IF(ROUND(F13-$I$5,1)&lt;1,(($I$5/100)*$C$5)-('Cost of Production'!$C$48+F18),((($I$5/100)*$C$5)+F27)-('Cost of Production'!$C$48+F18)))</f>
        <v>2459.1835051546386</v>
      </c>
      <c r="G47" s="85">
        <f>IF(SUM(G14*($C$5/100))=0,"",IF(ROUND(G13-$I$5,1)&lt;1,(($I$5/100)*$C$5)-('Cost of Production'!$C$48+G18),((($I$5/100)*$C$5)+G27)-('Cost of Production'!$C$48+G18)))</f>
        <v>2458.9999999999995</v>
      </c>
      <c r="H47" s="85">
        <f>IF(SUM(H14*($C$5/100))=0,"",IF(ROUND(H13-$I$5,1)&lt;1,(($I$5/100)*$C$5)-('Cost of Production'!$C$48+H18),((($I$5/100)*$C$5)+H27)-('Cost of Production'!$C$48+H18)))</f>
        <v>2458.6839506172837</v>
      </c>
      <c r="I47" s="85">
        <f>IF(SUM(I14*($C$5/100))=0,"",IF(ROUND(I13-$I$5,1)&lt;1,(($I$5/100)*$C$5)-('Cost of Production'!$C$48+I18),((($I$5/100)*$C$5)+I27)-('Cost of Production'!$C$48+I18)))</f>
        <v>2458.4697012802271</v>
      </c>
      <c r="J47" s="85">
        <f>IF(SUM(J14*($C$5/100))=0,"",IF(ROUND(J13-$I$5,1)&lt;1,(($I$5/100)*$C$5)-('Cost of Production'!$C$48+J18),((($I$5/100)*$C$5)+J27)-('Cost of Production'!$C$48+J18)))</f>
        <v>2458.1155425219936</v>
      </c>
      <c r="K47" s="85">
        <f>IF(SUM(K14*($C$5/100))=0,"",IF(ROUND(K13-$I$5,1)&lt;1,(($I$5/100)*$C$5)-('Cost of Production'!$C$48+K18),((($I$5/100)*$C$5)+K27)-('Cost of Production'!$C$48+K18)))</f>
        <v>2457.863414634146</v>
      </c>
      <c r="L47" s="85">
        <f>IF(SUM(L14*($C$5/100))=0,"",IF(ROUND(L13-$I$5,1)&lt;1,(($I$5/100)*$C$5)-('Cost of Production'!$C$48+L18),((($I$5/100)*$C$5)+L27)-('Cost of Production'!$C$48+L18)))</f>
        <v>2457.539240506329</v>
      </c>
      <c r="M47" s="85">
        <f>IF(SUM(M14*($C$5/100))=0,"",IF(ROUND(M13-$I$5,1)&lt;1,(($I$5/100)*$C$5)-('Cost of Production'!$C$48+M18),((($I$5/100)*$C$5)+M27)-('Cost of Production'!$C$48+M18)))</f>
        <v>2457.0862745098034</v>
      </c>
      <c r="N47" s="85">
        <f>IF(SUM(N14*($C$5/100))=0,"",IF(ROUND(N13-$I$5,1)&lt;1,(($I$5/100)*$C$5)-('Cost of Production'!$C$48+N18),((($I$5/100)*$C$5)+N27)-('Cost of Production'!$C$48+N18)))</f>
        <v>2456.8109589041092</v>
      </c>
      <c r="O47" s="85">
        <f>IF(SUM(O14*($C$5/100))=0,"",IF(ROUND(O13-$I$5,1)&lt;1,(($I$5/100)*$C$5)-('Cost of Production'!$C$48+O18),((($I$5/100)*$C$5)+O27)-('Cost of Production'!$C$48+O18)))</f>
        <v>2456.3200710479568</v>
      </c>
      <c r="P47" s="85">
        <f>IF(SUM(P14*($C$5/100))=0,"",IF(ROUND(P13-$I$5,1)&lt;1,(($I$5/100)*$C$5)-('Cost of Production'!$C$48+P18),((($I$5/100)*$C$5)+P27)-('Cost of Production'!$C$48+P18)))</f>
        <v>2455.4287769784169</v>
      </c>
      <c r="Q47" s="85">
        <f>IF(SUM(Q14*($C$5/100))=0,"",IF(ROUND(Q13-$I$5,1)&lt;1,(($I$5/100)*$C$5)-('Cost of Production'!$C$48+Q18),((($I$5/100)*$C$5)+Q27)-('Cost of Production'!$C$48+Q18)))</f>
        <v>2454.9084427767352</v>
      </c>
      <c r="R47" s="85" t="str">
        <f>IF(SUM(R14*($C$5/100))=0,"",IF(ROUND(R13-$I$5,1)&lt;1,(($I$5/100)*$C$5)-('Cost of Production'!$C$48+R18),((($I$5/100)*$C$5)+R27)-('Cost of Production'!$C$48+R18)))</f>
        <v/>
      </c>
      <c r="S47" s="85" t="str">
        <f>IF(SUM(S14*($C$5/100))=0,"",IF(ROUND(S13-$I$5,1)&lt;1,(($I$5/100)*$C$5)-('Cost of Production'!$C$48+S18),((($I$5/100)*$C$5)+S27)-('Cost of Production'!$C$48+S18)))</f>
        <v/>
      </c>
      <c r="T47" s="85" t="str">
        <f>IF(SUM(T14*($C$5/100))=0,"",IF(ROUND(T13-$I$5,1)&lt;1,(($I$5/100)*$C$5)-('Cost of Production'!$C$48+T18),((($I$5/100)*$C$5)+T27)-('Cost of Production'!$C$48+T18)))</f>
        <v/>
      </c>
      <c r="U47" s="85" t="str">
        <f>IF(SUM(U14*($C$5/100))=0,"",IF(ROUND(U13-$I$5,1)&lt;1,(($I$5/100)*$C$5)-('Cost of Production'!$C$48+U18),((($I$5/100)*$C$5)+U27)-('Cost of Production'!$C$48+U18)))</f>
        <v/>
      </c>
      <c r="V47" s="85" t="str">
        <f>IF(SUM(V14*($C$5/100))=0,"",IF(ROUND(V13-$I$5,1)&lt;1,(($I$5/100)*$C$5)-('Cost of Production'!$C$48+V18),((($I$5/100)*$C$5)+V27)-('Cost of Production'!$C$48+V18)))</f>
        <v/>
      </c>
    </row>
    <row r="48" spans="1:54" ht="7.5" customHeight="1" x14ac:dyDescent="0.3">
      <c r="A48" s="7"/>
      <c r="B48" s="11"/>
    </row>
    <row r="49" spans="1:27" x14ac:dyDescent="0.3">
      <c r="A49" s="181" t="s">
        <v>75</v>
      </c>
      <c r="B49" s="181"/>
      <c r="C49" s="181"/>
      <c r="D49" s="181"/>
      <c r="E49" s="181"/>
      <c r="F49" s="181"/>
      <c r="G49" s="181"/>
      <c r="H49" s="181"/>
      <c r="I49" s="181"/>
      <c r="J49" s="181"/>
      <c r="K49" s="181"/>
      <c r="L49" s="181"/>
      <c r="M49" s="181"/>
      <c r="N49" s="181"/>
      <c r="O49" s="181"/>
      <c r="P49" s="181"/>
      <c r="Q49" s="181"/>
      <c r="R49" s="181"/>
      <c r="S49" s="181"/>
      <c r="T49" s="181"/>
      <c r="U49" s="181"/>
      <c r="V49" s="181"/>
      <c r="W49" s="1"/>
      <c r="X49" s="1"/>
      <c r="Y49" s="1"/>
      <c r="Z49" s="1"/>
      <c r="AA49" s="1"/>
    </row>
    <row r="50" spans="1:27" s="56" customFormat="1" ht="7.5" customHeight="1" x14ac:dyDescent="0.3">
      <c r="A50" s="55"/>
      <c r="B50" s="55"/>
      <c r="C50" s="55"/>
      <c r="D50" s="55"/>
      <c r="E50" s="55"/>
      <c r="F50" s="55"/>
      <c r="G50" s="55"/>
      <c r="H50" s="55"/>
      <c r="I50" s="55"/>
      <c r="J50" s="55"/>
      <c r="K50" s="55"/>
      <c r="L50" s="55"/>
      <c r="M50" s="55"/>
      <c r="N50" s="55"/>
      <c r="O50" s="55"/>
      <c r="P50" s="55"/>
      <c r="Q50" s="55"/>
      <c r="R50" s="55"/>
      <c r="S50" s="55"/>
      <c r="T50" s="55"/>
      <c r="U50" s="55"/>
      <c r="V50" s="55"/>
      <c r="W50" s="1"/>
      <c r="X50" s="1"/>
      <c r="Y50" s="1"/>
      <c r="Z50" s="1"/>
      <c r="AA50" s="1"/>
    </row>
    <row r="51" spans="1:27" ht="15.75" customHeight="1" x14ac:dyDescent="0.3">
      <c r="A51" s="89" t="str">
        <f>"Premium Cost ($/head) = Insured Weight (cwt) x Premium ($/cwt)   (eg. ("&amp;C5&amp;"lbs /100) x $"&amp;J14&amp;" = $"&amp;TEXT(J18,"0.00")&amp;")"</f>
        <v>Premium Cost ($/head) = Insured Weight (cwt) x Premium ($/cwt)   (eg. (873lbs /100) x $6.82 = $3.00)</v>
      </c>
      <c r="B51" s="90"/>
      <c r="C51" s="75"/>
      <c r="D51" s="75"/>
      <c r="E51" s="75"/>
      <c r="F51" s="75"/>
      <c r="G51" s="75"/>
      <c r="H51" s="75"/>
      <c r="I51" s="75"/>
      <c r="J51" s="75"/>
      <c r="K51" s="75"/>
      <c r="L51" s="75"/>
    </row>
    <row r="52" spans="1:27" ht="15.75" customHeight="1" x14ac:dyDescent="0.3">
      <c r="A52" s="89" t="str">
        <f>"Insured Value ($/head) = Insured Index ($/cwt) x Insured Weight (cwt)   (eg. $"&amp;J13&amp;" x ("&amp;C5&amp;"lbs/100) = $"&amp;J19&amp;")"</f>
        <v>Insured Value ($/head) = Insured Index ($/cwt) x Insured Weight (cwt)   (eg. $318 x (873lbs/100) = $139.882697947214)</v>
      </c>
      <c r="B52" s="90"/>
      <c r="C52" s="75"/>
      <c r="D52" s="75"/>
      <c r="E52" s="75"/>
      <c r="F52" s="75"/>
      <c r="G52" s="75"/>
      <c r="H52" s="75"/>
      <c r="I52" s="75"/>
      <c r="J52" s="75"/>
      <c r="K52" s="75"/>
      <c r="L52" s="75"/>
    </row>
    <row r="53" spans="1:27" ht="15.75" customHeight="1" x14ac:dyDescent="0.3">
      <c r="A53" s="89" t="str">
        <f>"Premium Cost (% of Insured Value) = Premium Cost ($/head) / Insured Value ($/head)   (eg. $"&amp;TEXT(J18,"0.00")&amp;" / $"&amp;J19&amp;" = "&amp;ROUND(J21*100,2)&amp;"%)"</f>
        <v>Premium Cost (% of Insured Value) = Premium Cost ($/head) / Insured Value ($/head)   (eg. $3.00 / $139.882697947214 = 2.14%)</v>
      </c>
      <c r="B53" s="90"/>
      <c r="C53" s="75"/>
      <c r="D53" s="75"/>
      <c r="E53" s="75"/>
      <c r="F53" s="75"/>
      <c r="G53" s="75"/>
      <c r="H53" s="75"/>
      <c r="I53" s="75"/>
      <c r="J53" s="75"/>
      <c r="K53" s="75"/>
      <c r="L53" s="75"/>
    </row>
    <row r="54" spans="1:27" ht="15.75" customHeight="1" x14ac:dyDescent="0.3">
      <c r="A54" s="89" t="str">
        <f>"WLPIP Payment ($/head) = (Insured Index ($/cwt) - Estimated Settlement Price ($/cwt))) x (Insured  Weight (lbs)/100)     (eg. ($"&amp;J13&amp;" - $"&amp;$I$5&amp;") x ("&amp;$C$5&amp;" lbs/100) = $"&amp;J27&amp;")"</f>
        <v>WLPIP Payment ($/head) = (Insured Index ($/cwt) - Estimated Settlement Price ($/cwt))) x (Insured  Weight (lbs)/100)     (eg. ($318 - $280) x (873 lbs/100) = $16.7155425219941)</v>
      </c>
      <c r="B54" s="90"/>
      <c r="C54" s="75"/>
      <c r="D54" s="75"/>
      <c r="E54" s="75"/>
      <c r="F54" s="75"/>
      <c r="G54" s="75"/>
      <c r="H54" s="75"/>
      <c r="I54" s="75"/>
      <c r="J54" s="75"/>
      <c r="K54" s="75"/>
      <c r="L54" s="75"/>
    </row>
    <row r="55" spans="1:27" ht="15.75" customHeight="1" x14ac:dyDescent="0.3">
      <c r="A55" s="89" t="str">
        <f>"Cost Not Covered by WLPIP Insured Value ($/head) =  Cost of Production ($/head) + WLPIP Premium ($/head) - WLPIP Insured Value ($/head)   (eg. $"&amp;ROUND('Cost of Production'!$C$48,0)&amp;" + $"&amp;TEXT(J18,"0.00")&amp;" - $"&amp;J19&amp;" = $"&amp;ROUND(IF(J18+'Cost of Production'!$C$48-'WLPIP 2 (HIDE)'!J19&lt;0,0,SUM(J18+'Cost of Production'!$C$48-'WLPIP 2 (HIDE)'!J19)),2)&amp;")"</f>
        <v>Cost Not Covered by WLPIP Insured Value ($/head) =  Cost of Production ($/head) + WLPIP Premium ($/head) - WLPIP Insured Value ($/head)   (eg. $0 + $3.00 - $139.882697947214 = $0)</v>
      </c>
      <c r="B55" s="90"/>
      <c r="C55" s="75"/>
      <c r="D55" s="75"/>
      <c r="E55" s="75"/>
      <c r="F55" s="75"/>
      <c r="G55" s="75"/>
      <c r="H55" s="75"/>
      <c r="I55" s="75"/>
      <c r="J55" s="75"/>
      <c r="K55" s="75"/>
      <c r="L55" s="75"/>
    </row>
    <row r="56" spans="1:27" ht="15.75" customHeight="1" x14ac:dyDescent="0.3">
      <c r="A56" s="117"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($3.00 - $3.00) / ($139.882697947214 - $144.512195121951) = $0)</v>
      </c>
      <c r="B56" s="118"/>
      <c r="C56" s="109"/>
      <c r="D56" s="109"/>
      <c r="E56" s="109"/>
      <c r="F56" s="109"/>
      <c r="G56" s="109"/>
      <c r="H56" s="109"/>
      <c r="I56" s="109"/>
      <c r="J56" s="109"/>
      <c r="K56" s="109"/>
      <c r="L56" s="109"/>
      <c r="M56" s="109"/>
      <c r="N56" s="109"/>
      <c r="O56" s="109"/>
      <c r="P56" s="109"/>
      <c r="Q56" s="109"/>
      <c r="R56" s="109"/>
      <c r="S56" s="109"/>
      <c r="T56" s="109"/>
      <c r="U56" s="109"/>
      <c r="V56" s="109"/>
    </row>
    <row r="57" spans="1:27" ht="15.75" customHeight="1" x14ac:dyDescent="0.3">
      <c r="A57" s="89" t="str">
        <f>"Marginal Return ($/head) = ((Est. Settlement Price ($/cwt) x (Insured Weight (lbs) / 100)) + WLPIP Payment ($/head) - (Costs ($/head) + WLPIP Premium($/head)))   (eg. (($"&amp;$I$5&amp;" x ("&amp;$C$5&amp;" lbs/100)) + $"&amp;ROUND(J27,0)&amp;" - ($"&amp;ROUND('Cost of Production'!$C$48,0)&amp;" + $"&amp;TEXT(J18,"0.00")&amp;") = $"&amp;TEXT(J47,"0.00")&amp;")"</f>
        <v>Marginal Return ($/head) = ((Est. Settlement Price ($/cwt) x (Insured Weight (lbs) / 100)) + WLPIP Payment ($/head) - (Costs ($/head) + WLPIP Premium($/head)))   (eg. (($280 x (873 lbs/100)) + $17 - ($0 + $3.00) = $2458.12)</v>
      </c>
      <c r="B57" s="90"/>
      <c r="C57" s="75"/>
      <c r="D57" s="75"/>
      <c r="E57" s="75"/>
      <c r="F57" s="75"/>
      <c r="G57" s="75"/>
      <c r="H57" s="75"/>
      <c r="I57" s="75"/>
      <c r="J57" s="75"/>
      <c r="K57" s="75"/>
    </row>
    <row r="58" spans="1:27" ht="7.5" customHeight="1" x14ac:dyDescent="0.3">
      <c r="A58" s="86"/>
      <c r="B58" s="75"/>
      <c r="C58" s="75"/>
      <c r="D58" s="75"/>
      <c r="E58" s="75"/>
      <c r="F58" s="75"/>
      <c r="G58" s="75"/>
      <c r="H58" s="75"/>
      <c r="I58" s="75"/>
      <c r="J58" s="75"/>
      <c r="K58" s="75"/>
    </row>
    <row r="59" spans="1:27" s="23" customFormat="1" ht="12.75" customHeight="1" x14ac:dyDescent="0.25">
      <c r="A59" s="57" t="s">
        <v>13</v>
      </c>
      <c r="B59" s="57"/>
      <c r="C59" s="57"/>
      <c r="D59" s="57"/>
      <c r="E59" s="57"/>
      <c r="F59" s="57"/>
      <c r="G59" s="57"/>
      <c r="H59" s="57"/>
      <c r="I59" s="57"/>
      <c r="J59" s="57"/>
      <c r="K59" s="57"/>
    </row>
    <row r="60" spans="1:27" s="23" customFormat="1" ht="7.5" customHeight="1" x14ac:dyDescent="0.25">
      <c r="A60" s="68"/>
      <c r="B60" s="68"/>
      <c r="C60" s="68"/>
      <c r="D60" s="68"/>
      <c r="E60" s="68"/>
      <c r="F60" s="68"/>
      <c r="G60" s="68"/>
      <c r="H60" s="68"/>
      <c r="I60" s="68"/>
      <c r="J60" s="68"/>
      <c r="K60" s="68"/>
      <c r="L60" s="68"/>
      <c r="M60" s="68"/>
      <c r="N60" s="68"/>
      <c r="O60" s="68"/>
      <c r="P60" s="68"/>
      <c r="Q60" s="68"/>
      <c r="R60" s="68"/>
      <c r="S60" s="28"/>
      <c r="T60" s="28"/>
      <c r="U60" s="28"/>
      <c r="V60" s="28"/>
    </row>
    <row r="61" spans="1:27" s="23" customFormat="1" ht="3" hidden="1" customHeight="1" x14ac:dyDescent="0.25">
      <c r="A61" s="25"/>
      <c r="B61" s="26"/>
      <c r="C61" s="26"/>
      <c r="D61" s="26"/>
      <c r="E61" s="26"/>
      <c r="F61" s="26"/>
      <c r="G61" s="27"/>
      <c r="H61" s="27"/>
      <c r="I61" s="27"/>
      <c r="J61" s="27"/>
      <c r="K61" s="28"/>
    </row>
    <row r="62" spans="1:27" ht="18" customHeight="1" x14ac:dyDescent="0.3">
      <c r="A62" s="198" t="s">
        <v>52</v>
      </c>
      <c r="B62" s="198"/>
      <c r="C62" s="198"/>
      <c r="D62" s="198"/>
      <c r="E62" s="198"/>
      <c r="F62" s="198"/>
      <c r="G62" s="198"/>
      <c r="H62" s="198"/>
      <c r="I62" s="198"/>
      <c r="J62" s="198"/>
      <c r="K62" s="198"/>
      <c r="L62" s="198"/>
      <c r="M62" s="198"/>
      <c r="N62" s="198"/>
      <c r="O62" s="198"/>
      <c r="P62" s="198"/>
      <c r="Q62" s="198"/>
      <c r="R62" s="198"/>
    </row>
    <row r="63" spans="1:27" x14ac:dyDescent="0.3">
      <c r="A63" s="198"/>
      <c r="B63" s="198"/>
      <c r="C63" s="198"/>
      <c r="D63" s="198"/>
      <c r="E63" s="198"/>
      <c r="F63" s="198"/>
      <c r="G63" s="198"/>
      <c r="H63" s="198"/>
      <c r="I63" s="198"/>
      <c r="J63" s="198"/>
      <c r="K63" s="198"/>
      <c r="L63" s="198"/>
      <c r="M63" s="198"/>
      <c r="N63" s="198"/>
      <c r="O63" s="198"/>
      <c r="P63" s="198"/>
      <c r="Q63" s="198"/>
      <c r="R63" s="198"/>
    </row>
    <row r="64" spans="1:27" x14ac:dyDescent="0.3">
      <c r="A64" s="198"/>
      <c r="B64" s="198"/>
      <c r="C64" s="198"/>
      <c r="D64" s="198"/>
      <c r="E64" s="198"/>
      <c r="F64" s="198"/>
      <c r="G64" s="198"/>
      <c r="H64" s="198"/>
      <c r="I64" s="198"/>
      <c r="J64" s="198"/>
      <c r="K64" s="198"/>
      <c r="L64" s="198"/>
      <c r="M64" s="198"/>
      <c r="N64" s="198"/>
      <c r="O64" s="198"/>
      <c r="P64" s="198"/>
      <c r="Q64" s="198"/>
      <c r="R64" s="198"/>
    </row>
    <row r="65" spans="1:22" ht="7.5" customHeight="1" x14ac:dyDescent="0.3">
      <c r="A65" s="67"/>
      <c r="B65" s="67"/>
      <c r="C65" s="67"/>
      <c r="D65" s="67"/>
      <c r="E65" s="67"/>
      <c r="F65" s="67"/>
      <c r="G65" s="67"/>
      <c r="H65" s="67"/>
      <c r="I65" s="67"/>
      <c r="J65" s="67"/>
      <c r="K65" s="67"/>
    </row>
    <row r="66" spans="1:22" x14ac:dyDescent="0.3">
      <c r="A66" s="24" t="s">
        <v>6</v>
      </c>
      <c r="B66" s="36"/>
      <c r="C66" s="36"/>
      <c r="D66" s="32"/>
      <c r="E66" s="32"/>
      <c r="F66" s="32"/>
      <c r="G66" s="32"/>
      <c r="H66" s="33" t="s">
        <v>12</v>
      </c>
      <c r="I66" s="37"/>
      <c r="J66" s="71"/>
      <c r="K66" s="71"/>
      <c r="L66" s="37"/>
      <c r="M66" s="37"/>
      <c r="N66" s="37"/>
      <c r="O66" s="37"/>
      <c r="P66" s="37"/>
      <c r="Q66" s="37"/>
      <c r="R66" s="71"/>
      <c r="S66" s="70"/>
      <c r="T66" s="37"/>
      <c r="U66" s="37"/>
      <c r="V66" s="69" t="s">
        <v>44</v>
      </c>
    </row>
    <row r="67" spans="1:22" x14ac:dyDescent="0.3">
      <c r="A67" s="34" t="s">
        <v>7</v>
      </c>
      <c r="B67" s="35"/>
      <c r="C67" s="35"/>
      <c r="D67" s="35"/>
      <c r="E67" s="31"/>
      <c r="F67" s="31"/>
      <c r="G67" s="31"/>
      <c r="H67" s="31"/>
    </row>
    <row r="68" spans="1:22" x14ac:dyDescent="0.3">
      <c r="A68" s="199" t="s">
        <v>8</v>
      </c>
      <c r="B68" s="199"/>
      <c r="C68" s="199" t="s">
        <v>9</v>
      </c>
      <c r="D68" s="199"/>
      <c r="E68" s="199"/>
      <c r="F68" s="200"/>
      <c r="G68" s="200"/>
      <c r="I68" s="201"/>
      <c r="J68" s="201"/>
    </row>
    <row r="69" spans="1:22" s="92" customFormat="1" ht="13.8" x14ac:dyDescent="0.25">
      <c r="A69" s="91" t="s">
        <v>11</v>
      </c>
      <c r="C69" s="91" t="s">
        <v>11</v>
      </c>
      <c r="F69" s="91"/>
      <c r="I69" s="91"/>
    </row>
  </sheetData>
  <mergeCells count="11">
    <mergeCell ref="Y23:AB30"/>
    <mergeCell ref="A62:R64"/>
    <mergeCell ref="A68:B68"/>
    <mergeCell ref="C68:E68"/>
    <mergeCell ref="F68:G68"/>
    <mergeCell ref="I68:J68"/>
    <mergeCell ref="A10:V10"/>
    <mergeCell ref="C12:V12"/>
    <mergeCell ref="A16:V16"/>
    <mergeCell ref="A41:V41"/>
    <mergeCell ref="A49:V49"/>
  </mergeCells>
  <dataValidations count="2">
    <dataValidation type="list" allowBlank="1" showInputMessage="1" showErrorMessage="1" sqref="O5">
      <formula1>$BB$8:$CF$8</formula1>
    </dataValidation>
    <dataValidation type="list" allowBlank="1" showInputMessage="1" showErrorMessage="1" sqref="N5">
      <formula1>$BB$9:$BM$9</formula1>
    </dataValidation>
  </dataValidations>
  <hyperlinks>
    <hyperlink ref="A68" r:id="rId1"/>
    <hyperlink ref="C68" r:id="rId2"/>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3F255-6605-4524-9172-B1FE47F91EC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ECAD855-BDA8-444F-8F8D-35FC9E83B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74406D-C4EA-4419-8D13-0E6C8393F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Feeders Decision Calculator</dc:title>
  <dc:creator>Roy Arnott</dc:creator>
  <cp:lastModifiedBy>Gilmore, Lynn (ARD)</cp:lastModifiedBy>
  <cp:lastPrinted>2022-09-20T21:14:59Z</cp:lastPrinted>
  <dcterms:created xsi:type="dcterms:W3CDTF">2014-09-15T13:56:31Z</dcterms:created>
  <dcterms:modified xsi:type="dcterms:W3CDTF">2023-10-10T15:17:00Z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