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Risk Analysis" sheetId="3" r:id="rId3"/>
    <sheet name="Input" sheetId="4" r:id="rId4"/>
    <sheet name="Extended Grazing" sheetId="5" r:id="rId5"/>
    <sheet name="Details" sheetId="6" r:id="rId6"/>
  </sheets>
  <externalReferences>
    <externalReference r:id="rId9"/>
  </externalReferences>
  <definedNames>
    <definedName name="\A" localSheetId="4">#REF!</definedName>
    <definedName name="\A" localSheetId="2">#REF!</definedName>
    <definedName name="\A">#REF!</definedName>
    <definedName name="\B" localSheetId="4">#REF!</definedName>
    <definedName name="\B" localSheetId="2">#REF!</definedName>
    <definedName name="\B">#REF!</definedName>
    <definedName name="\C" localSheetId="0">#REF!</definedName>
    <definedName name="\C" localSheetId="2">#REF!</definedName>
    <definedName name="\C">#N/A</definedName>
    <definedName name="\D" localSheetId="0">#REF!</definedName>
    <definedName name="\D" localSheetId="2">#REF!</definedName>
    <definedName name="\D">#N/A</definedName>
    <definedName name="\E" localSheetId="4">#REF!</definedName>
    <definedName name="\E" localSheetId="2">#REF!</definedName>
    <definedName name="\E">#REF!</definedName>
    <definedName name="\F" localSheetId="4">#REF!</definedName>
    <definedName name="\F" localSheetId="2">#REF!</definedName>
    <definedName name="\F">#REF!</definedName>
    <definedName name="\H" localSheetId="0">#REF!</definedName>
    <definedName name="\H" localSheetId="2">#REF!</definedName>
    <definedName name="\H">#N/A</definedName>
    <definedName name="\I" localSheetId="0">#REF!</definedName>
    <definedName name="\I" localSheetId="2">#REF!</definedName>
    <definedName name="\I">#N/A</definedName>
    <definedName name="\K" localSheetId="0">#N/A</definedName>
    <definedName name="\K">#N/A</definedName>
    <definedName name="\L" localSheetId="4">#REF!</definedName>
    <definedName name="\L" localSheetId="2">#REF!</definedName>
    <definedName name="\L">#REF!</definedName>
    <definedName name="\N" localSheetId="0">#REF!</definedName>
    <definedName name="\N" localSheetId="2">#REF!</definedName>
    <definedName name="\N">#N/A</definedName>
    <definedName name="\O" localSheetId="4">#REF!</definedName>
    <definedName name="\O" localSheetId="2">#REF!</definedName>
    <definedName name="\O">#REF!</definedName>
    <definedName name="\P" localSheetId="0">#N/A</definedName>
    <definedName name="\P">#N/A</definedName>
    <definedName name="\R" localSheetId="4">#REF!</definedName>
    <definedName name="\R" localSheetId="2">#REF!</definedName>
    <definedName name="\R">#REF!</definedName>
    <definedName name="\S" localSheetId="0">#REF!</definedName>
    <definedName name="\S" localSheetId="2">#REF!</definedName>
    <definedName name="\S">#N/A</definedName>
    <definedName name="\T" localSheetId="4">#REF!</definedName>
    <definedName name="\T" localSheetId="2">#REF!</definedName>
    <definedName name="\T">#REF!</definedName>
    <definedName name="\U" localSheetId="4">#REF!</definedName>
    <definedName name="\U" localSheetId="2">#REF!</definedName>
    <definedName name="\U">#REF!</definedName>
    <definedName name="\W" localSheetId="0">#REF!</definedName>
    <definedName name="\W" localSheetId="2">#REF!</definedName>
    <definedName name="\W">#N/A</definedName>
    <definedName name="\X" localSheetId="0">#N/A</definedName>
    <definedName name="\X">#N/A</definedName>
    <definedName name="\Y" localSheetId="4">#REF!</definedName>
    <definedName name="\Y" localSheetId="2">#REF!</definedName>
    <definedName name="\Y">#REF!</definedName>
    <definedName name="ALL" localSheetId="0">#N/A</definedName>
    <definedName name="ALL">#N/A</definedName>
    <definedName name="_xlnm.Print_Area" localSheetId="4">'Extended Grazing'!$A$1:$H$64</definedName>
    <definedName name="_xlnm.Print_Area" localSheetId="3">'Input'!$A$1:$J$175</definedName>
    <definedName name="_xlnm.Print_Area" localSheetId="0">'Introduction'!$A$1:$J$41</definedName>
    <definedName name="_xlnm.Print_Area" localSheetId="2">'Risk Analysis'!$A$1:$K$74</definedName>
    <definedName name="_xlnm.Print_Titles" localSheetId="5">'Details'!$18:$18</definedName>
    <definedName name="Z_6E930F6D_F725_11D2_92B5_0004ACD86FC2_.wvu.PrintArea" localSheetId="0" hidden="1">'Introduction'!$A$5:$B$36</definedName>
  </definedNames>
  <calcPr fullCalcOnLoad="1"/>
</workbook>
</file>

<file path=xl/comments4.xml><?xml version="1.0" encoding="utf-8"?>
<comments xmlns="http://schemas.openxmlformats.org/spreadsheetml/2006/main">
  <authors>
    <author>Government of Manitoba</author>
    <author>Roy Arnott</author>
  </authors>
  <commentList>
    <comment ref="A32" authorId="0">
      <text>
        <r>
          <rPr>
            <sz val="8"/>
            <rFont val="Tahoma"/>
            <family val="2"/>
          </rPr>
          <t xml:space="preserve">Creep feed is oats
</t>
        </r>
      </text>
    </comment>
    <comment ref="A51" authorId="0">
      <text>
        <r>
          <rPr>
            <sz val="8"/>
            <rFont val="Tahoma"/>
            <family val="2"/>
          </rPr>
          <t xml:space="preserve">Vitamin e sel
</t>
        </r>
      </text>
    </comment>
    <comment ref="G41" authorId="1">
      <text>
        <r>
          <rPr>
            <sz val="9"/>
            <rFont val="Tahoma"/>
            <family val="2"/>
          </rPr>
          <t>Pasture grazing days must be less than 365 days.  Typically between 100 to to 185 days.</t>
        </r>
      </text>
    </comment>
    <comment ref="G42" authorId="1">
      <text>
        <r>
          <rPr>
            <sz val="9"/>
            <rFont val="Tahoma"/>
            <family val="2"/>
          </rPr>
          <t xml:space="preserve">If extended grazing days are entered here, please check the winter feed rations worksheet to make sure the days on feed are allocated correctly.
</t>
        </r>
      </text>
    </comment>
    <comment ref="E45" authorId="1">
      <text>
        <r>
          <rPr>
            <sz val="9"/>
            <rFont val="Tahoma"/>
            <family val="2"/>
          </rPr>
          <t>For example: feeding hay or silage on pasture, hayland or cropland (not including bale grazing).</t>
        </r>
      </text>
    </comment>
  </commentList>
</comments>
</file>

<file path=xl/sharedStrings.xml><?xml version="1.0" encoding="utf-8"?>
<sst xmlns="http://schemas.openxmlformats.org/spreadsheetml/2006/main" count="1005" uniqueCount="485">
  <si>
    <t/>
  </si>
  <si>
    <t>Feed Requirement</t>
  </si>
  <si>
    <t>/Cow</t>
  </si>
  <si>
    <t>/Bull</t>
  </si>
  <si>
    <t>n/a</t>
  </si>
  <si>
    <t xml:space="preserve"> lbs/day</t>
  </si>
  <si>
    <t xml:space="preserve"> days</t>
  </si>
  <si>
    <t xml:space="preserve"> tons/yr</t>
  </si>
  <si>
    <t>days</t>
  </si>
  <si>
    <t xml:space="preserve"> lbs/year</t>
  </si>
  <si>
    <t xml:space="preserve">        Blackleg ( 8 way vaccine  )</t>
  </si>
  <si>
    <t xml:space="preserve">        Parasite Control</t>
  </si>
  <si>
    <t xml:space="preserve">        Scourguard</t>
  </si>
  <si>
    <t xml:space="preserve">        Footrot, louse control, degrubbing,</t>
  </si>
  <si>
    <t xml:space="preserve">             surgery, antibiotics, etc.</t>
  </si>
  <si>
    <t xml:space="preserve">        ADE, 2 treatments</t>
  </si>
  <si>
    <t xml:space="preserve">        Semen Test</t>
  </si>
  <si>
    <t xml:space="preserve">          Total Yearly Hours</t>
  </si>
  <si>
    <t xml:space="preserve">          Charge per Hour</t>
  </si>
  <si>
    <t xml:space="preserve">          Total Kilometers (round trip)</t>
  </si>
  <si>
    <t xml:space="preserve">          Charge per km</t>
  </si>
  <si>
    <t xml:space="preserve">          Number of yearly visits</t>
  </si>
  <si>
    <t xml:space="preserve">     Replacement of Bulls</t>
  </si>
  <si>
    <t xml:space="preserve">        Original Cost/Bull</t>
  </si>
  <si>
    <t xml:space="preserve">        Salvage Value/Bull</t>
  </si>
  <si>
    <t>Salvage</t>
  </si>
  <si>
    <t>Useful</t>
  </si>
  <si>
    <t>Value</t>
  </si>
  <si>
    <t>Life</t>
  </si>
  <si>
    <t xml:space="preserve">  Handling Facilities</t>
  </si>
  <si>
    <t xml:space="preserve">  Machinery &amp; Equipment:</t>
  </si>
  <si>
    <t xml:space="preserve">    1.01   Grain</t>
  </si>
  <si>
    <t xml:space="preserve">    1.02   Hay</t>
  </si>
  <si>
    <t xml:space="preserve">    1.03   Salt &amp; Minerals</t>
  </si>
  <si>
    <t xml:space="preserve">    1.04   Creep Feed</t>
  </si>
  <si>
    <t xml:space="preserve">    2.03   Utilities</t>
  </si>
  <si>
    <t xml:space="preserve">    2.04   Marketing &amp; Transportation</t>
  </si>
  <si>
    <t xml:space="preserve">    2.05   Death Loss</t>
  </si>
  <si>
    <t xml:space="preserve">    2.06   Insurance</t>
  </si>
  <si>
    <t xml:space="preserve">    2.07   Herd Replacement</t>
  </si>
  <si>
    <t xml:space="preserve">    2.08  Miscellaneous</t>
  </si>
  <si>
    <t>3.  Depreciation</t>
  </si>
  <si>
    <t xml:space="preserve">    3.01   Facilities</t>
  </si>
  <si>
    <t xml:space="preserve">    3.02   Machinery &amp; Equipment</t>
  </si>
  <si>
    <t>4.  Investment</t>
  </si>
  <si>
    <t xml:space="preserve">    4.01   Facilities</t>
  </si>
  <si>
    <t xml:space="preserve">    4.02   Machinery &amp; Equipment</t>
  </si>
  <si>
    <t xml:space="preserve">    4.03   Livestock</t>
  </si>
  <si>
    <t xml:space="preserve">    4.03   Pasture Land &amp; Fencing</t>
  </si>
  <si>
    <t>C.  Labour</t>
  </si>
  <si>
    <t>Breakeven selling price/head</t>
  </si>
  <si>
    <t xml:space="preserve">Breakeven Price/head = Cost ÷ % calf crop </t>
  </si>
  <si>
    <t>Cows</t>
  </si>
  <si>
    <t>x</t>
  </si>
  <si>
    <t>days/year</t>
  </si>
  <si>
    <t>÷</t>
  </si>
  <si>
    <t>=</t>
  </si>
  <si>
    <t>/cow</t>
  </si>
  <si>
    <t>Bulls</t>
  </si>
  <si>
    <t>bulls</t>
  </si>
  <si>
    <t>cows</t>
  </si>
  <si>
    <t>Total</t>
  </si>
  <si>
    <t xml:space="preserve">   1.02  Hay </t>
  </si>
  <si>
    <t xml:space="preserve">tons </t>
  </si>
  <si>
    <t>/ton</t>
  </si>
  <si>
    <t xml:space="preserve">   1.03  Salt and Minerals</t>
  </si>
  <si>
    <t>lbs salt/cow/year</t>
  </si>
  <si>
    <t>/lb</t>
  </si>
  <si>
    <t>lbs mineral/cow/year</t>
  </si>
  <si>
    <t>lbs salt/bull/year</t>
  </si>
  <si>
    <t>lbs mineral/bull/year</t>
  </si>
  <si>
    <t>1.04 Creep Feed</t>
  </si>
  <si>
    <t>% calf crop</t>
  </si>
  <si>
    <t xml:space="preserve">   2.01  Veterinary Medicine &amp; Supplies</t>
  </si>
  <si>
    <t>+</t>
  </si>
  <si>
    <t>/hour charge</t>
  </si>
  <si>
    <t>hours</t>
  </si>
  <si>
    <t xml:space="preserve">/cow </t>
  </si>
  <si>
    <t>/km charge</t>
  </si>
  <si>
    <t>kilometres</t>
  </si>
  <si>
    <t>visits</t>
  </si>
  <si>
    <t xml:space="preserve">   2.02 Fuel, Oil, Repairs &amp; Maintenance</t>
  </si>
  <si>
    <t xml:space="preserve">  2.03 Utilities</t>
  </si>
  <si>
    <t xml:space="preserve">   2.05  Death Loss</t>
  </si>
  <si>
    <t>/bull</t>
  </si>
  <si>
    <t xml:space="preserve">   2.06 Insurance</t>
  </si>
  <si>
    <t>units of $100</t>
  </si>
  <si>
    <t>total for herd</t>
  </si>
  <si>
    <t>insurance rate/$100</t>
  </si>
  <si>
    <t xml:space="preserve">  2.07  Herd Replacement</t>
  </si>
  <si>
    <t>-</t>
  </si>
  <si>
    <t>cull cow</t>
  </si>
  <si>
    <t>% replacement rate</t>
  </si>
  <si>
    <t>bull value</t>
  </si>
  <si>
    <t>bull cull value</t>
  </si>
  <si>
    <t>number of bulls</t>
  </si>
  <si>
    <t xml:space="preserve">   2.08  Miscellaneous</t>
  </si>
  <si>
    <t>average</t>
  </si>
  <si>
    <t xml:space="preserve">   3.01  Handling Facilities</t>
  </si>
  <si>
    <t>years useful life</t>
  </si>
  <si>
    <t xml:space="preserve">   3.02  Machinery &amp; Equipment</t>
  </si>
  <si>
    <t>4.  Investment:</t>
  </si>
  <si>
    <t xml:space="preserve">   4.02  Machinery &amp; Equipment</t>
  </si>
  <si>
    <t xml:space="preserve">   4.03  Livestock</t>
  </si>
  <si>
    <t xml:space="preserve">   4.04  Pasture</t>
  </si>
  <si>
    <t>/acre</t>
  </si>
  <si>
    <t>perimeter fence</t>
  </si>
  <si>
    <t>cross fence</t>
  </si>
  <si>
    <t>fence cost</t>
  </si>
  <si>
    <t>total</t>
  </si>
  <si>
    <t>hours/cow/year</t>
  </si>
  <si>
    <t>/hour</t>
  </si>
  <si>
    <t>Bison Cow-Calf Production Costs - Input</t>
  </si>
  <si>
    <t>Assumptions</t>
  </si>
  <si>
    <t>Herd Profile</t>
  </si>
  <si>
    <t>%</t>
  </si>
  <si>
    <t>lbs</t>
  </si>
  <si>
    <t>/cwt</t>
  </si>
  <si>
    <t>Feed Costs and Requirements</t>
  </si>
  <si>
    <t>Feed Cost</t>
  </si>
  <si>
    <t>FOOTNOTE: 1 bushel (bu) barley = 48 lbs = 21.8 kg</t>
  </si>
  <si>
    <t xml:space="preserve">     Calf Medication</t>
  </si>
  <si>
    <t xml:space="preserve">     Cow Medication</t>
  </si>
  <si>
    <t>/head</t>
  </si>
  <si>
    <t xml:space="preserve">     Bull Medication</t>
  </si>
  <si>
    <t xml:space="preserve">     Herd Health Program</t>
  </si>
  <si>
    <t xml:space="preserve">        Professional Services</t>
  </si>
  <si>
    <t xml:space="preserve">        Transportation</t>
  </si>
  <si>
    <t>Breeding Costs</t>
  </si>
  <si>
    <t>Veterinary Medicine &amp; Supplies</t>
  </si>
  <si>
    <t>Other Operating Costs</t>
  </si>
  <si>
    <t xml:space="preserve">     Utilities</t>
  </si>
  <si>
    <t xml:space="preserve">        Telephone</t>
  </si>
  <si>
    <t xml:space="preserve">        Water</t>
  </si>
  <si>
    <t xml:space="preserve">     Marketing &amp; Transportation (Culls)</t>
  </si>
  <si>
    <t xml:space="preserve">     Investment Interest Rate</t>
  </si>
  <si>
    <t xml:space="preserve">     Operating Interest Rate</t>
  </si>
  <si>
    <t xml:space="preserve">     Insurance</t>
  </si>
  <si>
    <t xml:space="preserve">         Cost per $100 Capital Invested in</t>
  </si>
  <si>
    <t xml:space="preserve">               Livestock</t>
  </si>
  <si>
    <t xml:space="preserve">               Building &amp; Equipment</t>
  </si>
  <si>
    <t xml:space="preserve">         Additional Coverage for liability</t>
  </si>
  <si>
    <t xml:space="preserve">    Miscellaneous</t>
  </si>
  <si>
    <t xml:space="preserve">        Total yearly expense</t>
  </si>
  <si>
    <t>Herd replacement (cows only)</t>
  </si>
  <si>
    <t>Capital Costs</t>
  </si>
  <si>
    <t>Original</t>
  </si>
  <si>
    <t>years</t>
  </si>
  <si>
    <t xml:space="preserve">  Total Building Cost</t>
  </si>
  <si>
    <t xml:space="preserve">  Total </t>
  </si>
  <si>
    <t xml:space="preserve">   Breeding Stock</t>
  </si>
  <si>
    <t xml:space="preserve">         Cows</t>
  </si>
  <si>
    <t xml:space="preserve">         Bulls</t>
  </si>
  <si>
    <t>/heifer</t>
  </si>
  <si>
    <t>/cull cow</t>
  </si>
  <si>
    <t xml:space="preserve">  Replacement Cost</t>
  </si>
  <si>
    <t xml:space="preserve">  Average Market Value</t>
  </si>
  <si>
    <t xml:space="preserve">  Price Received</t>
  </si>
  <si>
    <t xml:space="preserve">  Number of Acres/Cow</t>
  </si>
  <si>
    <t xml:space="preserve">  Value/Acre</t>
  </si>
  <si>
    <t xml:space="preserve">  Taxes per Acre</t>
  </si>
  <si>
    <t>Labour Costs</t>
  </si>
  <si>
    <t xml:space="preserve">  Hours</t>
  </si>
  <si>
    <t xml:space="preserve">  Wage</t>
  </si>
  <si>
    <t>acres/cow</t>
  </si>
  <si>
    <t>A.  Operating Costs</t>
  </si>
  <si>
    <t>1.  Feed Costs</t>
  </si>
  <si>
    <t>Your Cost</t>
  </si>
  <si>
    <t>Bison Cow-Calf Production Costs - Summary</t>
  </si>
  <si>
    <t>$/Cow</t>
  </si>
  <si>
    <t>Total Feed Cost</t>
  </si>
  <si>
    <t>Total Operating Costs</t>
  </si>
  <si>
    <t>Subtotal Operating Costs</t>
  </si>
  <si>
    <t>B.  Fixed Costs</t>
  </si>
  <si>
    <t>Total Fixed Costs</t>
  </si>
  <si>
    <t>Total  Operating and Fixed Costs</t>
  </si>
  <si>
    <t>Total Cost of Production</t>
  </si>
  <si>
    <t xml:space="preserve">    2.01   Veterinary Medicine &amp; Supplies</t>
  </si>
  <si>
    <t xml:space="preserve">    2.02   Fuel, Maintenance &amp; Repairs</t>
  </si>
  <si>
    <t>2.  Other Operating Costs</t>
  </si>
  <si>
    <t>Bison Cow-Calf Production Cost Worksheet</t>
  </si>
  <si>
    <t xml:space="preserve">   Days/Year on Creep Feed</t>
  </si>
  <si>
    <t>/tonne</t>
  </si>
  <si>
    <t>lbs/day</t>
  </si>
  <si>
    <t>Calf medication</t>
  </si>
  <si>
    <t>Cow medication</t>
  </si>
  <si>
    <t>Bull medication</t>
  </si>
  <si>
    <t>Herd health program</t>
  </si>
  <si>
    <t>Mileage</t>
  </si>
  <si>
    <t>Land</t>
  </si>
  <si>
    <t>Fence Investment Cost</t>
  </si>
  <si>
    <t>ADE</t>
  </si>
  <si>
    <t>annual fuel cost</t>
  </si>
  <si>
    <t>annual cost</t>
  </si>
  <si>
    <t>% mortality rate</t>
  </si>
  <si>
    <t>cost/$100 Capital</t>
  </si>
  <si>
    <t>total office expenses</t>
  </si>
  <si>
    <t>subtotal operating costs</t>
  </si>
  <si>
    <t>% operating interest</t>
  </si>
  <si>
    <t>salvage value</t>
  </si>
  <si>
    <t>original value</t>
  </si>
  <si>
    <t>total building value</t>
  </si>
  <si>
    <t>% investment interest</t>
  </si>
  <si>
    <t>semen test</t>
  </si>
  <si>
    <t xml:space="preserve">  Fence</t>
  </si>
  <si>
    <t xml:space="preserve">   4.01  Handling Facilities</t>
  </si>
  <si>
    <t xml:space="preserve">  Land</t>
  </si>
  <si>
    <t>miles</t>
  </si>
  <si>
    <t xml:space="preserve"> - perimeter</t>
  </si>
  <si>
    <t xml:space="preserve"> - perimeter cost</t>
  </si>
  <si>
    <t xml:space="preserve"> - internal</t>
  </si>
  <si>
    <t xml:space="preserve"> - internal cost</t>
  </si>
  <si>
    <t>/mile</t>
  </si>
  <si>
    <t xml:space="preserve">        - perimeter</t>
  </si>
  <si>
    <t xml:space="preserve">        - internal</t>
  </si>
  <si>
    <t>Land and Fencing</t>
  </si>
  <si>
    <t>Total Capital Costs</t>
  </si>
  <si>
    <t xml:space="preserve">   1.  This budget outlines the cost of production for a Bison Cow-Calf operation only.</t>
  </si>
  <si>
    <t xml:space="preserve">   2.  Handling facilities are estimated at current market value with an estimated </t>
  </si>
  <si>
    <t xml:space="preserve">   3.  Machinery and equipment are estimated at current market value with an estimated </t>
  </si>
  <si>
    <t>Flushing Ration</t>
  </si>
  <si>
    <t>$/lb</t>
  </si>
  <si>
    <t xml:space="preserve">   Days/Year on Ration</t>
  </si>
  <si>
    <t xml:space="preserve">        Muse</t>
  </si>
  <si>
    <t xml:space="preserve">   1.01  Flushing Ration</t>
  </si>
  <si>
    <t xml:space="preserve">  2.04  Marketing &amp; Transportation (Culls)</t>
  </si>
  <si>
    <t xml:space="preserve">         (Operating interest is charged on one half of the subtotal operating costs.)</t>
  </si>
  <si>
    <t>bred heifer</t>
  </si>
  <si>
    <t>$/head</t>
  </si>
  <si>
    <t>parasite control</t>
  </si>
  <si>
    <t>footrot, louse control,</t>
  </si>
  <si>
    <t>scourguard 3</t>
  </si>
  <si>
    <t>blackleg</t>
  </si>
  <si>
    <t>vitamin</t>
  </si>
  <si>
    <t>Original Cost - Salvage Value</t>
  </si>
  <si>
    <t>Useful Life</t>
  </si>
  <si>
    <t>Original Value + Salvage Value</t>
  </si>
  <si>
    <t>x Investment Rate</t>
  </si>
  <si>
    <t>lbs/cow/day</t>
  </si>
  <si>
    <t>lbs/bull/day</t>
  </si>
  <si>
    <t>bldg &amp; equip invest</t>
  </si>
  <si>
    <t>coverage for liability</t>
  </si>
  <si>
    <t>2.  Handling facilities are estimated at current market value with an estimated useful life of 20 years.</t>
  </si>
  <si>
    <t>1.  This budget outlines the cost of production for a Bison Cow-Calf operation only.</t>
  </si>
  <si>
    <t>3.  Machinery and equipment are estimated at current market value with an estimated useful life of 12 years.</t>
  </si>
  <si>
    <t>4.  Replacement heifers are valued at fair market value.</t>
  </si>
  <si>
    <t>Your Costs</t>
  </si>
  <si>
    <t>Fuel, Oil, Repairs &amp; Maintenance</t>
  </si>
  <si>
    <t xml:space="preserve">   a)  Machinery Fuel Costs - Winter Feeding</t>
  </si>
  <si>
    <t xml:space="preserve">              Tractor with Loader PTO hp</t>
  </si>
  <si>
    <t xml:space="preserve">              Diesel Fuel Cost</t>
  </si>
  <si>
    <t>/litre</t>
  </si>
  <si>
    <t xml:space="preserve">              Tractor Hours Per Day (average)</t>
  </si>
  <si>
    <t xml:space="preserve">   b) Machinery Repair (% of investment cost)</t>
  </si>
  <si>
    <t>Hay (Good Quality)</t>
  </si>
  <si>
    <t>Creep Feed</t>
  </si>
  <si>
    <t>Hay (Low Quality)</t>
  </si>
  <si>
    <t>Salt</t>
  </si>
  <si>
    <t>Minerals</t>
  </si>
  <si>
    <t xml:space="preserve">    Miscellaneous Machinery</t>
  </si>
  <si>
    <t xml:space="preserve">    Bale Shredder</t>
  </si>
  <si>
    <t xml:space="preserve">    Stock Trailer</t>
  </si>
  <si>
    <t xml:space="preserve">    Truck ($60,000@ 50%)</t>
  </si>
  <si>
    <t xml:space="preserve">    Feedlot Fence</t>
  </si>
  <si>
    <t xml:space="preserve">    Pasture Watering System</t>
  </si>
  <si>
    <t xml:space="preserve">    Pasture Water Source </t>
  </si>
  <si>
    <t xml:space="preserve">    Gates</t>
  </si>
  <si>
    <t xml:space="preserve">    Round Bale Feeders</t>
  </si>
  <si>
    <t xml:space="preserve">    Well &amp; Pressure System</t>
  </si>
  <si>
    <t xml:space="preserve">    Hydro (6 poles @ $400)</t>
  </si>
  <si>
    <t xml:space="preserve">    Storage Bins</t>
  </si>
  <si>
    <t xml:space="preserve">    Holding Chutes</t>
  </si>
  <si>
    <t xml:space="preserve">    Troughs &amp; Miscellaneous</t>
  </si>
  <si>
    <t xml:space="preserve"> Facilities</t>
  </si>
  <si>
    <t xml:space="preserve">    Pens (working &amp; sorting)</t>
  </si>
  <si>
    <t xml:space="preserve">    Waterers </t>
  </si>
  <si>
    <t xml:space="preserve">    Squeeze, Gates &amp; Scale</t>
  </si>
  <si>
    <t xml:space="preserve">    Tractor &amp; Loader ($120,000@50%)</t>
  </si>
  <si>
    <t>Annual Days on Pasture and Winter Feeding</t>
  </si>
  <si>
    <t>Pasture Grazing</t>
  </si>
  <si>
    <t>Extended Grazing</t>
  </si>
  <si>
    <t>Total Winter Feeding</t>
  </si>
  <si>
    <t>Total Days</t>
  </si>
  <si>
    <t>Extended Grazing Costs &amp; Requirements Worksheet</t>
  </si>
  <si>
    <t xml:space="preserve">Extended Grazing Days </t>
  </si>
  <si>
    <t>Number of Cows</t>
  </si>
  <si>
    <t>Number of Cow Grazing Days</t>
  </si>
  <si>
    <t>Corn Grazing</t>
  </si>
  <si>
    <t>Stockpiled Forage</t>
  </si>
  <si>
    <t>Swath Grazing</t>
  </si>
  <si>
    <t>Crop Residue</t>
  </si>
  <si>
    <t xml:space="preserve">Total </t>
  </si>
  <si>
    <t>Extended Grazing useage  - %</t>
  </si>
  <si>
    <t>(total must = 100%)</t>
  </si>
  <si>
    <t>Grazing Yield (wet tons/acre)</t>
  </si>
  <si>
    <t>% moisture</t>
  </si>
  <si>
    <t>Yield (tons dry matter/acre)</t>
  </si>
  <si>
    <t>Total # cow grazing days/acre</t>
  </si>
  <si>
    <t>Acres Req'd (@ 100% each)</t>
  </si>
  <si>
    <t>Planned extended grazing acres</t>
  </si>
  <si>
    <t>Extended Grazing Costs</t>
  </si>
  <si>
    <t>$/acre</t>
  </si>
  <si>
    <t>$/pound</t>
  </si>
  <si>
    <t>Standing Forage Cost</t>
  </si>
  <si>
    <t>Input Costs</t>
  </si>
  <si>
    <t>Seed</t>
  </si>
  <si>
    <t>Fertilizer</t>
  </si>
  <si>
    <t>Herbicide</t>
  </si>
  <si>
    <t>Custom tillage</t>
  </si>
  <si>
    <t>Custom seeding</t>
  </si>
  <si>
    <t>Custom spraying</t>
  </si>
  <si>
    <t>Miscellaneous</t>
  </si>
  <si>
    <t>Land taxes</t>
  </si>
  <si>
    <t>Land Investment Costs</t>
  </si>
  <si>
    <t>Labour</t>
  </si>
  <si>
    <t>Subtotal</t>
  </si>
  <si>
    <t>Fencing Costs</t>
  </si>
  <si>
    <t>Estimated miles of fence required</t>
  </si>
  <si>
    <t>Fence Investment Cost/acre</t>
  </si>
  <si>
    <t>Fence Depreciation Cost/acre</t>
  </si>
  <si>
    <t>Total cost per acre</t>
  </si>
  <si>
    <t>Total Extended Grazing Cost</t>
  </si>
  <si>
    <t>Cost Summary</t>
  </si>
  <si>
    <t>Total Cost</t>
  </si>
  <si>
    <t>Cost per cow</t>
  </si>
  <si>
    <t>Number of Days</t>
  </si>
  <si>
    <t>Cost / cow / day</t>
  </si>
  <si>
    <r>
      <rPr>
        <b/>
        <sz val="12"/>
        <rFont val="Arial"/>
        <family val="2"/>
      </rPr>
      <t>Note:</t>
    </r>
    <r>
      <rPr>
        <sz val="12"/>
        <rFont val="Arial"/>
        <family val="2"/>
      </rPr>
      <t xml:space="preserve"> This budget is only a guide and is not intended as an in-depth study of the cost of production of this industry. Interpretation and utilization of this information is the responsibility of the user.</t>
    </r>
  </si>
  <si>
    <t>Risk &amp; Sensitivity Analysis</t>
  </si>
  <si>
    <t>Per Cow</t>
  </si>
  <si>
    <t>Total Costs</t>
  </si>
  <si>
    <t>Estimated Farmgate</t>
  </si>
  <si>
    <t>Price ($ per cwt)</t>
  </si>
  <si>
    <t>Calf Crop %</t>
  </si>
  <si>
    <t>Calf weight (lbs)</t>
  </si>
  <si>
    <t>Up</t>
  </si>
  <si>
    <t>Down</t>
  </si>
  <si>
    <t>Percent Price Variation</t>
  </si>
  <si>
    <t>Percent Calf Crop Variation</t>
  </si>
  <si>
    <t>Percent Calf Weight Variation</t>
  </si>
  <si>
    <t>Higher Price ($ per cwt)</t>
  </si>
  <si>
    <t>Lower Price ($ per cwt)</t>
  </si>
  <si>
    <t>Higher Calf Crop %</t>
  </si>
  <si>
    <t>Lower Calf crop %</t>
  </si>
  <si>
    <t>Higher Calf Weight</t>
  </si>
  <si>
    <t>Lower Calf Weight</t>
  </si>
  <si>
    <t>Gross Revenue per Cow</t>
  </si>
  <si>
    <t xml:space="preserve">Marginal Returns </t>
  </si>
  <si>
    <t xml:space="preserve">   Over Operating Costs</t>
  </si>
  <si>
    <t xml:space="preserve">   Over Operating &amp; Labour Costs</t>
  </si>
  <si>
    <t xml:space="preserve">   Over Operating &amp; Fixed Costs</t>
  </si>
  <si>
    <t xml:space="preserve">   Over Total Costs (Net Profit)</t>
  </si>
  <si>
    <t>Operating Expense Ratio</t>
  </si>
  <si>
    <r>
      <t>Estimated Breakeven Replacement Purchase Values</t>
    </r>
    <r>
      <rPr>
        <b/>
        <vertAlign val="superscript"/>
        <sz val="14"/>
        <color indexed="9"/>
        <rFont val="Arial"/>
        <family val="2"/>
      </rPr>
      <t>1</t>
    </r>
    <r>
      <rPr>
        <b/>
        <sz val="14"/>
        <color indexed="9"/>
        <rFont val="Arial"/>
        <family val="2"/>
      </rPr>
      <t xml:space="preserve"> - Number of Years Before Culling</t>
    </r>
  </si>
  <si>
    <t>1 Year</t>
  </si>
  <si>
    <t>2 Years</t>
  </si>
  <si>
    <t>3 Years</t>
  </si>
  <si>
    <t>4 Years</t>
  </si>
  <si>
    <t>5 Years</t>
  </si>
  <si>
    <t>6 Years</t>
  </si>
  <si>
    <t>7 Years</t>
  </si>
  <si>
    <t>8 Years</t>
  </si>
  <si>
    <t>Operating Expense (per Cow)</t>
  </si>
  <si>
    <r>
      <t>Other Operating Cost</t>
    </r>
    <r>
      <rPr>
        <vertAlign val="superscript"/>
        <sz val="12"/>
        <rFont val="Arial"/>
        <family val="2"/>
      </rPr>
      <t>2</t>
    </r>
  </si>
  <si>
    <t>Operating Interest</t>
  </si>
  <si>
    <t>Total Operating Cost</t>
  </si>
  <si>
    <r>
      <t>Total Fixed Cost</t>
    </r>
    <r>
      <rPr>
        <vertAlign val="superscript"/>
        <sz val="12"/>
        <rFont val="Arial"/>
        <family val="2"/>
      </rPr>
      <t>2</t>
    </r>
  </si>
  <si>
    <t>Total Operating and Fixed Cost</t>
  </si>
  <si>
    <r>
      <t>Total Labour (Living) Cost</t>
    </r>
    <r>
      <rPr>
        <vertAlign val="superscript"/>
        <sz val="12"/>
        <rFont val="Arial"/>
        <family val="2"/>
      </rPr>
      <t>2</t>
    </r>
  </si>
  <si>
    <t>Total Cost Per Cow</t>
  </si>
  <si>
    <t>Income (per Cow)</t>
  </si>
  <si>
    <t>Calf Market Price ($/cwt)</t>
  </si>
  <si>
    <t>Calf Revenue</t>
  </si>
  <si>
    <t>Cull Cow Revenue</t>
  </si>
  <si>
    <t>Over Operating Costs</t>
  </si>
  <si>
    <t>Over Operating &amp; Labour Costs</t>
  </si>
  <si>
    <t>Over Operating &amp; Fixed Costs</t>
  </si>
  <si>
    <t>Over Total Costs (Net Profit)</t>
  </si>
  <si>
    <t>Cost Summary Per Cow Per Day</t>
  </si>
  <si>
    <t>Profitability and Breakeven Analysis</t>
  </si>
  <si>
    <t xml:space="preserve"> Per Cow</t>
  </si>
  <si>
    <t>Gross Revenue  / cow</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</si>
  <si>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No liability for decisions based on this publication is assumed. </t>
    </r>
  </si>
  <si>
    <t>Profitability and Breakeven Analysis:</t>
  </si>
  <si>
    <t>Cost Summary:</t>
  </si>
  <si>
    <t xml:space="preserve">Created and maintained by </t>
  </si>
  <si>
    <t xml:space="preserve">For more information, contact your local </t>
  </si>
  <si>
    <t>Benjamin Hamm</t>
  </si>
  <si>
    <t>Roy Arnott</t>
  </si>
  <si>
    <t xml:space="preserve">Farm Management Specialist         </t>
  </si>
  <si>
    <t>June, 2017</t>
  </si>
  <si>
    <t>Heifer Calf Weight</t>
  </si>
  <si>
    <t>Heifer Calf Market Price</t>
  </si>
  <si>
    <t>Average Calf Weight</t>
  </si>
  <si>
    <t>Weighted Average Calf Market Price</t>
  </si>
  <si>
    <t>Bull Calf Weight</t>
  </si>
  <si>
    <t>$/cwt</t>
  </si>
  <si>
    <t>Number of cows</t>
  </si>
  <si>
    <t>Number of bulls</t>
  </si>
  <si>
    <t>Calf crop %</t>
  </si>
  <si>
    <t>Replacement rate - cows</t>
  </si>
  <si>
    <t>Replacement rate - bulls</t>
  </si>
  <si>
    <t>Cow mortality rate</t>
  </si>
  <si>
    <t xml:space="preserve">. . . . . . . . . . . . . . . . . . . . . . . . . . . . . . . . . . . . . . . . . . . . . . . . . </t>
  </si>
  <si>
    <t>Guidelines For Estimating</t>
  </si>
  <si>
    <t>Date:</t>
  </si>
  <si>
    <t xml:space="preserve">These budgets may be adjusted by putting in your own figures.  As a producer you are encouraged to calculate your own costs of production.  Good management is assumed in that a balanced ration is being fed, livestock are on a herd health program and handling facilities are included.  </t>
  </si>
  <si>
    <t xml:space="preserve">This tool is available as an Excel worksheet at: </t>
  </si>
  <si>
    <t xml:space="preserve">or at your local                                  </t>
  </si>
  <si>
    <t xml:space="preserve">                                </t>
  </si>
  <si>
    <t xml:space="preserve">is also available to </t>
  </si>
  <si>
    <t>help determine machinery costs.</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</si>
  <si>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GO Office.</t>
    </r>
  </si>
  <si>
    <t>Bison Cow-Calf Production Costs</t>
  </si>
  <si>
    <t>This guide is designed to provide you with planning information and a format for calculating costs of production of a bison cow calf enterprise in Manitoba.  General Manitoba Agriculture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</si>
  <si>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1.05  Extended Grazing Forages</t>
  </si>
  <si>
    <t xml:space="preserve">    1.05   Extended Grazing Forages</t>
  </si>
  <si>
    <t>Machinery fuel cost</t>
  </si>
  <si>
    <t>PTO hp</t>
  </si>
  <si>
    <t>avg HP required</t>
  </si>
  <si>
    <t>litres fuel/hour/hp</t>
  </si>
  <si>
    <t>hours per day</t>
  </si>
  <si>
    <t>diesel / litre</t>
  </si>
  <si>
    <t>days on feed</t>
  </si>
  <si>
    <t>Machinery repair &amp; maintenance</t>
  </si>
  <si>
    <t>machinery capital cost</t>
  </si>
  <si>
    <t>% repair rate</t>
  </si>
  <si>
    <t>oil, repairs &amp; maintenance</t>
  </si>
  <si>
    <t>building capital cost</t>
  </si>
  <si>
    <t xml:space="preserve">   c) Building &amp; fence repair (% of investment cost)</t>
  </si>
  <si>
    <t>Building &amp; fence repair</t>
  </si>
  <si>
    <t xml:space="preserve">          Hydro</t>
  </si>
  <si>
    <t>/ kWh</t>
  </si>
  <si>
    <t>1000 watt waterer</t>
  </si>
  <si>
    <t xml:space="preserve">kWh per cow </t>
  </si>
  <si>
    <t>Total Hydro</t>
  </si>
  <si>
    <t>Calves</t>
  </si>
  <si>
    <t>calves</t>
  </si>
  <si>
    <t>lbs/calf</t>
  </si>
  <si>
    <t>/cwt (trucking cost)</t>
  </si>
  <si>
    <t>lbs/cwt</t>
  </si>
  <si>
    <t>Cull Cows</t>
  </si>
  <si>
    <t>cull cows</t>
  </si>
  <si>
    <t>cows died</t>
  </si>
  <si>
    <t>lbs/cow</t>
  </si>
  <si>
    <t>Commission, Insurance</t>
  </si>
  <si>
    <t xml:space="preserve">          Average Weight/Cow</t>
  </si>
  <si>
    <t xml:space="preserve">          Trucking Cost </t>
  </si>
  <si>
    <t xml:space="preserve">          Insurance per Head</t>
  </si>
  <si>
    <t xml:space="preserve">          Commission on Cows </t>
  </si>
  <si>
    <t xml:space="preserve">          Commission on Calves </t>
  </si>
  <si>
    <t>/calf</t>
  </si>
  <si>
    <t xml:space="preserve">   Trucking</t>
  </si>
  <si>
    <t xml:space="preserve">   Selling commission &amp; insurance </t>
  </si>
  <si>
    <t>acres</t>
  </si>
  <si>
    <t>Operating Costs</t>
  </si>
  <si>
    <t>Operating &amp; Fixed Costs</t>
  </si>
  <si>
    <t>Operating, Labour &amp; Fixed Cost</t>
  </si>
  <si>
    <t>Operating &amp; Labour Costs</t>
  </si>
  <si>
    <t xml:space="preserve">   3.03  Fencing</t>
  </si>
  <si>
    <t xml:space="preserve">    2.10   Operating Interest</t>
  </si>
  <si>
    <t xml:space="preserve">    2.09  Land Taxes</t>
  </si>
  <si>
    <t xml:space="preserve">   2.10 Operating Interest</t>
  </si>
  <si>
    <t xml:space="preserve">   2.09  Land Taxes</t>
  </si>
  <si>
    <t xml:space="preserve">    3.03   Fencing</t>
  </si>
  <si>
    <t xml:space="preserve"> - Rate</t>
  </si>
  <si>
    <t xml:space="preserve">      a) Trucking:</t>
  </si>
  <si>
    <t xml:space="preserve">      b) Selling Commission:</t>
  </si>
  <si>
    <t>$/mile</t>
  </si>
  <si>
    <t xml:space="preserve">    Fence Useful Life</t>
  </si>
  <si>
    <t xml:space="preserve">    Tractor &amp; Loader ($120,000@30%)</t>
  </si>
  <si>
    <t>Michelle Gaudry</t>
  </si>
  <si>
    <t xml:space="preserve">          Average Weight/Bull</t>
  </si>
  <si>
    <t xml:space="preserve">          Number of Cull Cows &amp; Bulls</t>
  </si>
  <si>
    <t>culls</t>
  </si>
  <si>
    <t>Cull Bulls</t>
  </si>
  <si>
    <t>cull bulls</t>
  </si>
  <si>
    <t>lbs/bull</t>
  </si>
  <si>
    <t xml:space="preserve"> = AUM Total</t>
  </si>
  <si>
    <t xml:space="preserve"> = AUM/Acre</t>
  </si>
  <si>
    <t>Bull Calf Market Price</t>
  </si>
  <si>
    <t xml:space="preserve">    Winter feeding - feed delivered</t>
  </si>
  <si>
    <t xml:space="preserve">    Winter feeding - bale grazing</t>
  </si>
  <si>
    <t>Perimeter Fence Cost</t>
  </si>
  <si>
    <t>Livestock Industry Development Specialist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</si>
</sst>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quot;$&quot;#,##0.00"/>
    <numFmt numFmtId="169" formatCode="#,##0.0_);[Red]\(#,##0.0\)"/>
    <numFmt numFmtId="170" formatCode="_-&quot;£&quot;* #,##0_-;\-&quot;£&quot;* #,##0_-;_-&quot;£&quot;* &quot;-&quot;_-;_-@_-"/>
    <numFmt numFmtId="171" formatCode="_-&quot;£&quot;* #,##0.00_-;\-&quot;£&quot;* #,##0.00_-;_-&quot;£&quot;* &quot;-&quot;??_-;_-@_-"/>
    <numFmt numFmtId="172" formatCode="&quot;$&quot;#,##0.000_);[Red]\(&quot;$&quot;#,##0.000\)"/>
    <numFmt numFmtId="173" formatCode="&quot;$&quot;#,##0"/>
    <numFmt numFmtId="174" formatCode="#,##0.0;[Red]\-#,##0.0"/>
    <numFmt numFmtId="175" formatCode="0_);[Red]\(0\)"/>
    <numFmt numFmtId="176" formatCode="0.0_);[Red]\(0.0\)"/>
    <numFmt numFmtId="177" formatCode="0.0%"/>
    <numFmt numFmtId="178" formatCode="0.0"/>
    <numFmt numFmtId="179" formatCode="&quot;$&quot;#,##0.000"/>
    <numFmt numFmtId="180" formatCode="0.000"/>
    <numFmt numFmtId="181" formatCode="#,##0.00_ ;\-#,##0.00\ "/>
    <numFmt numFmtId="182" formatCode="#,##0_ ;\-#,##0\ "/>
    <numFmt numFmtId="183" formatCode="#,##0.0_ ;\-#,##0.0\ "/>
    <numFmt numFmtId="184" formatCode="0.0%;\(0.0%\)"/>
    <numFmt numFmtId="185" formatCode="#,##0.000"/>
    <numFmt numFmtId="186" formatCode="#,##0.0"/>
    <numFmt numFmtId="187" formatCode="#,##0.0000000"/>
    <numFmt numFmtId="188" formatCode="#,##0.00;[Red]#,##0.00"/>
    <numFmt numFmtId="189" formatCode="&quot;$&quot;#,##0.0000;[Red]\-&quot;$&quot;#,##0.0000"/>
    <numFmt numFmtId="190" formatCode="&quot;$&quot;#,##0.00;[Red]&quot;$&quot;#,##0.00"/>
  </numFmts>
  <fonts count="92">
    <font>
      <sz val="12"/>
      <name val="Arial"/>
      <family val="0"/>
    </font>
    <font>
      <sz val="10"/>
      <color indexed="8"/>
      <name val="Calibri"/>
      <family val="2"/>
    </font>
    <font>
      <b/>
      <sz val="12"/>
      <name val="Arial"/>
      <family val="2"/>
    </font>
    <font>
      <u val="single"/>
      <sz val="12"/>
      <name val="Arial"/>
      <family val="2"/>
    </font>
    <font>
      <b/>
      <sz val="10"/>
      <color indexed="12"/>
      <name val="Arial"/>
      <family val="2"/>
    </font>
    <font>
      <b/>
      <sz val="14"/>
      <color indexed="18"/>
      <name val="Arial"/>
      <family val="2"/>
    </font>
    <font>
      <b/>
      <sz val="12"/>
      <color indexed="12"/>
      <name val="Arial"/>
      <family val="2"/>
    </font>
    <font>
      <sz val="10"/>
      <name val="Arial"/>
      <family val="2"/>
    </font>
    <font>
      <sz val="10"/>
      <color indexed="12"/>
      <name val="Arial"/>
      <family val="2"/>
    </font>
    <font>
      <sz val="8"/>
      <name val="Tahoma"/>
      <family val="2"/>
    </font>
    <font>
      <b/>
      <sz val="14"/>
      <name val="Arial"/>
      <family val="2"/>
    </font>
    <font>
      <b/>
      <u val="single"/>
      <sz val="12"/>
      <name val="Arial"/>
      <family val="2"/>
    </font>
    <font>
      <sz val="14"/>
      <name val="Arial"/>
      <family val="2"/>
    </font>
    <font>
      <b/>
      <sz val="10"/>
      <name val="Arial"/>
      <family val="2"/>
    </font>
    <font>
      <i/>
      <sz val="12"/>
      <name val="Arial"/>
      <family val="2"/>
    </font>
    <font>
      <b/>
      <i/>
      <u val="single"/>
      <sz val="12"/>
      <name val="Arial"/>
      <family val="2"/>
    </font>
    <font>
      <b/>
      <i/>
      <sz val="12"/>
      <name val="Arial"/>
      <family val="2"/>
    </font>
    <font>
      <b/>
      <sz val="14"/>
      <color indexed="9"/>
      <name val="Arial"/>
      <family val="2"/>
    </font>
    <font>
      <b/>
      <u val="single"/>
      <sz val="12"/>
      <color indexed="12"/>
      <name val="Arial"/>
      <family val="2"/>
    </font>
    <font>
      <sz val="9"/>
      <name val="Tahoma"/>
      <family val="2"/>
    </font>
    <font>
      <sz val="11"/>
      <name val="Arial"/>
      <family val="2"/>
    </font>
    <font>
      <b/>
      <sz val="11"/>
      <name val="Arial"/>
      <family val="2"/>
    </font>
    <font>
      <b/>
      <u val="single"/>
      <sz val="14"/>
      <name val="Arial"/>
      <family val="2"/>
    </font>
    <font>
      <b/>
      <vertAlign val="superscript"/>
      <sz val="14"/>
      <color indexed="9"/>
      <name val="Arial"/>
      <family val="2"/>
    </font>
    <font>
      <vertAlign val="superscript"/>
      <sz val="12"/>
      <name val="Arial"/>
      <family val="2"/>
    </font>
    <font>
      <b/>
      <sz val="10"/>
      <color indexed="56"/>
      <name val="Arial"/>
      <family val="2"/>
    </font>
    <font>
      <sz val="22"/>
      <name val="Arial"/>
      <family val="2"/>
    </font>
    <font>
      <sz val="16"/>
      <color indexed="18"/>
      <name val="Arial"/>
      <family val="2"/>
    </font>
    <font>
      <b/>
      <sz val="20"/>
      <color indexed="18"/>
      <name val="Arial"/>
      <family val="2"/>
    </font>
    <font>
      <sz val="12"/>
      <color indexed="10"/>
      <name val="Arial"/>
      <family val="2"/>
    </font>
    <font>
      <sz val="10"/>
      <color indexed="9"/>
      <name val="Calibri"/>
      <family val="2"/>
    </font>
    <font>
      <sz val="10"/>
      <color indexed="20"/>
      <name val="Calibri"/>
      <family val="2"/>
    </font>
    <font>
      <b/>
      <sz val="10"/>
      <color indexed="10"/>
      <name val="Calibri"/>
      <family val="2"/>
    </font>
    <font>
      <b/>
      <sz val="10"/>
      <color indexed="9"/>
      <name val="Calibri"/>
      <family val="2"/>
    </font>
    <font>
      <sz val="11"/>
      <color indexed="8"/>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10"/>
      <color indexed="12"/>
      <name val="Arial"/>
      <family val="2"/>
    </font>
    <font>
      <sz val="10"/>
      <color indexed="62"/>
      <name val="Calibri"/>
      <family val="2"/>
    </font>
    <font>
      <sz val="10"/>
      <color indexed="10"/>
      <name val="Calibri"/>
      <family val="2"/>
    </font>
    <font>
      <sz val="10"/>
      <color indexed="19"/>
      <name val="Calibri"/>
      <family val="2"/>
    </font>
    <font>
      <b/>
      <sz val="10"/>
      <color indexed="63"/>
      <name val="Calibri"/>
      <family val="2"/>
    </font>
    <font>
      <b/>
      <sz val="18"/>
      <color indexed="62"/>
      <name val="Cambria"/>
      <family val="2"/>
    </font>
    <font>
      <b/>
      <sz val="10"/>
      <color indexed="8"/>
      <name val="Calibri"/>
      <family val="2"/>
    </font>
    <font>
      <b/>
      <sz val="12"/>
      <color indexed="9"/>
      <name val="Arial"/>
      <family val="2"/>
    </font>
    <font>
      <sz val="12"/>
      <color indexed="9"/>
      <name val="Arial"/>
      <family val="2"/>
    </font>
    <font>
      <b/>
      <sz val="12"/>
      <color indexed="10"/>
      <name val="Arial"/>
      <family val="2"/>
    </font>
    <font>
      <sz val="12"/>
      <color indexed="12"/>
      <name val="Arial"/>
      <family val="2"/>
    </font>
    <font>
      <sz val="14"/>
      <color indexed="9"/>
      <name val="Arial"/>
      <family val="2"/>
    </font>
    <font>
      <b/>
      <sz val="12"/>
      <color indexed="8"/>
      <name val="Arial"/>
      <family val="2"/>
    </font>
    <font>
      <b/>
      <sz val="10"/>
      <color indexed="8"/>
      <name val="Arial"/>
      <family val="2"/>
    </font>
    <font>
      <b/>
      <u val="single"/>
      <sz val="11"/>
      <color indexed="12"/>
      <name val="Arial"/>
      <family val="2"/>
    </font>
    <font>
      <b/>
      <i/>
      <u val="single"/>
      <sz val="12"/>
      <color indexed="10"/>
      <name val="Arial"/>
      <family val="2"/>
    </font>
    <font>
      <i/>
      <u val="single"/>
      <sz val="14"/>
      <color indexed="12"/>
      <name val="Arial"/>
      <family val="0"/>
    </font>
    <font>
      <u val="single"/>
      <sz val="14"/>
      <color indexed="12"/>
      <name val="Arial"/>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1"/>
      <color theme="1"/>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2"/>
      <color theme="0"/>
      <name val="Arial"/>
      <family val="2"/>
    </font>
    <font>
      <sz val="12"/>
      <color theme="0"/>
      <name val="Arial"/>
      <family val="2"/>
    </font>
    <font>
      <b/>
      <sz val="12"/>
      <color rgb="FF0000FF"/>
      <name val="Arial"/>
      <family val="2"/>
    </font>
    <font>
      <b/>
      <sz val="12"/>
      <color rgb="FFFF0000"/>
      <name val="Arial"/>
      <family val="2"/>
    </font>
    <font>
      <sz val="12"/>
      <color rgb="FF0000FF"/>
      <name val="Arial"/>
      <family val="2"/>
    </font>
    <font>
      <sz val="14"/>
      <color theme="0"/>
      <name val="Arial"/>
      <family val="2"/>
    </font>
    <font>
      <b/>
      <sz val="12"/>
      <color theme="1"/>
      <name val="Arial"/>
      <family val="2"/>
    </font>
    <font>
      <b/>
      <sz val="10"/>
      <color theme="1"/>
      <name val="Arial"/>
      <family val="2"/>
    </font>
    <font>
      <b/>
      <u val="single"/>
      <sz val="12"/>
      <color rgb="FF0000FF"/>
      <name val="Arial"/>
      <family val="2"/>
    </font>
    <font>
      <b/>
      <u val="single"/>
      <sz val="11"/>
      <color theme="10"/>
      <name val="Arial"/>
      <family val="2"/>
    </font>
    <font>
      <b/>
      <i/>
      <u val="single"/>
      <sz val="12"/>
      <color rgb="FFFF0000"/>
      <name val="Arial"/>
      <family val="2"/>
    </font>
    <font>
      <b/>
      <sz val="14"/>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8"/>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bottom style="thin">
        <color rgb="FF0000FF"/>
      </bottom>
    </border>
    <border>
      <left/>
      <right/>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s>
  <cellStyleXfs count="96">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7" fillId="29" borderId="3">
      <alignment/>
      <protection/>
    </xf>
    <xf numFmtId="165" fontId="6" fillId="0" borderId="0">
      <alignment/>
      <protection locked="0"/>
    </xf>
    <xf numFmtId="165" fontId="8" fillId="0" borderId="3">
      <alignment/>
      <protection locked="0"/>
    </xf>
    <xf numFmtId="167" fontId="0" fillId="0" borderId="0">
      <alignment/>
      <protection/>
    </xf>
    <xf numFmtId="172" fontId="7" fillId="30" borderId="3">
      <alignment/>
      <protection/>
    </xf>
    <xf numFmtId="167" fontId="6" fillId="0" borderId="0">
      <alignment/>
      <protection locked="0"/>
    </xf>
    <xf numFmtId="167" fontId="8" fillId="0" borderId="3">
      <alignment/>
      <protection locked="0"/>
    </xf>
    <xf numFmtId="38" fontId="0" fillId="0" borderId="0">
      <alignment/>
      <protection/>
    </xf>
    <xf numFmtId="169" fontId="7" fillId="29" borderId="3">
      <alignment/>
      <protection/>
    </xf>
    <xf numFmtId="38" fontId="6" fillId="0" borderId="0">
      <alignment/>
      <protection locked="0"/>
    </xf>
    <xf numFmtId="38" fontId="8" fillId="31" borderId="3">
      <alignment/>
      <protection locked="0"/>
    </xf>
    <xf numFmtId="169" fontId="0" fillId="0" borderId="0">
      <alignment/>
      <protection/>
    </xf>
    <xf numFmtId="169" fontId="6" fillId="0" borderId="0">
      <alignment/>
      <protection locked="0"/>
    </xf>
    <xf numFmtId="40" fontId="0" fillId="0" borderId="0">
      <alignment/>
      <protection/>
    </xf>
    <xf numFmtId="40" fontId="6" fillId="0" borderId="0">
      <alignment/>
      <protection locked="0"/>
    </xf>
    <xf numFmtId="166" fontId="0" fillId="0" borderId="0">
      <alignment horizontal="right" vertical="justify"/>
      <protection/>
    </xf>
    <xf numFmtId="42" fontId="0" fillId="0" borderId="0" applyFont="0" applyFill="0" applyBorder="0" applyAlignment="0" applyProtection="0"/>
    <xf numFmtId="44" fontId="64" fillId="0" borderId="0" applyFont="0" applyFill="0" applyBorder="0" applyAlignment="0" applyProtection="0"/>
    <xf numFmtId="0" fontId="65" fillId="0" borderId="0" applyNumberFormat="0" applyFill="0" applyBorder="0" applyAlignment="0" applyProtection="0"/>
    <xf numFmtId="0" fontId="66" fillId="32" borderId="0" applyNumberFormat="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3" borderId="1" applyNumberFormat="0" applyAlignment="0" applyProtection="0"/>
    <xf numFmtId="0" fontId="73" fillId="0" borderId="7" applyNumberFormat="0" applyFill="0" applyAlignment="0" applyProtection="0"/>
    <xf numFmtId="0" fontId="74" fillId="34" borderId="0" applyNumberFormat="0" applyBorder="0" applyAlignment="0" applyProtection="0"/>
    <xf numFmtId="0" fontId="7" fillId="0" borderId="0">
      <alignment/>
      <protection/>
    </xf>
    <xf numFmtId="0" fontId="7" fillId="0" borderId="0">
      <alignment vertical="top"/>
      <protection/>
    </xf>
    <xf numFmtId="0" fontId="64" fillId="0" borderId="0">
      <alignment/>
      <protection/>
    </xf>
    <xf numFmtId="0" fontId="0" fillId="0" borderId="0">
      <alignment vertical="top"/>
      <protection/>
    </xf>
    <xf numFmtId="168" fontId="0" fillId="0" borderId="0">
      <alignment vertical="top"/>
      <protection/>
    </xf>
    <xf numFmtId="0" fontId="0" fillId="35" borderId="8" applyNumberFormat="0" applyFont="0" applyAlignment="0" applyProtection="0"/>
    <xf numFmtId="38" fontId="7" fillId="29" borderId="3">
      <alignment/>
      <protection/>
    </xf>
    <xf numFmtId="38" fontId="8" fillId="0" borderId="3">
      <alignment/>
      <protection locked="0"/>
    </xf>
    <xf numFmtId="169" fontId="7" fillId="36" borderId="3">
      <alignment/>
      <protection/>
    </xf>
    <xf numFmtId="169" fontId="8" fillId="0" borderId="3">
      <alignment/>
      <protection locked="0"/>
    </xf>
    <xf numFmtId="40" fontId="7" fillId="36" borderId="3">
      <alignment/>
      <protection/>
    </xf>
    <xf numFmtId="40" fontId="8" fillId="0" borderId="3">
      <alignment/>
      <protection locked="0"/>
    </xf>
    <xf numFmtId="0" fontId="75" fillId="27" borderId="9" applyNumberFormat="0" applyAlignment="0" applyProtection="0"/>
    <xf numFmtId="9" fontId="0" fillId="0" borderId="0" applyFont="0" applyFill="0" applyBorder="0" applyAlignment="0" applyProtection="0"/>
    <xf numFmtId="10" fontId="0" fillId="0" borderId="0">
      <alignment/>
      <protection/>
    </xf>
    <xf numFmtId="10" fontId="8" fillId="31" borderId="3">
      <alignment/>
      <protection locked="0"/>
    </xf>
    <xf numFmtId="0" fontId="7" fillId="37" borderId="0">
      <alignment/>
      <protection/>
    </xf>
    <xf numFmtId="0" fontId="76" fillId="0" borderId="0" applyNumberFormat="0" applyFill="0" applyBorder="0" applyAlignment="0" applyProtection="0"/>
    <xf numFmtId="0" fontId="77" fillId="0" borderId="10" applyNumberFormat="0" applyFill="0" applyAlignment="0" applyProtection="0"/>
    <xf numFmtId="170" fontId="7" fillId="0" borderId="0" applyFont="0" applyFill="0" applyBorder="0" applyAlignment="0" applyProtection="0"/>
    <xf numFmtId="171" fontId="7" fillId="0" borderId="0" applyFont="0" applyFill="0" applyBorder="0" applyAlignment="0" applyProtection="0"/>
    <xf numFmtId="0" fontId="78" fillId="0" borderId="0" applyNumberFormat="0" applyFill="0" applyBorder="0" applyAlignment="0" applyProtection="0"/>
  </cellStyleXfs>
  <cellXfs count="452">
    <xf numFmtId="3" fontId="0" fillId="0" borderId="0" xfId="0" applyNumberFormat="1" applyAlignment="1">
      <alignment/>
    </xf>
    <xf numFmtId="168" fontId="0" fillId="0" borderId="0" xfId="78">
      <alignment vertical="top"/>
      <protection/>
    </xf>
    <xf numFmtId="168" fontId="0" fillId="0" borderId="0" xfId="78" applyFont="1" applyAlignment="1">
      <alignment horizontal="left" vertical="top"/>
      <protection/>
    </xf>
    <xf numFmtId="168" fontId="0" fillId="0" borderId="0" xfId="78" applyFont="1">
      <alignment vertical="top"/>
      <protection/>
    </xf>
    <xf numFmtId="3" fontId="5" fillId="0" borderId="0" xfId="0" applyNumberFormat="1" applyFont="1" applyAlignment="1" applyProtection="1">
      <alignment horizontal="center"/>
      <protection/>
    </xf>
    <xf numFmtId="3" fontId="0" fillId="0" borderId="0" xfId="0" applyNumberFormat="1" applyAlignment="1" applyProtection="1">
      <alignment/>
      <protection/>
    </xf>
    <xf numFmtId="3" fontId="2" fillId="0" borderId="0" xfId="0" applyNumberFormat="1" applyFont="1" applyAlignment="1" applyProtection="1">
      <alignment/>
      <protection/>
    </xf>
    <xf numFmtId="3" fontId="3" fillId="0" borderId="0" xfId="0" applyNumberFormat="1" applyFont="1" applyAlignment="1" applyProtection="1">
      <alignment/>
      <protection/>
    </xf>
    <xf numFmtId="3" fontId="2" fillId="0" borderId="11" xfId="0" applyNumberFormat="1" applyFont="1" applyBorder="1" applyAlignment="1" applyProtection="1">
      <alignment horizontal="right"/>
      <protection/>
    </xf>
    <xf numFmtId="7" fontId="0" fillId="0" borderId="0" xfId="0" applyNumberFormat="1" applyAlignment="1" applyProtection="1">
      <alignment/>
      <protection/>
    </xf>
    <xf numFmtId="5" fontId="0" fillId="0" borderId="0" xfId="0" applyNumberFormat="1" applyAlignment="1" applyProtection="1">
      <alignment/>
      <protection/>
    </xf>
    <xf numFmtId="40" fontId="0" fillId="0" borderId="0" xfId="58" applyProtection="1">
      <alignment/>
      <protection/>
    </xf>
    <xf numFmtId="38" fontId="0" fillId="0" borderId="0" xfId="52" applyProtection="1">
      <alignment/>
      <protection/>
    </xf>
    <xf numFmtId="3" fontId="0" fillId="0" borderId="11" xfId="0" applyNumberFormat="1" applyBorder="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167" fontId="2" fillId="0" borderId="0" xfId="48" applyFont="1" applyProtection="1">
      <alignment/>
      <protection/>
    </xf>
    <xf numFmtId="4" fontId="0" fillId="0" borderId="0" xfId="0" applyNumberFormat="1" applyAlignment="1" applyProtection="1">
      <alignment/>
      <protection/>
    </xf>
    <xf numFmtId="3" fontId="2" fillId="0" borderId="0" xfId="0" applyNumberFormat="1" applyFont="1" applyAlignment="1" applyProtection="1">
      <alignment/>
      <protection/>
    </xf>
    <xf numFmtId="0" fontId="5" fillId="0" borderId="0" xfId="0" applyFont="1" applyAlignment="1" applyProtection="1">
      <alignment horizontal="center"/>
      <protection/>
    </xf>
    <xf numFmtId="3" fontId="0" fillId="0" borderId="0" xfId="0" applyNumberFormat="1"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38" fontId="3" fillId="0" borderId="0" xfId="52" applyFont="1" applyProtection="1">
      <alignment/>
      <protection/>
    </xf>
    <xf numFmtId="7" fontId="3" fillId="0" borderId="0" xfId="0" applyNumberFormat="1" applyFont="1" applyAlignment="1" applyProtection="1">
      <alignment/>
      <protection/>
    </xf>
    <xf numFmtId="0" fontId="2" fillId="0" borderId="0" xfId="0" applyFont="1" applyAlignment="1" applyProtection="1">
      <alignment horizontal="center"/>
      <protection/>
    </xf>
    <xf numFmtId="40" fontId="3" fillId="0" borderId="0" xfId="58" applyFont="1" applyProtection="1">
      <alignment/>
      <protection/>
    </xf>
    <xf numFmtId="0" fontId="3" fillId="0" borderId="0" xfId="0" applyFont="1" applyBorder="1" applyAlignment="1" applyProtection="1">
      <alignment/>
      <protection/>
    </xf>
    <xf numFmtId="3" fontId="2" fillId="0" borderId="0" xfId="0" applyNumberFormat="1" applyFont="1" applyAlignment="1" applyProtection="1">
      <alignment horizontal="center"/>
      <protection/>
    </xf>
    <xf numFmtId="0" fontId="3" fillId="0" borderId="0" xfId="0" applyFont="1" applyBorder="1" applyAlignment="1" applyProtection="1">
      <alignment/>
      <protection/>
    </xf>
    <xf numFmtId="0" fontId="0" fillId="0" borderId="0" xfId="0" applyFont="1" applyAlignment="1" applyProtection="1">
      <alignment/>
      <protection/>
    </xf>
    <xf numFmtId="165" fontId="0" fillId="0" borderId="0" xfId="44" applyProtection="1">
      <alignment/>
      <protection/>
    </xf>
    <xf numFmtId="3" fontId="3" fillId="0" borderId="0" xfId="0" applyNumberFormat="1" applyFont="1" applyAlignment="1" applyProtection="1">
      <alignment/>
      <protection/>
    </xf>
    <xf numFmtId="3" fontId="3" fillId="0" borderId="0" xfId="0" applyNumberFormat="1" applyFont="1" applyBorder="1" applyAlignment="1" applyProtection="1">
      <alignment/>
      <protection/>
    </xf>
    <xf numFmtId="169" fontId="0" fillId="0" borderId="0" xfId="56" applyProtection="1">
      <alignment/>
      <protection/>
    </xf>
    <xf numFmtId="3" fontId="0" fillId="0" borderId="11" xfId="0" applyNumberFormat="1" applyFont="1" applyBorder="1" applyAlignment="1" applyProtection="1">
      <alignment horizontal="center"/>
      <protection/>
    </xf>
    <xf numFmtId="173" fontId="0" fillId="0" borderId="0" xfId="52" applyNumberFormat="1" applyProtection="1">
      <alignment/>
      <protection/>
    </xf>
    <xf numFmtId="173" fontId="0" fillId="0" borderId="0" xfId="0" applyNumberFormat="1" applyAlignment="1" applyProtection="1">
      <alignment/>
      <protection/>
    </xf>
    <xf numFmtId="7" fontId="11" fillId="0" borderId="0" xfId="0" applyNumberFormat="1" applyFont="1" applyBorder="1" applyAlignment="1" applyProtection="1">
      <alignment horizontal="right"/>
      <protection/>
    </xf>
    <xf numFmtId="5" fontId="11" fillId="0" borderId="0" xfId="0" applyNumberFormat="1" applyFont="1" applyBorder="1" applyAlignment="1" applyProtection="1">
      <alignment horizontal="right"/>
      <protection/>
    </xf>
    <xf numFmtId="168" fontId="2" fillId="0" borderId="0" xfId="48" applyNumberFormat="1" applyFont="1" applyProtection="1">
      <alignment/>
      <protection/>
    </xf>
    <xf numFmtId="173" fontId="2" fillId="0" borderId="0" xfId="44" applyNumberFormat="1" applyFont="1" applyProtection="1">
      <alignment/>
      <protection/>
    </xf>
    <xf numFmtId="3" fontId="7" fillId="0" borderId="0" xfId="0" applyNumberFormat="1" applyFont="1" applyAlignment="1" applyProtection="1">
      <alignment/>
      <protection/>
    </xf>
    <xf numFmtId="168" fontId="3" fillId="0" borderId="0" xfId="48" applyNumberFormat="1" applyFont="1" applyProtection="1">
      <alignment/>
      <protection/>
    </xf>
    <xf numFmtId="168" fontId="0" fillId="0" borderId="0" xfId="48" applyNumberFormat="1" applyProtection="1">
      <alignment/>
      <protection/>
    </xf>
    <xf numFmtId="174" fontId="3" fillId="0" borderId="0" xfId="58" applyNumberFormat="1" applyFont="1" applyProtection="1">
      <alignment/>
      <protection/>
    </xf>
    <xf numFmtId="173" fontId="3" fillId="0" borderId="0" xfId="52" applyNumberFormat="1" applyFont="1" applyBorder="1" applyProtection="1">
      <alignment/>
      <protection/>
    </xf>
    <xf numFmtId="168" fontId="0" fillId="0" borderId="0" xfId="0" applyNumberFormat="1" applyAlignment="1" applyProtection="1">
      <alignment/>
      <protection/>
    </xf>
    <xf numFmtId="173" fontId="0" fillId="0" borderId="0" xfId="44" applyNumberFormat="1" applyProtection="1">
      <alignment/>
      <protection/>
    </xf>
    <xf numFmtId="173" fontId="0" fillId="0" borderId="0" xfId="48" applyNumberFormat="1" applyProtection="1">
      <alignment/>
      <protection/>
    </xf>
    <xf numFmtId="168" fontId="0" fillId="0" borderId="0" xfId="52" applyNumberFormat="1" applyProtection="1">
      <alignment/>
      <protection/>
    </xf>
    <xf numFmtId="164" fontId="14" fillId="0" borderId="0" xfId="0" applyNumberFormat="1" applyFont="1" applyAlignment="1" applyProtection="1">
      <alignment/>
      <protection/>
    </xf>
    <xf numFmtId="164" fontId="15" fillId="0" borderId="0" xfId="0" applyNumberFormat="1" applyFont="1" applyAlignment="1" applyProtection="1">
      <alignment horizontal="center"/>
      <protection/>
    </xf>
    <xf numFmtId="164" fontId="16" fillId="0" borderId="0" xfId="0" applyNumberFormat="1" applyFont="1" applyAlignment="1" applyProtection="1">
      <alignment horizontal="center"/>
      <protection/>
    </xf>
    <xf numFmtId="164" fontId="15" fillId="0" borderId="0" xfId="0" applyNumberFormat="1" applyFont="1" applyAlignment="1" applyProtection="1">
      <alignment horizontal="left"/>
      <protection/>
    </xf>
    <xf numFmtId="164" fontId="16" fillId="0" borderId="0" xfId="0" applyNumberFormat="1" applyFont="1" applyAlignment="1" applyProtection="1">
      <alignment horizontal="left"/>
      <protection/>
    </xf>
    <xf numFmtId="1" fontId="16" fillId="0" borderId="0" xfId="0" applyNumberFormat="1" applyFont="1" applyAlignment="1" applyProtection="1" quotePrefix="1">
      <alignment/>
      <protection/>
    </xf>
    <xf numFmtId="164" fontId="16" fillId="0" borderId="0" xfId="0" applyNumberFormat="1" applyFont="1" applyAlignment="1" applyProtection="1">
      <alignment/>
      <protection/>
    </xf>
    <xf numFmtId="3" fontId="11" fillId="0" borderId="0" xfId="0" applyNumberFormat="1" applyFont="1" applyBorder="1" applyAlignment="1" applyProtection="1">
      <alignment horizontal="center"/>
      <protection/>
    </xf>
    <xf numFmtId="38" fontId="6" fillId="0" borderId="0" xfId="54" applyProtection="1">
      <alignment/>
      <protection/>
    </xf>
    <xf numFmtId="167" fontId="6" fillId="0" borderId="0" xfId="50" applyProtection="1">
      <alignment/>
      <protection/>
    </xf>
    <xf numFmtId="7" fontId="0" fillId="0" borderId="11" xfId="0" applyNumberFormat="1" applyFont="1" applyBorder="1" applyAlignment="1" applyProtection="1">
      <alignment horizontal="right"/>
      <protection/>
    </xf>
    <xf numFmtId="0" fontId="0" fillId="0" borderId="11" xfId="0" applyFont="1" applyBorder="1" applyAlignment="1" applyProtection="1">
      <alignment horizontal="right"/>
      <protection/>
    </xf>
    <xf numFmtId="3" fontId="0" fillId="0" borderId="0" xfId="0" applyNumberFormat="1" applyAlignment="1" applyProtection="1">
      <alignment horizontal="right"/>
      <protection/>
    </xf>
    <xf numFmtId="7" fontId="0" fillId="0" borderId="0" xfId="0" applyNumberFormat="1" applyAlignment="1" applyProtection="1">
      <alignment horizontal="right"/>
      <protection/>
    </xf>
    <xf numFmtId="4" fontId="0" fillId="0" borderId="0" xfId="0" applyNumberFormat="1" applyAlignment="1" applyProtection="1">
      <alignment horizontal="right"/>
      <protection/>
    </xf>
    <xf numFmtId="3" fontId="0" fillId="0" borderId="0" xfId="0" applyNumberFormat="1" applyAlignment="1" applyProtection="1">
      <alignment horizontal="left"/>
      <protection/>
    </xf>
    <xf numFmtId="165" fontId="6" fillId="0" borderId="0" xfId="46" applyProtection="1">
      <alignment/>
      <protection/>
    </xf>
    <xf numFmtId="3" fontId="2" fillId="0" borderId="0" xfId="0" applyNumberFormat="1" applyFont="1" applyBorder="1" applyAlignment="1" applyProtection="1">
      <alignment horizontal="right"/>
      <protection/>
    </xf>
    <xf numFmtId="7" fontId="2" fillId="0" borderId="0" xfId="0" applyNumberFormat="1" applyFont="1" applyAlignment="1" applyProtection="1">
      <alignment horizontal="right"/>
      <protection/>
    </xf>
    <xf numFmtId="3" fontId="2" fillId="0" borderId="0" xfId="0" applyNumberFormat="1" applyFont="1" applyAlignment="1" applyProtection="1">
      <alignment horizontal="right"/>
      <protection/>
    </xf>
    <xf numFmtId="2" fontId="0" fillId="0" borderId="0" xfId="0" applyNumberFormat="1" applyAlignment="1" applyProtection="1">
      <alignment/>
      <protection/>
    </xf>
    <xf numFmtId="7" fontId="2" fillId="0" borderId="11" xfId="0" applyNumberFormat="1" applyFont="1" applyBorder="1" applyAlignment="1" applyProtection="1">
      <alignment horizontal="right"/>
      <protection/>
    </xf>
    <xf numFmtId="38" fontId="0" fillId="0" borderId="11" xfId="52" applyBorder="1" applyProtection="1">
      <alignment/>
      <protection/>
    </xf>
    <xf numFmtId="165" fontId="2" fillId="0" borderId="0" xfId="44" applyFont="1" applyProtection="1">
      <alignment/>
      <protection/>
    </xf>
    <xf numFmtId="165" fontId="0" fillId="0" borderId="0" xfId="44" applyFont="1" applyProtection="1">
      <alignment/>
      <protection/>
    </xf>
    <xf numFmtId="165" fontId="0" fillId="0" borderId="11" xfId="44" applyFont="1" applyBorder="1" applyProtection="1">
      <alignment/>
      <protection/>
    </xf>
    <xf numFmtId="3" fontId="0" fillId="0" borderId="0" xfId="0" applyNumberFormat="1" applyBorder="1" applyAlignment="1" applyProtection="1">
      <alignment/>
      <protection/>
    </xf>
    <xf numFmtId="38" fontId="0" fillId="0" borderId="0" xfId="52" applyBorder="1" applyProtection="1">
      <alignment/>
      <protection/>
    </xf>
    <xf numFmtId="165" fontId="0" fillId="0" borderId="11" xfId="44" applyBorder="1" applyProtection="1">
      <alignment/>
      <protection/>
    </xf>
    <xf numFmtId="38" fontId="6" fillId="0" borderId="0" xfId="54" applyProtection="1">
      <alignment/>
      <protection locked="0"/>
    </xf>
    <xf numFmtId="40" fontId="6" fillId="0" borderId="0" xfId="59" applyProtection="1">
      <alignment/>
      <protection locked="0"/>
    </xf>
    <xf numFmtId="169" fontId="6" fillId="0" borderId="0" xfId="57" applyProtection="1">
      <alignment/>
      <protection locked="0"/>
    </xf>
    <xf numFmtId="167" fontId="6" fillId="0" borderId="0" xfId="50" applyProtection="1">
      <alignment/>
      <protection locked="0"/>
    </xf>
    <xf numFmtId="172" fontId="6" fillId="0" borderId="0" xfId="50" applyNumberFormat="1" applyProtection="1">
      <alignment/>
      <protection locked="0"/>
    </xf>
    <xf numFmtId="165" fontId="6" fillId="0" borderId="0" xfId="46" applyProtection="1">
      <alignment/>
      <protection locked="0"/>
    </xf>
    <xf numFmtId="3" fontId="0" fillId="0" borderId="0" xfId="0" applyNumberFormat="1" applyAlignment="1" applyProtection="1">
      <alignment vertical="top" wrapText="1"/>
      <protection/>
    </xf>
    <xf numFmtId="175" fontId="6" fillId="0" borderId="0" xfId="46" applyNumberFormat="1" applyProtection="1">
      <alignment/>
      <protection locked="0"/>
    </xf>
    <xf numFmtId="167" fontId="3" fillId="0" borderId="0" xfId="48" applyNumberFormat="1" applyFont="1" applyProtection="1">
      <alignment/>
      <protection/>
    </xf>
    <xf numFmtId="167" fontId="0" fillId="0" borderId="0" xfId="48" applyNumberFormat="1" applyProtection="1">
      <alignment/>
      <protection/>
    </xf>
    <xf numFmtId="176" fontId="0" fillId="0" borderId="0" xfId="58" applyNumberFormat="1" applyProtection="1">
      <alignment/>
      <protection/>
    </xf>
    <xf numFmtId="3" fontId="0" fillId="0" borderId="0" xfId="0" applyNumberFormat="1" applyFont="1" applyAlignment="1" applyProtection="1">
      <alignment/>
      <protection/>
    </xf>
    <xf numFmtId="167" fontId="6" fillId="38" borderId="0" xfId="50" applyFill="1" applyProtection="1">
      <alignment/>
      <protection locked="0"/>
    </xf>
    <xf numFmtId="7" fontId="0" fillId="38" borderId="0" xfId="0" applyNumberFormat="1" applyFill="1" applyAlignment="1" applyProtection="1">
      <alignment/>
      <protection/>
    </xf>
    <xf numFmtId="168" fontId="12" fillId="0" borderId="0" xfId="78" applyFont="1" applyAlignment="1">
      <alignment horizontal="left" vertical="top" wrapText="1"/>
      <protection/>
    </xf>
    <xf numFmtId="168" fontId="12" fillId="0" borderId="0" xfId="78" applyFont="1" applyAlignment="1">
      <alignment vertical="top" wrapText="1"/>
      <protection/>
    </xf>
    <xf numFmtId="173" fontId="6" fillId="0" borderId="0" xfId="46" applyNumberFormat="1">
      <alignment/>
      <protection locked="0"/>
    </xf>
    <xf numFmtId="173" fontId="18" fillId="0" borderId="0" xfId="46" applyNumberFormat="1" applyFont="1">
      <alignment/>
      <protection locked="0"/>
    </xf>
    <xf numFmtId="173" fontId="6" fillId="0" borderId="0" xfId="46" applyNumberFormat="1" applyFill="1">
      <alignment/>
      <protection locked="0"/>
    </xf>
    <xf numFmtId="173" fontId="18" fillId="0" borderId="0" xfId="46" applyNumberFormat="1" applyFont="1" applyFill="1">
      <alignment/>
      <protection locked="0"/>
    </xf>
    <xf numFmtId="3" fontId="0" fillId="39" borderId="0" xfId="0" applyNumberFormat="1" applyFont="1" applyFill="1" applyAlignment="1" applyProtection="1">
      <alignment/>
      <protection/>
    </xf>
    <xf numFmtId="38" fontId="6" fillId="0" borderId="0" xfId="54" applyBorder="1" applyProtection="1">
      <alignment/>
      <protection locked="0"/>
    </xf>
    <xf numFmtId="3" fontId="79" fillId="40" borderId="0" xfId="0" applyNumberFormat="1" applyFont="1" applyFill="1" applyAlignment="1" applyProtection="1">
      <alignment/>
      <protection/>
    </xf>
    <xf numFmtId="3" fontId="0" fillId="0" borderId="0" xfId="0" applyNumberFormat="1" applyFont="1" applyFill="1" applyAlignment="1" applyProtection="1">
      <alignment/>
      <protection/>
    </xf>
    <xf numFmtId="3" fontId="0" fillId="0" borderId="0" xfId="0" applyNumberFormat="1" applyFill="1" applyAlignment="1">
      <alignment/>
    </xf>
    <xf numFmtId="38" fontId="6" fillId="0" borderId="0" xfId="54" applyFill="1">
      <alignment/>
      <protection locked="0"/>
    </xf>
    <xf numFmtId="3" fontId="0" fillId="0" borderId="0" xfId="0" applyNumberFormat="1" applyFont="1" applyFill="1" applyAlignment="1">
      <alignment/>
    </xf>
    <xf numFmtId="3" fontId="0" fillId="0" borderId="0" xfId="0" applyNumberFormat="1" applyFont="1" applyAlignment="1">
      <alignment/>
    </xf>
    <xf numFmtId="168" fontId="2" fillId="0" borderId="0" xfId="48" applyNumberFormat="1" applyFont="1" applyProtection="1">
      <alignment/>
      <protection/>
    </xf>
    <xf numFmtId="0" fontId="0" fillId="0" borderId="0" xfId="74" applyFont="1" applyAlignment="1" applyProtection="1">
      <alignment vertical="center"/>
      <protection/>
    </xf>
    <xf numFmtId="0" fontId="0" fillId="0" borderId="0" xfId="74" applyFont="1" applyAlignment="1">
      <alignment vertical="center"/>
      <protection/>
    </xf>
    <xf numFmtId="0" fontId="0" fillId="0" borderId="0" xfId="74" applyFont="1">
      <alignment/>
      <protection/>
    </xf>
    <xf numFmtId="0" fontId="0" fillId="0" borderId="0" xfId="74" applyFont="1" applyProtection="1">
      <alignment/>
      <protection/>
    </xf>
    <xf numFmtId="38" fontId="0" fillId="0" borderId="0" xfId="74" applyNumberFormat="1" applyFont="1">
      <alignment/>
      <protection/>
    </xf>
    <xf numFmtId="3" fontId="0" fillId="0" borderId="0" xfId="74" applyNumberFormat="1" applyFont="1">
      <alignment/>
      <protection/>
    </xf>
    <xf numFmtId="0" fontId="0" fillId="0" borderId="0" xfId="74" applyFont="1" applyBorder="1">
      <alignment/>
      <protection/>
    </xf>
    <xf numFmtId="0" fontId="80" fillId="40" borderId="0" xfId="74" applyFont="1" applyFill="1" applyBorder="1">
      <alignment/>
      <protection/>
    </xf>
    <xf numFmtId="3" fontId="80" fillId="40" borderId="0" xfId="0" applyNumberFormat="1" applyFont="1" applyFill="1" applyBorder="1" applyAlignment="1" applyProtection="1">
      <alignment/>
      <protection/>
    </xf>
    <xf numFmtId="0" fontId="79" fillId="40" borderId="0" xfId="74" applyFont="1" applyFill="1" applyBorder="1" applyAlignment="1" applyProtection="1">
      <alignment horizontal="center" wrapText="1"/>
      <protection/>
    </xf>
    <xf numFmtId="0" fontId="79" fillId="40" borderId="0" xfId="74" applyFont="1" applyFill="1" applyBorder="1" applyAlignment="1">
      <alignment horizontal="center" wrapText="1"/>
      <protection/>
    </xf>
    <xf numFmtId="0" fontId="79" fillId="40" borderId="0" xfId="74" applyFont="1" applyFill="1" applyBorder="1" applyAlignment="1" applyProtection="1">
      <alignment horizontal="center"/>
      <protection/>
    </xf>
    <xf numFmtId="0" fontId="80" fillId="40" borderId="0" xfId="74" applyFont="1" applyFill="1" applyProtection="1">
      <alignment/>
      <protection/>
    </xf>
    <xf numFmtId="0" fontId="0" fillId="41" borderId="0" xfId="74" applyFont="1" applyFill="1" applyBorder="1">
      <alignment/>
      <protection/>
    </xf>
    <xf numFmtId="3" fontId="0" fillId="41" borderId="0" xfId="0" applyNumberFormat="1" applyFont="1" applyFill="1" applyBorder="1" applyAlignment="1" applyProtection="1">
      <alignment/>
      <protection/>
    </xf>
    <xf numFmtId="0" fontId="11" fillId="41" borderId="0" xfId="74" applyFont="1" applyFill="1" applyBorder="1" applyAlignment="1" applyProtection="1">
      <alignment horizontal="center" wrapText="1"/>
      <protection/>
    </xf>
    <xf numFmtId="0" fontId="11" fillId="41" borderId="0" xfId="74" applyFont="1" applyFill="1" applyBorder="1" applyAlignment="1">
      <alignment horizontal="center" wrapText="1"/>
      <protection/>
    </xf>
    <xf numFmtId="0" fontId="11" fillId="41" borderId="0" xfId="74" applyFont="1" applyFill="1" applyBorder="1" applyProtection="1">
      <alignment/>
      <protection/>
    </xf>
    <xf numFmtId="0" fontId="0" fillId="41" borderId="0" xfId="74" applyFont="1" applyFill="1" applyProtection="1">
      <alignment/>
      <protection/>
    </xf>
    <xf numFmtId="0" fontId="2" fillId="41" borderId="0" xfId="74" applyFont="1" applyFill="1" applyBorder="1">
      <alignment/>
      <protection/>
    </xf>
    <xf numFmtId="3" fontId="2" fillId="41" borderId="0" xfId="0" applyNumberFormat="1" applyFont="1" applyFill="1" applyBorder="1" applyAlignment="1" applyProtection="1">
      <alignment horizontal="left"/>
      <protection/>
    </xf>
    <xf numFmtId="0" fontId="81" fillId="0" borderId="0" xfId="74" applyFont="1" applyFill="1" applyBorder="1" applyAlignment="1" applyProtection="1">
      <alignment horizontal="center"/>
      <protection locked="0"/>
    </xf>
    <xf numFmtId="0" fontId="82" fillId="41" borderId="0" xfId="74" applyFont="1" applyFill="1" applyBorder="1" applyAlignment="1" applyProtection="1">
      <alignment horizontal="center"/>
      <protection/>
    </xf>
    <xf numFmtId="0" fontId="0" fillId="41" borderId="0" xfId="74" applyFont="1" applyFill="1" applyBorder="1" applyProtection="1">
      <alignment/>
      <protection/>
    </xf>
    <xf numFmtId="0" fontId="0" fillId="0" borderId="0" xfId="74" applyFont="1" applyFill="1" applyProtection="1">
      <alignment/>
      <protection/>
    </xf>
    <xf numFmtId="0" fontId="0" fillId="41" borderId="0" xfId="74" applyFont="1" applyFill="1">
      <alignment/>
      <protection/>
    </xf>
    <xf numFmtId="0" fontId="0" fillId="41" borderId="0" xfId="74" applyFont="1" applyFill="1" applyBorder="1" applyAlignment="1" applyProtection="1">
      <alignment horizontal="right"/>
      <protection/>
    </xf>
    <xf numFmtId="3" fontId="0" fillId="41" borderId="0" xfId="0" applyNumberFormat="1" applyFont="1" applyFill="1" applyBorder="1" applyAlignment="1">
      <alignment horizontal="center"/>
    </xf>
    <xf numFmtId="3" fontId="0" fillId="41" borderId="0" xfId="0" applyNumberFormat="1" applyFont="1" applyFill="1" applyBorder="1" applyAlignment="1">
      <alignment horizontal="right"/>
    </xf>
    <xf numFmtId="0" fontId="0" fillId="0" borderId="0" xfId="74" applyFont="1" applyFill="1" applyBorder="1">
      <alignment/>
      <protection/>
    </xf>
    <xf numFmtId="3" fontId="0" fillId="0" borderId="0" xfId="0" applyNumberFormat="1" applyFont="1" applyFill="1" applyBorder="1" applyAlignment="1">
      <alignment horizontal="right"/>
    </xf>
    <xf numFmtId="0" fontId="0" fillId="0" borderId="0" xfId="74" applyFont="1" applyFill="1" applyBorder="1" applyAlignment="1" applyProtection="1">
      <alignment horizontal="right"/>
      <protection/>
    </xf>
    <xf numFmtId="0" fontId="0" fillId="0" borderId="0" xfId="74" applyFont="1" applyFill="1" applyBorder="1" applyProtection="1">
      <alignment/>
      <protection/>
    </xf>
    <xf numFmtId="3" fontId="2" fillId="0" borderId="0" xfId="0" applyNumberFormat="1" applyFont="1" applyBorder="1" applyAlignment="1" applyProtection="1">
      <alignment/>
      <protection/>
    </xf>
    <xf numFmtId="2" fontId="81" fillId="0" borderId="0" xfId="74" applyNumberFormat="1" applyFont="1" applyBorder="1" applyAlignment="1" applyProtection="1">
      <alignment horizontal="center"/>
      <protection locked="0"/>
    </xf>
    <xf numFmtId="0" fontId="0" fillId="0" borderId="0" xfId="74" applyFont="1" applyBorder="1" applyProtection="1">
      <alignment/>
      <protection/>
    </xf>
    <xf numFmtId="0" fontId="81" fillId="0" borderId="0" xfId="74" applyFont="1" applyBorder="1" applyAlignment="1" applyProtection="1">
      <alignment horizontal="center"/>
      <protection locked="0"/>
    </xf>
    <xf numFmtId="3" fontId="0" fillId="0" borderId="0" xfId="0" applyNumberFormat="1" applyFont="1" applyBorder="1" applyAlignment="1" applyProtection="1">
      <alignment horizontal="left"/>
      <protection/>
    </xf>
    <xf numFmtId="0" fontId="0" fillId="0" borderId="0" xfId="74" applyFont="1" applyBorder="1" applyAlignment="1" applyProtection="1">
      <alignment horizontal="center"/>
      <protection/>
    </xf>
    <xf numFmtId="178" fontId="0" fillId="0" borderId="0" xfId="74" applyNumberFormat="1" applyFont="1" applyBorder="1" applyAlignment="1" applyProtection="1">
      <alignment horizontal="center"/>
      <protection/>
    </xf>
    <xf numFmtId="3" fontId="2" fillId="0" borderId="0" xfId="0" applyNumberFormat="1" applyFont="1" applyBorder="1" applyAlignment="1" applyProtection="1">
      <alignment horizontal="left"/>
      <protection/>
    </xf>
    <xf numFmtId="0" fontId="2" fillId="0" borderId="0" xfId="74" applyNumberFormat="1" applyFont="1" applyBorder="1" applyAlignment="1" applyProtection="1">
      <alignment horizontal="center"/>
      <protection/>
    </xf>
    <xf numFmtId="0" fontId="0" fillId="0" borderId="11" xfId="74" applyFont="1" applyBorder="1">
      <alignment/>
      <protection/>
    </xf>
    <xf numFmtId="3" fontId="2" fillId="0" borderId="11" xfId="0" applyNumberFormat="1" applyFont="1" applyBorder="1" applyAlignment="1" applyProtection="1">
      <alignment horizontal="left"/>
      <protection/>
    </xf>
    <xf numFmtId="0" fontId="2" fillId="0" borderId="11" xfId="74" applyNumberFormat="1" applyFont="1" applyBorder="1" applyAlignment="1" applyProtection="1">
      <alignment horizontal="center"/>
      <protection/>
    </xf>
    <xf numFmtId="0" fontId="0" fillId="0" borderId="11" xfId="74" applyFont="1" applyBorder="1" applyProtection="1">
      <alignment/>
      <protection/>
    </xf>
    <xf numFmtId="0" fontId="2" fillId="0" borderId="0" xfId="74" applyFont="1" applyBorder="1" applyAlignment="1" applyProtection="1">
      <alignment horizontal="center"/>
      <protection/>
    </xf>
    <xf numFmtId="3" fontId="2" fillId="0" borderId="11" xfId="0" applyNumberFormat="1" applyFont="1" applyBorder="1" applyAlignment="1" applyProtection="1">
      <alignment/>
      <protection/>
    </xf>
    <xf numFmtId="0" fontId="2" fillId="0" borderId="11" xfId="74" applyFont="1" applyBorder="1" applyAlignment="1" applyProtection="1">
      <alignment horizontal="center"/>
      <protection/>
    </xf>
    <xf numFmtId="1" fontId="2" fillId="0" borderId="0" xfId="74" applyNumberFormat="1" applyFont="1" applyBorder="1" applyAlignment="1" applyProtection="1">
      <alignment horizontal="center"/>
      <protection/>
    </xf>
    <xf numFmtId="0" fontId="11" fillId="0" borderId="0" xfId="74" applyFont="1" applyBorder="1">
      <alignment/>
      <protection/>
    </xf>
    <xf numFmtId="3" fontId="0" fillId="0" borderId="0" xfId="0" applyNumberFormat="1" applyFont="1" applyBorder="1" applyAlignment="1" applyProtection="1">
      <alignment/>
      <protection/>
    </xf>
    <xf numFmtId="0" fontId="11" fillId="0" borderId="0" xfId="74" applyFont="1" applyBorder="1" applyAlignment="1">
      <alignment horizontal="center"/>
      <protection/>
    </xf>
    <xf numFmtId="179" fontId="81" fillId="0" borderId="0" xfId="74" applyNumberFormat="1" applyFont="1" applyFill="1" applyBorder="1" applyAlignment="1" applyProtection="1">
      <alignment horizontal="right"/>
      <protection locked="0"/>
    </xf>
    <xf numFmtId="179" fontId="81" fillId="0" borderId="0" xfId="74" applyNumberFormat="1" applyFont="1" applyBorder="1" applyAlignment="1" applyProtection="1">
      <alignment horizontal="right"/>
      <protection locked="0"/>
    </xf>
    <xf numFmtId="0" fontId="2" fillId="0" borderId="0" xfId="74" applyFont="1" applyBorder="1">
      <alignment/>
      <protection/>
    </xf>
    <xf numFmtId="168" fontId="81" fillId="0" borderId="0" xfId="74" applyNumberFormat="1" applyFont="1" applyBorder="1" applyAlignment="1" applyProtection="1">
      <alignment horizontal="right"/>
      <protection locked="0"/>
    </xf>
    <xf numFmtId="168" fontId="81" fillId="0" borderId="0" xfId="74" applyNumberFormat="1" applyFont="1" applyBorder="1" applyAlignment="1" applyProtection="1">
      <alignment horizontal="right"/>
      <protection/>
    </xf>
    <xf numFmtId="168" fontId="0" fillId="0" borderId="0" xfId="74" applyNumberFormat="1" applyFont="1" applyBorder="1" applyAlignment="1" applyProtection="1">
      <alignment horizontal="right"/>
      <protection/>
    </xf>
    <xf numFmtId="168" fontId="83" fillId="0" borderId="0" xfId="74" applyNumberFormat="1" applyFont="1" applyBorder="1" applyAlignment="1" applyProtection="1">
      <alignment horizontal="right"/>
      <protection/>
    </xf>
    <xf numFmtId="3" fontId="3" fillId="0" borderId="0" xfId="0" applyNumberFormat="1" applyFont="1" applyBorder="1" applyAlignment="1" applyProtection="1">
      <alignment/>
      <protection/>
    </xf>
    <xf numFmtId="168" fontId="3" fillId="0" borderId="0" xfId="74" applyNumberFormat="1" applyFont="1" applyBorder="1" applyAlignment="1" applyProtection="1">
      <alignment horizontal="right"/>
      <protection/>
    </xf>
    <xf numFmtId="168" fontId="2" fillId="0" borderId="0" xfId="74" applyNumberFormat="1" applyFont="1" applyBorder="1" applyAlignment="1" applyProtection="1">
      <alignment horizontal="right"/>
      <protection/>
    </xf>
    <xf numFmtId="3" fontId="0" fillId="0" borderId="0" xfId="0" applyNumberFormat="1" applyFont="1" applyBorder="1" applyAlignment="1" applyProtection="1">
      <alignment horizontal="right"/>
      <protection/>
    </xf>
    <xf numFmtId="180" fontId="0" fillId="0" borderId="0" xfId="74" applyNumberFormat="1" applyFont="1" applyBorder="1" applyAlignment="1" applyProtection="1">
      <alignment horizontal="right"/>
      <protection/>
    </xf>
    <xf numFmtId="168" fontId="0" fillId="0" borderId="0" xfId="74" applyNumberFormat="1" applyFont="1" applyBorder="1" applyProtection="1">
      <alignment/>
      <protection/>
    </xf>
    <xf numFmtId="168" fontId="2" fillId="0" borderId="0" xfId="74" applyNumberFormat="1" applyFont="1" applyBorder="1" applyProtection="1">
      <alignment/>
      <protection/>
    </xf>
    <xf numFmtId="168" fontId="2" fillId="0" borderId="0" xfId="74" applyNumberFormat="1" applyFont="1" applyFill="1" applyBorder="1" applyProtection="1">
      <alignment/>
      <protection/>
    </xf>
    <xf numFmtId="168" fontId="2" fillId="0" borderId="11" xfId="74" applyNumberFormat="1" applyFont="1" applyBorder="1" applyProtection="1">
      <alignment/>
      <protection/>
    </xf>
    <xf numFmtId="168" fontId="2" fillId="0" borderId="11" xfId="74" applyNumberFormat="1" applyFont="1" applyFill="1" applyBorder="1" applyProtection="1">
      <alignment/>
      <protection/>
    </xf>
    <xf numFmtId="0" fontId="11" fillId="0" borderId="0" xfId="74" applyFont="1" applyBorder="1" applyAlignment="1" applyProtection="1">
      <alignment horizontal="center" wrapText="1"/>
      <protection/>
    </xf>
    <xf numFmtId="0" fontId="11" fillId="0" borderId="0" xfId="74" applyFont="1" applyBorder="1" applyAlignment="1">
      <alignment horizontal="center" wrapText="1"/>
      <protection/>
    </xf>
    <xf numFmtId="0" fontId="11" fillId="0" borderId="0" xfId="74" applyFont="1" applyBorder="1" applyProtection="1">
      <alignment/>
      <protection/>
    </xf>
    <xf numFmtId="168" fontId="2" fillId="0" borderId="0" xfId="74" applyNumberFormat="1" applyFont="1" applyBorder="1" applyAlignment="1" applyProtection="1">
      <alignment horizontal="center"/>
      <protection/>
    </xf>
    <xf numFmtId="0" fontId="2" fillId="0" borderId="0" xfId="74" applyNumberFormat="1" applyFont="1" applyBorder="1" applyProtection="1">
      <alignment/>
      <protection/>
    </xf>
    <xf numFmtId="3" fontId="0" fillId="0" borderId="11" xfId="0" applyNumberFormat="1" applyFont="1" applyBorder="1" applyAlignment="1" applyProtection="1">
      <alignment/>
      <protection/>
    </xf>
    <xf numFmtId="168" fontId="0" fillId="0" borderId="0" xfId="78" applyFont="1" applyAlignment="1">
      <alignment vertical="top" wrapText="1"/>
      <protection/>
    </xf>
    <xf numFmtId="0" fontId="7" fillId="0" borderId="0" xfId="74" applyProtection="1">
      <alignment/>
      <protection/>
    </xf>
    <xf numFmtId="0" fontId="7" fillId="0" borderId="0" xfId="74">
      <alignment/>
      <protection/>
    </xf>
    <xf numFmtId="0" fontId="79" fillId="40" borderId="0" xfId="75" applyFont="1" applyFill="1" applyAlignment="1" applyProtection="1">
      <alignment/>
      <protection/>
    </xf>
    <xf numFmtId="0" fontId="10" fillId="0" borderId="0" xfId="75" applyFont="1" applyFill="1" applyAlignment="1" applyProtection="1">
      <alignment/>
      <protection/>
    </xf>
    <xf numFmtId="0" fontId="2" fillId="0" borderId="0" xfId="75" applyFont="1" applyFill="1" applyAlignment="1" applyProtection="1">
      <alignment/>
      <protection/>
    </xf>
    <xf numFmtId="0" fontId="12" fillId="0" borderId="0" xfId="75" applyFont="1" applyAlignment="1">
      <alignment/>
      <protection/>
    </xf>
    <xf numFmtId="0" fontId="20" fillId="0" borderId="0" xfId="75" applyFont="1" applyAlignment="1" applyProtection="1">
      <alignment horizontal="right"/>
      <protection/>
    </xf>
    <xf numFmtId="0" fontId="21" fillId="0" borderId="0" xfId="75" applyFont="1" applyAlignment="1" applyProtection="1">
      <alignment horizontal="center"/>
      <protection/>
    </xf>
    <xf numFmtId="0" fontId="21" fillId="0" borderId="0" xfId="75" applyFont="1" applyFill="1" applyAlignment="1" applyProtection="1">
      <alignment horizontal="right"/>
      <protection/>
    </xf>
    <xf numFmtId="0" fontId="21" fillId="0" borderId="0" xfId="75" applyFont="1" applyFill="1" applyAlignment="1" applyProtection="1">
      <alignment horizontal="center"/>
      <protection/>
    </xf>
    <xf numFmtId="0" fontId="21" fillId="0" borderId="0" xfId="75" applyFont="1" applyAlignment="1" applyProtection="1">
      <alignment horizontal="right"/>
      <protection/>
    </xf>
    <xf numFmtId="0" fontId="20" fillId="0" borderId="0" xfId="75" applyFont="1" applyFill="1" applyAlignment="1" applyProtection="1">
      <alignment/>
      <protection/>
    </xf>
    <xf numFmtId="0" fontId="21" fillId="0" borderId="0" xfId="75" applyFont="1" applyAlignment="1">
      <alignment horizontal="center"/>
      <protection/>
    </xf>
    <xf numFmtId="0" fontId="20" fillId="0" borderId="0" xfId="75" applyFont="1" applyAlignment="1">
      <alignment horizontal="right"/>
      <protection/>
    </xf>
    <xf numFmtId="0" fontId="20" fillId="0" borderId="0" xfId="75" applyFont="1" applyAlignment="1" applyProtection="1">
      <alignment/>
      <protection/>
    </xf>
    <xf numFmtId="0" fontId="21" fillId="0" borderId="11" xfId="75" applyFont="1" applyFill="1" applyBorder="1" applyAlignment="1" applyProtection="1">
      <alignment horizontal="center"/>
      <protection/>
    </xf>
    <xf numFmtId="0" fontId="21" fillId="0" borderId="0" xfId="75" applyFont="1" applyFill="1" applyBorder="1" applyAlignment="1" applyProtection="1">
      <alignment horizontal="center"/>
      <protection/>
    </xf>
    <xf numFmtId="0" fontId="21" fillId="0" borderId="0" xfId="75" applyFont="1" applyBorder="1" applyAlignment="1">
      <alignment horizontal="center"/>
      <protection/>
    </xf>
    <xf numFmtId="0" fontId="20" fillId="0" borderId="0" xfId="75" applyFont="1" applyAlignment="1">
      <alignment/>
      <protection/>
    </xf>
    <xf numFmtId="3" fontId="2" fillId="0" borderId="0" xfId="75" applyNumberFormat="1" applyFont="1" applyAlignment="1" applyProtection="1">
      <alignment/>
      <protection/>
    </xf>
    <xf numFmtId="0" fontId="0" fillId="0" borderId="0" xfId="75" applyFont="1" applyAlignment="1">
      <alignment/>
      <protection/>
    </xf>
    <xf numFmtId="7" fontId="0" fillId="0" borderId="0" xfId="75" applyNumberFormat="1" applyFont="1" applyAlignment="1">
      <alignment/>
      <protection/>
    </xf>
    <xf numFmtId="0" fontId="2" fillId="0" borderId="0" xfId="75" applyFont="1" applyAlignment="1" applyProtection="1">
      <alignment/>
      <protection/>
    </xf>
    <xf numFmtId="3" fontId="12" fillId="0" borderId="0" xfId="0" applyNumberFormat="1" applyFont="1" applyAlignment="1">
      <alignment/>
    </xf>
    <xf numFmtId="7" fontId="0" fillId="0" borderId="0" xfId="75" applyNumberFormat="1" applyFont="1" applyFill="1" applyAlignment="1" applyProtection="1">
      <alignment/>
      <protection/>
    </xf>
    <xf numFmtId="7" fontId="81" fillId="0" borderId="0" xfId="75" applyNumberFormat="1" applyFont="1" applyFill="1" applyAlignment="1" applyProtection="1">
      <alignment/>
      <protection/>
    </xf>
    <xf numFmtId="181" fontId="0" fillId="0" borderId="0" xfId="75" applyNumberFormat="1" applyFont="1" applyFill="1" applyAlignment="1" applyProtection="1">
      <alignment/>
      <protection/>
    </xf>
    <xf numFmtId="182" fontId="0" fillId="0" borderId="0" xfId="75" applyNumberFormat="1" applyFont="1" applyFill="1" applyAlignment="1" applyProtection="1">
      <alignment/>
      <protection/>
    </xf>
    <xf numFmtId="182" fontId="81" fillId="0" borderId="0" xfId="75" applyNumberFormat="1" applyFont="1" applyFill="1" applyAlignment="1" applyProtection="1">
      <alignment/>
      <protection/>
    </xf>
    <xf numFmtId="0" fontId="0" fillId="0" borderId="0" xfId="75" applyFont="1" applyFill="1" applyAlignment="1">
      <alignment/>
      <protection/>
    </xf>
    <xf numFmtId="0" fontId="12" fillId="0" borderId="0" xfId="75" applyFont="1" applyFill="1" applyAlignment="1">
      <alignment/>
      <protection/>
    </xf>
    <xf numFmtId="0" fontId="0" fillId="41" borderId="0" xfId="75" applyFont="1" applyFill="1" applyAlignment="1" applyProtection="1">
      <alignment/>
      <protection/>
    </xf>
    <xf numFmtId="182" fontId="0" fillId="41" borderId="0" xfId="75" applyNumberFormat="1" applyFont="1" applyFill="1" applyAlignment="1" applyProtection="1">
      <alignment horizontal="right"/>
      <protection/>
    </xf>
    <xf numFmtId="182" fontId="0" fillId="0" borderId="0" xfId="75" applyNumberFormat="1" applyFont="1" applyFill="1" applyAlignment="1" applyProtection="1">
      <alignment horizontal="right"/>
      <protection/>
    </xf>
    <xf numFmtId="0" fontId="12" fillId="41" borderId="0" xfId="75" applyFont="1" applyFill="1" applyAlignment="1">
      <alignment/>
      <protection/>
    </xf>
    <xf numFmtId="0" fontId="0" fillId="41" borderId="0" xfId="75" applyFont="1" applyFill="1" applyAlignment="1">
      <alignment/>
      <protection/>
    </xf>
    <xf numFmtId="0" fontId="2" fillId="41" borderId="12" xfId="75" applyFont="1" applyFill="1" applyBorder="1" applyAlignment="1">
      <alignment horizontal="center"/>
      <protection/>
    </xf>
    <xf numFmtId="0" fontId="2" fillId="41" borderId="0" xfId="75" applyFont="1" applyFill="1" applyBorder="1" applyAlignment="1">
      <alignment horizontal="center"/>
      <protection/>
    </xf>
    <xf numFmtId="0" fontId="2" fillId="0" borderId="0" xfId="75" applyFont="1" applyBorder="1" applyAlignment="1">
      <alignment horizontal="center"/>
      <protection/>
    </xf>
    <xf numFmtId="0" fontId="0" fillId="0" borderId="0" xfId="75" applyFont="1" applyBorder="1" applyAlignment="1">
      <alignment/>
      <protection/>
    </xf>
    <xf numFmtId="0" fontId="10" fillId="41" borderId="0" xfId="75" applyFont="1" applyFill="1" applyAlignment="1" applyProtection="1">
      <alignment horizontal="right"/>
      <protection/>
    </xf>
    <xf numFmtId="9" fontId="81" fillId="0" borderId="12" xfId="75" applyNumberFormat="1" applyFont="1" applyFill="1" applyBorder="1" applyAlignment="1" applyProtection="1">
      <alignment horizontal="center"/>
      <protection locked="0"/>
    </xf>
    <xf numFmtId="0" fontId="2" fillId="41" borderId="0" xfId="75" applyFont="1" applyFill="1" applyAlignment="1">
      <alignment/>
      <protection/>
    </xf>
    <xf numFmtId="9" fontId="81" fillId="41" borderId="0" xfId="75" applyNumberFormat="1" applyFont="1" applyFill="1" applyBorder="1" applyAlignment="1">
      <alignment horizontal="center"/>
      <protection/>
    </xf>
    <xf numFmtId="9" fontId="2" fillId="0" borderId="0" xfId="75" applyNumberFormat="1" applyFont="1" applyBorder="1" applyAlignment="1">
      <alignment horizontal="center"/>
      <protection/>
    </xf>
    <xf numFmtId="0" fontId="12" fillId="0" borderId="0" xfId="75" applyFont="1" applyBorder="1" applyAlignment="1">
      <alignment/>
      <protection/>
    </xf>
    <xf numFmtId="0" fontId="2" fillId="0" borderId="0" xfId="75" applyFont="1" applyBorder="1" applyAlignment="1">
      <alignment/>
      <protection/>
    </xf>
    <xf numFmtId="177" fontId="81" fillId="0" borderId="12" xfId="75" applyNumberFormat="1" applyFont="1" applyFill="1" applyBorder="1" applyAlignment="1" applyProtection="1">
      <alignment horizontal="center"/>
      <protection locked="0"/>
    </xf>
    <xf numFmtId="0" fontId="0" fillId="0" borderId="0" xfId="75" applyFont="1" applyFill="1" applyAlignment="1" applyProtection="1">
      <alignment/>
      <protection/>
    </xf>
    <xf numFmtId="0" fontId="2" fillId="0" borderId="0" xfId="75" applyFont="1" applyAlignment="1">
      <alignment horizontal="right"/>
      <protection/>
    </xf>
    <xf numFmtId="0" fontId="2" fillId="0" borderId="0" xfId="75" applyFont="1" applyAlignment="1">
      <alignment/>
      <protection/>
    </xf>
    <xf numFmtId="0" fontId="10" fillId="0" borderId="0" xfId="75" applyFont="1" applyAlignment="1">
      <alignment/>
      <protection/>
    </xf>
    <xf numFmtId="183" fontId="0" fillId="0" borderId="0" xfId="75" applyNumberFormat="1" applyFont="1" applyFill="1" applyAlignment="1" applyProtection="1">
      <alignment/>
      <protection/>
    </xf>
    <xf numFmtId="0" fontId="0" fillId="0" borderId="0" xfId="75" applyFont="1" applyAlignment="1" applyProtection="1">
      <alignment/>
      <protection/>
    </xf>
    <xf numFmtId="0" fontId="22" fillId="0" borderId="0" xfId="75" applyFont="1" applyFill="1" applyAlignment="1" applyProtection="1">
      <alignment/>
      <protection/>
    </xf>
    <xf numFmtId="7" fontId="2" fillId="0" borderId="0" xfId="75" applyNumberFormat="1" applyFont="1" applyFill="1" applyAlignment="1" applyProtection="1">
      <alignment/>
      <protection/>
    </xf>
    <xf numFmtId="0" fontId="0" fillId="0" borderId="0" xfId="75" applyFont="1" applyFill="1" applyAlignment="1" applyProtection="1">
      <alignment horizontal="left"/>
      <protection/>
    </xf>
    <xf numFmtId="166" fontId="0" fillId="0" borderId="0" xfId="75" applyNumberFormat="1" applyFont="1" applyFill="1" applyAlignment="1" applyProtection="1">
      <alignment/>
      <protection/>
    </xf>
    <xf numFmtId="184" fontId="0" fillId="0" borderId="0" xfId="75" applyNumberFormat="1" applyFont="1" applyFill="1" applyAlignment="1" applyProtection="1">
      <alignment/>
      <protection/>
    </xf>
    <xf numFmtId="0" fontId="11" fillId="0" borderId="0" xfId="75" applyFont="1" applyFill="1" applyAlignment="1">
      <alignment horizontal="right"/>
      <protection/>
    </xf>
    <xf numFmtId="168" fontId="0" fillId="0" borderId="0" xfId="75" applyNumberFormat="1" applyFont="1" applyFill="1" applyAlignment="1">
      <alignment/>
      <protection/>
    </xf>
    <xf numFmtId="168" fontId="6" fillId="0" borderId="0" xfId="50" applyNumberFormat="1" applyFill="1">
      <alignment/>
      <protection locked="0"/>
    </xf>
    <xf numFmtId="0" fontId="2" fillId="0" borderId="0" xfId="75" applyFont="1" applyFill="1" applyAlignment="1">
      <alignment/>
      <protection/>
    </xf>
    <xf numFmtId="168" fontId="2" fillId="0" borderId="0" xfId="75" applyNumberFormat="1" applyFont="1" applyFill="1" applyAlignment="1">
      <alignment/>
      <protection/>
    </xf>
    <xf numFmtId="0" fontId="7" fillId="0" borderId="0" xfId="75" applyFont="1" applyFill="1" applyAlignment="1" applyProtection="1">
      <alignment/>
      <protection/>
    </xf>
    <xf numFmtId="0" fontId="7" fillId="0" borderId="0" xfId="75" applyFont="1" applyFill="1" applyAlignment="1">
      <alignment/>
      <protection/>
    </xf>
    <xf numFmtId="0" fontId="7" fillId="0" borderId="0" xfId="75" applyFont="1" applyAlignment="1">
      <alignment/>
      <protection/>
    </xf>
    <xf numFmtId="173" fontId="3" fillId="0" borderId="0" xfId="0" applyNumberFormat="1" applyFont="1" applyAlignment="1" applyProtection="1">
      <alignment/>
      <protection/>
    </xf>
    <xf numFmtId="168" fontId="81" fillId="0" borderId="13" xfId="0" applyNumberFormat="1" applyFont="1" applyBorder="1" applyAlignment="1" applyProtection="1">
      <alignment/>
      <protection locked="0"/>
    </xf>
    <xf numFmtId="0" fontId="0" fillId="0" borderId="0" xfId="0" applyFont="1" applyBorder="1" applyAlignment="1" applyProtection="1">
      <alignment/>
      <protection/>
    </xf>
    <xf numFmtId="173" fontId="0" fillId="0" borderId="0" xfId="52" applyNumberFormat="1" applyFont="1" applyBorder="1" applyProtection="1">
      <alignment/>
      <protection/>
    </xf>
    <xf numFmtId="3" fontId="79" fillId="0" borderId="0" xfId="0" applyNumberFormat="1" applyFont="1" applyFill="1" applyBorder="1" applyAlignment="1">
      <alignment horizontal="center"/>
    </xf>
    <xf numFmtId="179" fontId="0" fillId="0" borderId="0" xfId="0" applyNumberFormat="1" applyFont="1" applyFill="1" applyAlignment="1">
      <alignment horizontal="right"/>
    </xf>
    <xf numFmtId="185" fontId="0" fillId="0" borderId="0" xfId="0" applyNumberFormat="1" applyFont="1" applyAlignment="1">
      <alignment/>
    </xf>
    <xf numFmtId="185" fontId="0" fillId="0" borderId="0" xfId="0" applyNumberFormat="1" applyFont="1" applyFill="1" applyAlignment="1">
      <alignment/>
    </xf>
    <xf numFmtId="0" fontId="2" fillId="0" borderId="0" xfId="0" applyFont="1" applyBorder="1" applyAlignment="1" applyProtection="1">
      <alignment/>
      <protection/>
    </xf>
    <xf numFmtId="168" fontId="2" fillId="0" borderId="0" xfId="48" applyNumberFormat="1" applyFont="1" applyBorder="1" applyProtection="1">
      <alignment/>
      <protection/>
    </xf>
    <xf numFmtId="173" fontId="2" fillId="0" borderId="0" xfId="44" applyNumberFormat="1" applyFont="1" applyBorder="1" applyProtection="1">
      <alignment/>
      <protection/>
    </xf>
    <xf numFmtId="3" fontId="84" fillId="40" borderId="0" xfId="0" applyNumberFormat="1" applyFont="1" applyFill="1" applyAlignment="1">
      <alignment/>
    </xf>
    <xf numFmtId="3" fontId="79" fillId="40" borderId="0" xfId="0" applyNumberFormat="1" applyFont="1" applyFill="1" applyBorder="1" applyAlignment="1" applyProtection="1">
      <alignment/>
      <protection/>
    </xf>
    <xf numFmtId="165" fontId="79" fillId="40" borderId="0" xfId="44" applyFont="1" applyFill="1" applyBorder="1">
      <alignment/>
      <protection/>
    </xf>
    <xf numFmtId="166" fontId="11" fillId="0" borderId="0" xfId="0" applyNumberFormat="1" applyFont="1" applyBorder="1" applyAlignment="1" applyProtection="1">
      <alignment horizontal="right"/>
      <protection/>
    </xf>
    <xf numFmtId="164" fontId="11" fillId="0" borderId="0" xfId="0" applyNumberFormat="1" applyFont="1" applyBorder="1" applyAlignment="1" applyProtection="1">
      <alignment horizontal="right"/>
      <protection/>
    </xf>
    <xf numFmtId="3" fontId="81" fillId="0" borderId="13" xfId="0" applyNumberFormat="1" applyFont="1" applyBorder="1" applyAlignment="1" applyProtection="1">
      <alignment/>
      <protection locked="0"/>
    </xf>
    <xf numFmtId="168" fontId="2" fillId="0" borderId="11" xfId="0" applyNumberFormat="1" applyFont="1" applyBorder="1" applyAlignment="1" applyProtection="1">
      <alignment/>
      <protection/>
    </xf>
    <xf numFmtId="3" fontId="2" fillId="0" borderId="0" xfId="0" applyNumberFormat="1" applyFont="1" applyAlignment="1">
      <alignment/>
    </xf>
    <xf numFmtId="177" fontId="2" fillId="0" borderId="14" xfId="0" applyNumberFormat="1" applyFont="1" applyBorder="1" applyAlignment="1" applyProtection="1">
      <alignment/>
      <protection/>
    </xf>
    <xf numFmtId="3" fontId="12" fillId="0" borderId="0" xfId="0" applyNumberFormat="1" applyFont="1" applyAlignment="1" applyProtection="1">
      <alignment/>
      <protection/>
    </xf>
    <xf numFmtId="168" fontId="2" fillId="0" borderId="0" xfId="48" applyNumberFormat="1" applyFont="1">
      <alignment/>
      <protection/>
    </xf>
    <xf numFmtId="0" fontId="85" fillId="0" borderId="0" xfId="0" applyFont="1" applyBorder="1" applyAlignment="1" applyProtection="1">
      <alignment/>
      <protection/>
    </xf>
    <xf numFmtId="0" fontId="86" fillId="0" borderId="0" xfId="0" applyFont="1" applyBorder="1" applyAlignment="1" applyProtection="1">
      <alignment horizontal="right"/>
      <protection/>
    </xf>
    <xf numFmtId="0" fontId="0" fillId="0" borderId="11" xfId="0" applyBorder="1" applyAlignment="1">
      <alignment/>
    </xf>
    <xf numFmtId="0" fontId="0" fillId="0" borderId="0" xfId="0" applyBorder="1" applyAlignment="1">
      <alignment/>
    </xf>
    <xf numFmtId="0" fontId="0" fillId="0" borderId="0" xfId="0" applyAlignment="1">
      <alignment/>
    </xf>
    <xf numFmtId="178" fontId="0" fillId="0" borderId="0" xfId="0" applyNumberFormat="1" applyAlignment="1">
      <alignment/>
    </xf>
    <xf numFmtId="168" fontId="0" fillId="0" borderId="0" xfId="0" applyNumberFormat="1" applyAlignment="1">
      <alignment/>
    </xf>
    <xf numFmtId="0" fontId="85" fillId="0" borderId="15" xfId="0" applyFont="1" applyBorder="1" applyAlignment="1" applyProtection="1">
      <alignment horizontal="left" vertical="center"/>
      <protection/>
    </xf>
    <xf numFmtId="0" fontId="86" fillId="0" borderId="15" xfId="0" applyFont="1" applyBorder="1" applyAlignment="1" applyProtection="1">
      <alignment/>
      <protection/>
    </xf>
    <xf numFmtId="0" fontId="0" fillId="0" borderId="15" xfId="0" applyBorder="1" applyAlignment="1" applyProtection="1">
      <alignment/>
      <protection/>
    </xf>
    <xf numFmtId="0" fontId="87" fillId="0" borderId="0" xfId="0" applyFont="1" applyBorder="1" applyAlignment="1">
      <alignment horizontal="left" vertical="top"/>
    </xf>
    <xf numFmtId="3" fontId="88" fillId="0" borderId="0" xfId="69" applyNumberFormat="1" applyFont="1" applyAlignment="1" applyProtection="1">
      <alignment/>
      <protection/>
    </xf>
    <xf numFmtId="0" fontId="21" fillId="0" borderId="0" xfId="0" applyFont="1" applyAlignment="1">
      <alignment/>
    </xf>
    <xf numFmtId="168" fontId="88" fillId="0" borderId="0" xfId="69" applyNumberFormat="1" applyFont="1" applyAlignment="1" applyProtection="1">
      <alignment vertical="top"/>
      <protection/>
    </xf>
    <xf numFmtId="168" fontId="88" fillId="0" borderId="0" xfId="69" applyNumberFormat="1" applyFont="1" applyFill="1" applyAlignment="1" applyProtection="1">
      <alignment vertical="top"/>
      <protection/>
    </xf>
    <xf numFmtId="168" fontId="20" fillId="0" borderId="0" xfId="78" applyFont="1" applyFill="1">
      <alignment vertical="top"/>
      <protection/>
    </xf>
    <xf numFmtId="0" fontId="20" fillId="0" borderId="0" xfId="0" applyFont="1" applyAlignment="1">
      <alignment/>
    </xf>
    <xf numFmtId="0" fontId="20" fillId="0" borderId="0" xfId="0" applyFont="1" applyFill="1" applyAlignment="1">
      <alignment/>
    </xf>
    <xf numFmtId="168" fontId="20" fillId="0" borderId="0" xfId="78" applyFont="1">
      <alignment vertical="top"/>
      <protection/>
    </xf>
    <xf numFmtId="0" fontId="85" fillId="0" borderId="11" xfId="0" applyFont="1" applyBorder="1" applyAlignment="1" applyProtection="1">
      <alignment horizontal="right"/>
      <protection/>
    </xf>
    <xf numFmtId="0" fontId="0" fillId="0" borderId="0" xfId="0" applyBorder="1" applyAlignment="1" applyProtection="1">
      <alignment/>
      <protection/>
    </xf>
    <xf numFmtId="38" fontId="6" fillId="0" borderId="0" xfId="54">
      <alignment/>
      <protection locked="0"/>
    </xf>
    <xf numFmtId="168" fontId="6" fillId="0" borderId="0" xfId="50" applyNumberFormat="1">
      <alignment/>
      <protection locked="0"/>
    </xf>
    <xf numFmtId="3" fontId="6" fillId="0" borderId="0" xfId="0" applyNumberFormat="1" applyFont="1" applyAlignment="1" applyProtection="1">
      <alignment/>
      <protection/>
    </xf>
    <xf numFmtId="3" fontId="3" fillId="0" borderId="0" xfId="0" applyNumberFormat="1" applyFont="1" applyFill="1" applyAlignment="1" applyProtection="1">
      <alignment/>
      <protection/>
    </xf>
    <xf numFmtId="164" fontId="11"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168" fontId="2" fillId="0" borderId="0" xfId="0" applyNumberFormat="1" applyFont="1" applyFill="1" applyBorder="1" applyAlignment="1" applyProtection="1">
      <alignment/>
      <protection/>
    </xf>
    <xf numFmtId="173" fontId="2" fillId="0" borderId="0" xfId="52" applyNumberFormat="1" applyFont="1" applyFill="1">
      <alignment/>
      <protection/>
    </xf>
    <xf numFmtId="177" fontId="2" fillId="0" borderId="0" xfId="0" applyNumberFormat="1" applyFont="1" applyFill="1" applyAlignment="1">
      <alignment/>
    </xf>
    <xf numFmtId="3" fontId="0" fillId="0" borderId="0" xfId="0" applyNumberFormat="1" applyFont="1" applyFill="1" applyBorder="1" applyAlignment="1" applyProtection="1">
      <alignment/>
      <protection/>
    </xf>
    <xf numFmtId="3" fontId="12" fillId="0" borderId="0" xfId="0" applyNumberFormat="1" applyFont="1" applyFill="1" applyAlignment="1">
      <alignment/>
    </xf>
    <xf numFmtId="3" fontId="11" fillId="0" borderId="0" xfId="0" applyNumberFormat="1" applyFont="1" applyFill="1" applyAlignment="1" applyProtection="1">
      <alignment horizontal="center"/>
      <protection/>
    </xf>
    <xf numFmtId="3" fontId="0" fillId="0" borderId="0" xfId="0" applyNumberFormat="1" applyFill="1" applyAlignment="1" applyProtection="1">
      <alignment/>
      <protection/>
    </xf>
    <xf numFmtId="177" fontId="6" fillId="0" borderId="0" xfId="0" applyNumberFormat="1" applyFont="1" applyFill="1" applyAlignment="1" applyProtection="1">
      <alignment/>
      <protection/>
    </xf>
    <xf numFmtId="38" fontId="2" fillId="0" borderId="0" xfId="54" applyFont="1" applyFill="1" applyProtection="1">
      <alignment/>
      <protection/>
    </xf>
    <xf numFmtId="3" fontId="6" fillId="0" borderId="0" xfId="0" applyNumberFormat="1" applyFont="1" applyFill="1" applyAlignment="1" applyProtection="1">
      <alignment/>
      <protection/>
    </xf>
    <xf numFmtId="167" fontId="2" fillId="0" borderId="0" xfId="50" applyFont="1" applyFill="1" applyProtection="1">
      <alignment/>
      <protection/>
    </xf>
    <xf numFmtId="166" fontId="6" fillId="0" borderId="0" xfId="0" applyNumberFormat="1" applyFont="1" applyFill="1" applyAlignment="1" applyProtection="1">
      <alignment wrapText="1"/>
      <protection/>
    </xf>
    <xf numFmtId="168" fontId="0" fillId="0" borderId="0" xfId="78" applyBorder="1">
      <alignment vertical="top"/>
      <protection/>
    </xf>
    <xf numFmtId="168" fontId="26" fillId="0" borderId="0" xfId="78" applyFont="1" applyBorder="1" applyAlignment="1">
      <alignment vertical="center"/>
      <protection/>
    </xf>
    <xf numFmtId="168" fontId="0" fillId="0" borderId="0" xfId="78" applyBorder="1" applyAlignment="1">
      <alignment vertical="center"/>
      <protection/>
    </xf>
    <xf numFmtId="168" fontId="0" fillId="0" borderId="0" xfId="78" applyAlignment="1">
      <alignment vertical="center"/>
      <protection/>
    </xf>
    <xf numFmtId="168" fontId="10" fillId="0" borderId="0" xfId="78" applyFont="1" applyAlignment="1">
      <alignment horizontal="right" vertical="top"/>
      <protection/>
    </xf>
    <xf numFmtId="168" fontId="10" fillId="0" borderId="0" xfId="78" applyFont="1">
      <alignment vertical="top"/>
      <protection/>
    </xf>
    <xf numFmtId="168" fontId="0" fillId="0" borderId="0" xfId="78" applyFont="1" applyFill="1">
      <alignment vertical="top"/>
      <protection/>
    </xf>
    <xf numFmtId="168" fontId="29" fillId="0" borderId="0" xfId="78" applyFont="1" applyAlignment="1" applyProtection="1">
      <alignment vertical="top"/>
      <protection locked="0"/>
    </xf>
    <xf numFmtId="3" fontId="0" fillId="0" borderId="0" xfId="77" applyNumberFormat="1" applyFont="1" applyAlignment="1" applyProtection="1">
      <alignment vertical="top"/>
      <protection locked="0"/>
    </xf>
    <xf numFmtId="3" fontId="0" fillId="0" borderId="0" xfId="77" applyNumberFormat="1" applyFont="1" applyFill="1" applyAlignment="1" applyProtection="1">
      <alignment vertical="top"/>
      <protection locked="0"/>
    </xf>
    <xf numFmtId="0" fontId="0" fillId="0" borderId="0" xfId="78" applyNumberFormat="1" applyFont="1" applyAlignment="1">
      <alignment horizontal="left" vertical="justify" wrapText="1"/>
      <protection/>
    </xf>
    <xf numFmtId="3" fontId="12" fillId="0" borderId="0" xfId="77" applyNumberFormat="1" applyFont="1" applyAlignment="1">
      <alignment vertical="top"/>
      <protection/>
    </xf>
    <xf numFmtId="168" fontId="12" fillId="0" borderId="0" xfId="78" applyFont="1" applyAlignment="1">
      <alignment vertical="top"/>
      <protection/>
    </xf>
    <xf numFmtId="168" fontId="12" fillId="0" borderId="0" xfId="78" applyFont="1" applyAlignment="1">
      <alignment vertical="center"/>
      <protection/>
    </xf>
    <xf numFmtId="0" fontId="0" fillId="0" borderId="0" xfId="77" applyAlignment="1">
      <alignment vertical="top"/>
      <protection/>
    </xf>
    <xf numFmtId="168" fontId="0" fillId="0" borderId="0" xfId="0" applyNumberFormat="1" applyFont="1" applyAlignment="1" applyProtection="1">
      <alignment/>
      <protection/>
    </xf>
    <xf numFmtId="168" fontId="3" fillId="0" borderId="0" xfId="0" applyNumberFormat="1" applyFont="1" applyAlignment="1" applyProtection="1">
      <alignment/>
      <protection/>
    </xf>
    <xf numFmtId="168" fontId="3" fillId="0" borderId="0" xfId="58" applyNumberFormat="1" applyFont="1" applyFill="1" applyBorder="1">
      <alignment/>
      <protection/>
    </xf>
    <xf numFmtId="0" fontId="3" fillId="0" borderId="0" xfId="0" applyFont="1" applyFill="1" applyAlignment="1" applyProtection="1">
      <alignment/>
      <protection/>
    </xf>
    <xf numFmtId="173" fontId="3" fillId="0" borderId="0" xfId="52" applyNumberFormat="1" applyFont="1" applyFill="1" applyBorder="1">
      <alignment/>
      <protection/>
    </xf>
    <xf numFmtId="173" fontId="3" fillId="0" borderId="0" xfId="0" applyNumberFormat="1" applyFont="1" applyFill="1" applyAlignment="1" applyProtection="1">
      <alignment/>
      <protection/>
    </xf>
    <xf numFmtId="168" fontId="81" fillId="0" borderId="13" xfId="0" applyNumberFormat="1" applyFont="1" applyFill="1" applyBorder="1" applyAlignment="1" applyProtection="1">
      <alignment/>
      <protection locked="0"/>
    </xf>
    <xf numFmtId="0" fontId="0" fillId="0" borderId="0" xfId="0" applyFont="1" applyFill="1" applyBorder="1" applyAlignment="1" applyProtection="1">
      <alignment/>
      <protection/>
    </xf>
    <xf numFmtId="186"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168" fontId="0" fillId="0" borderId="0" xfId="48" applyNumberFormat="1" applyFill="1">
      <alignment/>
      <protection/>
    </xf>
    <xf numFmtId="3" fontId="3" fillId="0" borderId="0" xfId="48" applyNumberFormat="1" applyFont="1" applyFill="1" applyAlignment="1">
      <alignment horizontal="right"/>
      <protection/>
    </xf>
    <xf numFmtId="4" fontId="3" fillId="0" borderId="0" xfId="52" applyNumberFormat="1" applyFont="1" applyFill="1">
      <alignment/>
      <protection/>
    </xf>
    <xf numFmtId="168" fontId="0" fillId="0" borderId="0" xfId="0" applyNumberFormat="1" applyFont="1" applyFill="1" applyAlignment="1">
      <alignment/>
    </xf>
    <xf numFmtId="173" fontId="0" fillId="0" borderId="0" xfId="48" applyNumberFormat="1" applyFill="1">
      <alignment/>
      <protection/>
    </xf>
    <xf numFmtId="4" fontId="3" fillId="0" borderId="0" xfId="48" applyNumberFormat="1" applyFont="1" applyFill="1">
      <alignment/>
      <protection/>
    </xf>
    <xf numFmtId="0" fontId="0" fillId="0" borderId="0" xfId="0" applyFont="1" applyFill="1" applyAlignment="1">
      <alignment/>
    </xf>
    <xf numFmtId="0" fontId="81" fillId="0" borderId="0" xfId="0" applyFont="1" applyFill="1" applyAlignment="1" applyProtection="1">
      <alignment/>
      <protection locked="0"/>
    </xf>
    <xf numFmtId="189" fontId="81" fillId="0" borderId="0" xfId="0" applyNumberFormat="1" applyFont="1" applyFill="1" applyAlignment="1" applyProtection="1">
      <alignment/>
      <protection locked="0"/>
    </xf>
    <xf numFmtId="167" fontId="6" fillId="0" borderId="0" xfId="50" applyFill="1" applyProtection="1">
      <alignment/>
      <protection locked="0"/>
    </xf>
    <xf numFmtId="8" fontId="2" fillId="0" borderId="0" xfId="0" applyNumberFormat="1" applyFont="1" applyFill="1" applyAlignment="1" applyProtection="1">
      <alignment/>
      <protection/>
    </xf>
    <xf numFmtId="8" fontId="11" fillId="0" borderId="0" xfId="0" applyNumberFormat="1" applyFont="1" applyFill="1" applyAlignment="1" applyProtection="1">
      <alignment/>
      <protection/>
    </xf>
    <xf numFmtId="190" fontId="2" fillId="0" borderId="0" xfId="50" applyNumberFormat="1" applyFont="1" applyFill="1" applyProtection="1">
      <alignment/>
      <protection/>
    </xf>
    <xf numFmtId="3" fontId="0" fillId="0" borderId="0" xfId="52" applyNumberFormat="1">
      <alignment/>
      <protection/>
    </xf>
    <xf numFmtId="4" fontId="0" fillId="0" borderId="0" xfId="52" applyNumberFormat="1">
      <alignment/>
      <protection/>
    </xf>
    <xf numFmtId="168" fontId="0" fillId="0" borderId="0" xfId="48" applyNumberFormat="1">
      <alignment/>
      <protection/>
    </xf>
    <xf numFmtId="4" fontId="3" fillId="0" borderId="0" xfId="52" applyNumberFormat="1" applyFont="1">
      <alignment/>
      <protection/>
    </xf>
    <xf numFmtId="168" fontId="0" fillId="0" borderId="0" xfId="0" applyNumberFormat="1" applyFont="1" applyAlignment="1">
      <alignment/>
    </xf>
    <xf numFmtId="3" fontId="0" fillId="0" borderId="0" xfId="48" applyNumberFormat="1">
      <alignment/>
      <protection/>
    </xf>
    <xf numFmtId="38" fontId="0" fillId="0" borderId="0" xfId="52">
      <alignment/>
      <protection/>
    </xf>
    <xf numFmtId="168" fontId="6" fillId="0" borderId="0" xfId="0" applyNumberFormat="1" applyFont="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168" fontId="2" fillId="0" borderId="0" xfId="48" applyNumberFormat="1" applyFont="1" applyFill="1" applyProtection="1">
      <alignment/>
      <protection/>
    </xf>
    <xf numFmtId="0" fontId="2" fillId="0" borderId="0" xfId="0" applyFont="1" applyFill="1" applyAlignment="1" applyProtection="1">
      <alignment/>
      <protection/>
    </xf>
    <xf numFmtId="3" fontId="0" fillId="0" borderId="11" xfId="0" applyNumberFormat="1" applyFill="1" applyBorder="1" applyAlignment="1" applyProtection="1">
      <alignment/>
      <protection/>
    </xf>
    <xf numFmtId="40" fontId="6" fillId="0" borderId="0" xfId="59" applyFill="1" applyProtection="1">
      <alignment/>
      <protection locked="0"/>
    </xf>
    <xf numFmtId="173" fontId="2" fillId="0" borderId="0" xfId="0" applyNumberFormat="1" applyFont="1" applyAlignment="1" applyProtection="1">
      <alignment/>
      <protection/>
    </xf>
    <xf numFmtId="173" fontId="6" fillId="0" borderId="0" xfId="46" applyNumberFormat="1" applyFill="1" applyBorder="1">
      <alignment/>
      <protection locked="0"/>
    </xf>
    <xf numFmtId="173" fontId="18" fillId="0" borderId="0" xfId="46" applyNumberFormat="1" applyFont="1" applyFill="1" applyBorder="1">
      <alignment/>
      <protection locked="0"/>
    </xf>
    <xf numFmtId="3" fontId="0" fillId="0" borderId="0" xfId="0" applyNumberFormat="1" applyFill="1" applyBorder="1" applyAlignment="1" applyProtection="1">
      <alignment/>
      <protection/>
    </xf>
    <xf numFmtId="173" fontId="6" fillId="0" borderId="0" xfId="46" applyNumberFormat="1" applyFill="1" applyBorder="1" applyProtection="1">
      <alignment/>
      <protection locked="0"/>
    </xf>
    <xf numFmtId="165" fontId="2" fillId="0" borderId="0" xfId="44" applyFont="1" applyFill="1" applyBorder="1" applyProtection="1">
      <alignment/>
      <protection/>
    </xf>
    <xf numFmtId="165" fontId="6" fillId="0" borderId="0" xfId="46" applyFill="1" applyBorder="1" applyProtection="1">
      <alignment/>
      <protection/>
    </xf>
    <xf numFmtId="165" fontId="0" fillId="0" borderId="0" xfId="44" applyFont="1" applyFill="1" applyBorder="1" applyProtection="1">
      <alignment/>
      <protection/>
    </xf>
    <xf numFmtId="165" fontId="0" fillId="0" borderId="0" xfId="44" applyFill="1" applyBorder="1" applyProtection="1">
      <alignment/>
      <protection/>
    </xf>
    <xf numFmtId="38" fontId="0" fillId="0" borderId="0" xfId="52" applyFont="1" applyProtection="1">
      <alignment/>
      <protection/>
    </xf>
    <xf numFmtId="3" fontId="2" fillId="0" borderId="0" xfId="0" applyNumberFormat="1" applyFont="1" applyAlignment="1" applyProtection="1">
      <alignment horizontal="center"/>
      <protection/>
    </xf>
    <xf numFmtId="168" fontId="2" fillId="0" borderId="0" xfId="48" applyNumberFormat="1" applyFont="1" applyFill="1" applyProtection="1">
      <alignment/>
      <protection/>
    </xf>
    <xf numFmtId="40" fontId="0" fillId="0" borderId="0" xfId="58" applyFont="1" applyProtection="1">
      <alignment/>
      <protection/>
    </xf>
    <xf numFmtId="167" fontId="2" fillId="0" borderId="0" xfId="48" applyFont="1" applyProtection="1">
      <alignment/>
      <protection/>
    </xf>
    <xf numFmtId="168" fontId="2" fillId="0" borderId="0" xfId="58" applyNumberFormat="1" applyFont="1" applyProtection="1">
      <alignment/>
      <protection/>
    </xf>
    <xf numFmtId="173" fontId="2" fillId="0" borderId="0" xfId="52" applyNumberFormat="1" applyFont="1" applyProtection="1">
      <alignment/>
      <protection/>
    </xf>
    <xf numFmtId="168" fontId="0" fillId="0" borderId="0" xfId="58" applyNumberFormat="1" applyFill="1" applyProtection="1">
      <alignment/>
      <protection/>
    </xf>
    <xf numFmtId="168" fontId="0" fillId="0" borderId="0" xfId="58" applyNumberFormat="1" applyFont="1" applyFill="1" applyBorder="1" applyProtection="1">
      <alignment/>
      <protection/>
    </xf>
    <xf numFmtId="168" fontId="3" fillId="0" borderId="0" xfId="58" applyNumberFormat="1" applyFont="1" applyFill="1" applyBorder="1" applyProtection="1">
      <alignment/>
      <protection/>
    </xf>
    <xf numFmtId="168" fontId="0" fillId="0" borderId="0" xfId="0" applyNumberFormat="1" applyFill="1" applyAlignment="1" applyProtection="1">
      <alignment/>
      <protection/>
    </xf>
    <xf numFmtId="168" fontId="0" fillId="0" borderId="0" xfId="60" applyNumberFormat="1" applyAlignment="1">
      <alignment horizontal="right" vertical="justify"/>
      <protection/>
    </xf>
    <xf numFmtId="190" fontId="0" fillId="0" borderId="0" xfId="48" applyNumberFormat="1" applyProtection="1">
      <alignment/>
      <protection/>
    </xf>
    <xf numFmtId="168" fontId="2" fillId="0" borderId="0" xfId="0" applyNumberFormat="1" applyFont="1" applyFill="1" applyBorder="1" applyAlignment="1" applyProtection="1">
      <alignment horizontal="right"/>
      <protection/>
    </xf>
    <xf numFmtId="173" fontId="0" fillId="0" borderId="0" xfId="75" applyNumberFormat="1" applyFont="1" applyFill="1" applyAlignment="1">
      <alignment/>
      <protection/>
    </xf>
    <xf numFmtId="173" fontId="6" fillId="0" borderId="0" xfId="50" applyNumberFormat="1" applyFill="1">
      <alignment/>
      <protection locked="0"/>
    </xf>
    <xf numFmtId="173" fontId="2" fillId="0" borderId="0" xfId="75" applyNumberFormat="1" applyFont="1" applyFill="1" applyAlignment="1">
      <alignment/>
      <protection/>
    </xf>
    <xf numFmtId="0" fontId="0" fillId="0" borderId="0" xfId="74" applyFont="1" applyAlignment="1">
      <alignment horizontal="right"/>
      <protection/>
    </xf>
    <xf numFmtId="3" fontId="0" fillId="0" borderId="0" xfId="0" applyNumberFormat="1" applyFont="1" applyAlignment="1" applyProtection="1">
      <alignment horizontal="right"/>
      <protection/>
    </xf>
    <xf numFmtId="168" fontId="0" fillId="0" borderId="0" xfId="74" applyNumberFormat="1" applyFont="1" applyFill="1" applyBorder="1" applyProtection="1">
      <alignment/>
      <protection/>
    </xf>
    <xf numFmtId="3" fontId="20" fillId="0" borderId="0" xfId="0" applyNumberFormat="1" applyFont="1" applyAlignment="1" applyProtection="1">
      <alignment/>
      <protection/>
    </xf>
    <xf numFmtId="3" fontId="20" fillId="0" borderId="0" xfId="0" applyNumberFormat="1" applyFont="1" applyBorder="1" applyAlignment="1" applyProtection="1">
      <alignment/>
      <protection/>
    </xf>
    <xf numFmtId="3" fontId="2" fillId="0" borderId="0" xfId="0" applyNumberFormat="1" applyFont="1" applyFill="1" applyAlignment="1" applyProtection="1">
      <alignment/>
      <protection/>
    </xf>
    <xf numFmtId="166" fontId="0" fillId="0" borderId="0" xfId="0" applyNumberFormat="1" applyFill="1" applyAlignment="1" applyProtection="1">
      <alignment/>
      <protection/>
    </xf>
    <xf numFmtId="174" fontId="6" fillId="0" borderId="0" xfId="59" applyNumberFormat="1" applyFill="1">
      <alignment/>
      <protection locked="0"/>
    </xf>
    <xf numFmtId="166" fontId="89" fillId="0" borderId="0" xfId="0" applyNumberFormat="1" applyFont="1" applyFill="1" applyAlignment="1" applyProtection="1">
      <alignment/>
      <protection/>
    </xf>
    <xf numFmtId="38" fontId="6" fillId="0" borderId="0" xfId="54" applyFont="1" applyFill="1">
      <alignment/>
      <protection locked="0"/>
    </xf>
    <xf numFmtId="38" fontId="0" fillId="0" borderId="0" xfId="54" applyFont="1" applyFill="1" applyBorder="1" applyProtection="1">
      <alignment/>
      <protection/>
    </xf>
    <xf numFmtId="3" fontId="0" fillId="0" borderId="0" xfId="0" applyNumberFormat="1" applyFont="1" applyFill="1" applyBorder="1" applyAlignment="1">
      <alignment/>
    </xf>
    <xf numFmtId="3" fontId="89" fillId="0" borderId="0" xfId="0" applyNumberFormat="1" applyFont="1" applyFill="1" applyAlignment="1" applyProtection="1">
      <alignment/>
      <protection/>
    </xf>
    <xf numFmtId="177" fontId="6" fillId="0" borderId="11" xfId="0" applyNumberFormat="1" applyFont="1" applyFill="1" applyBorder="1" applyAlignment="1" applyProtection="1">
      <alignment/>
      <protection/>
    </xf>
    <xf numFmtId="166" fontId="89" fillId="0" borderId="0" xfId="0" applyNumberFormat="1" applyFont="1" applyFill="1" applyAlignment="1" applyProtection="1">
      <alignment horizontal="right"/>
      <protection/>
    </xf>
    <xf numFmtId="3" fontId="2" fillId="0" borderId="0" xfId="0" applyNumberFormat="1" applyFont="1" applyFill="1" applyAlignment="1">
      <alignment/>
    </xf>
    <xf numFmtId="3" fontId="81" fillId="0" borderId="0" xfId="0" applyNumberFormat="1" applyFont="1" applyFill="1" applyAlignment="1" applyProtection="1">
      <alignment/>
      <protection/>
    </xf>
    <xf numFmtId="188" fontId="6" fillId="0" borderId="0" xfId="57" applyNumberFormat="1" applyFill="1">
      <alignment/>
      <protection locked="0"/>
    </xf>
    <xf numFmtId="38" fontId="6" fillId="0" borderId="0" xfId="54" applyFill="1" applyProtection="1">
      <alignment/>
      <protection locked="0"/>
    </xf>
    <xf numFmtId="165" fontId="6" fillId="0" borderId="0" xfId="46" applyFill="1" applyProtection="1">
      <alignment/>
      <protection locked="0"/>
    </xf>
    <xf numFmtId="3" fontId="0" fillId="0" borderId="16" xfId="0" applyNumberFormat="1" applyFill="1" applyBorder="1" applyAlignment="1" applyProtection="1">
      <alignment/>
      <protection/>
    </xf>
    <xf numFmtId="3" fontId="0" fillId="0" borderId="15" xfId="0" applyNumberFormat="1" applyFill="1" applyBorder="1" applyAlignment="1" applyProtection="1">
      <alignment/>
      <protection/>
    </xf>
    <xf numFmtId="3" fontId="0" fillId="0" borderId="17" xfId="0" applyNumberFormat="1" applyFill="1" applyBorder="1" applyAlignment="1" applyProtection="1">
      <alignment/>
      <protection/>
    </xf>
    <xf numFmtId="4" fontId="0" fillId="0" borderId="18" xfId="0" applyNumberFormat="1" applyFill="1" applyBorder="1" applyAlignment="1" applyProtection="1">
      <alignment/>
      <protection/>
    </xf>
    <xf numFmtId="3" fontId="0" fillId="0" borderId="11" xfId="0" applyNumberFormat="1" applyFont="1" applyFill="1" applyBorder="1" applyAlignment="1" applyProtection="1">
      <alignment/>
      <protection/>
    </xf>
    <xf numFmtId="3" fontId="0" fillId="0" borderId="19" xfId="0" applyNumberFormat="1" applyFill="1" applyBorder="1" applyAlignment="1" applyProtection="1">
      <alignment/>
      <protection/>
    </xf>
    <xf numFmtId="188" fontId="6" fillId="0" borderId="0" xfId="57" applyNumberFormat="1" applyProtection="1">
      <alignment/>
      <protection locked="0"/>
    </xf>
    <xf numFmtId="173" fontId="6" fillId="0" borderId="0" xfId="46" applyNumberFormat="1" applyFill="1" applyProtection="1">
      <alignment/>
      <protection locked="0"/>
    </xf>
    <xf numFmtId="165" fontId="2" fillId="0" borderId="0" xfId="46" applyFont="1" applyProtection="1">
      <alignment/>
      <protection/>
    </xf>
    <xf numFmtId="168" fontId="27" fillId="0" borderId="0" xfId="78" applyFont="1" applyAlignment="1">
      <alignment horizontal="center" vertical="top" wrapText="1"/>
      <protection/>
    </xf>
    <xf numFmtId="168" fontId="28" fillId="0" borderId="0" xfId="78" applyFont="1" applyAlignment="1">
      <alignment horizontal="center" vertical="top" wrapText="1"/>
      <protection/>
    </xf>
    <xf numFmtId="1" fontId="27" fillId="0" borderId="0" xfId="78" applyNumberFormat="1" applyFont="1" applyAlignment="1">
      <alignment horizontal="center" vertical="top" wrapText="1"/>
      <protection/>
    </xf>
    <xf numFmtId="168" fontId="12" fillId="0" borderId="0" xfId="78" applyFont="1" applyAlignment="1">
      <alignment horizontal="left" vertical="top" wrapText="1"/>
      <protection/>
    </xf>
    <xf numFmtId="168" fontId="21" fillId="0" borderId="0" xfId="78" applyFont="1" applyAlignment="1">
      <alignment horizontal="left" vertical="top" wrapText="1"/>
      <protection/>
    </xf>
    <xf numFmtId="3" fontId="90" fillId="40" borderId="0" xfId="0" applyNumberFormat="1" applyFont="1" applyFill="1" applyAlignment="1" applyProtection="1">
      <alignment horizontal="center"/>
      <protection/>
    </xf>
    <xf numFmtId="3" fontId="79" fillId="40" borderId="0" xfId="0" applyNumberFormat="1" applyFont="1" applyFill="1" applyAlignment="1" applyProtection="1">
      <alignment horizontal="center"/>
      <protection/>
    </xf>
    <xf numFmtId="3" fontId="79" fillId="40" borderId="20" xfId="0" applyNumberFormat="1" applyFont="1" applyFill="1" applyBorder="1" applyAlignment="1">
      <alignment horizontal="center"/>
    </xf>
    <xf numFmtId="3" fontId="13" fillId="0" borderId="0" xfId="0" applyNumberFormat="1" applyFont="1" applyAlignment="1">
      <alignment vertical="top" wrapText="1"/>
    </xf>
    <xf numFmtId="3" fontId="0" fillId="0" borderId="0" xfId="0" applyNumberFormat="1" applyAlignment="1">
      <alignment vertical="top" wrapText="1"/>
    </xf>
    <xf numFmtId="0" fontId="90" fillId="40" borderId="0" xfId="75" applyFont="1" applyFill="1" applyAlignment="1" applyProtection="1">
      <alignment horizontal="center"/>
      <protection/>
    </xf>
    <xf numFmtId="0" fontId="21" fillId="0" borderId="0" xfId="75" applyFont="1" applyFill="1" applyAlignment="1" applyProtection="1">
      <alignment horizontal="center"/>
      <protection/>
    </xf>
    <xf numFmtId="0" fontId="90" fillId="40" borderId="0" xfId="75" applyFont="1" applyFill="1" applyAlignment="1" applyProtection="1">
      <alignment horizontal="center" vertical="center"/>
      <protection/>
    </xf>
    <xf numFmtId="0" fontId="7" fillId="0" borderId="0" xfId="75" applyFont="1" applyFill="1" applyAlignment="1" applyProtection="1">
      <alignment horizontal="center" vertical="top"/>
      <protection/>
    </xf>
    <xf numFmtId="0" fontId="7" fillId="0" borderId="0" xfId="75" applyFont="1" applyFill="1" applyAlignment="1">
      <alignment horizontal="left" vertical="center" wrapText="1"/>
      <protection/>
    </xf>
    <xf numFmtId="168" fontId="0" fillId="0" borderId="0" xfId="78" applyFont="1" applyAlignment="1">
      <alignment horizontal="left" vertical="top" wrapText="1"/>
      <protection/>
    </xf>
    <xf numFmtId="7" fontId="2"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10" fillId="0" borderId="0" xfId="0" applyNumberFormat="1" applyFont="1" applyAlignment="1" applyProtection="1">
      <alignment horizontal="center" vertical="top" wrapText="1"/>
      <protection/>
    </xf>
    <xf numFmtId="3" fontId="12" fillId="0" borderId="0" xfId="0" applyNumberFormat="1" applyFont="1" applyAlignment="1" applyProtection="1">
      <alignment horizontal="center" vertical="top" wrapText="1"/>
      <protection/>
    </xf>
    <xf numFmtId="166" fontId="90" fillId="40" borderId="0" xfId="0" applyNumberFormat="1" applyFont="1" applyFill="1" applyAlignment="1" applyProtection="1">
      <alignment horizontal="center"/>
      <protection/>
    </xf>
    <xf numFmtId="3" fontId="90" fillId="40" borderId="0" xfId="0" applyNumberFormat="1" applyFont="1" applyFill="1" applyAlignment="1" applyProtection="1">
      <alignment horizontal="center" vertical="center"/>
      <protection/>
    </xf>
    <xf numFmtId="3" fontId="79" fillId="40" borderId="0" xfId="0" applyNumberFormat="1" applyFont="1" applyFill="1" applyAlignment="1" applyProtection="1">
      <alignment horizontal="center" vertical="center"/>
      <protection/>
    </xf>
    <xf numFmtId="3" fontId="80" fillId="40" borderId="0" xfId="0" applyNumberFormat="1" applyFont="1" applyFill="1" applyAlignment="1">
      <alignment vertical="center"/>
    </xf>
    <xf numFmtId="3" fontId="84" fillId="40" borderId="0" xfId="0" applyNumberFormat="1" applyFont="1" applyFill="1" applyAlignment="1">
      <alignment horizontal="center"/>
    </xf>
    <xf numFmtId="3" fontId="0" fillId="0" borderId="0" xfId="0" applyNumberFormat="1" applyAlignment="1" applyProtection="1">
      <alignment vertical="top" wrapText="1"/>
      <protection/>
    </xf>
    <xf numFmtId="3" fontId="20" fillId="0" borderId="0" xfId="0" applyNumberFormat="1" applyFont="1" applyAlignment="1" applyProtection="1">
      <alignment horizontal="left" vertical="center" wrapText="1"/>
      <protection/>
    </xf>
    <xf numFmtId="3" fontId="20" fillId="0" borderId="0" xfId="0" applyNumberFormat="1" applyFont="1" applyFill="1" applyAlignment="1" applyProtection="1">
      <alignment horizontal="left" wrapText="1"/>
      <protection/>
    </xf>
    <xf numFmtId="0" fontId="90" fillId="40" borderId="0" xfId="0" applyFont="1" applyFill="1" applyAlignment="1" applyProtection="1">
      <alignment horizontal="center"/>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L Black 2" xfId="45"/>
    <cellStyle name="Curr ($1,234) U Blue" xfId="46"/>
    <cellStyle name="Curr ($1,234) U Blue 2" xfId="47"/>
    <cellStyle name="Curr ($1,234.00) L Black" xfId="48"/>
    <cellStyle name="Curr ($1,234.00) L Black 2" xfId="49"/>
    <cellStyle name="Curr ($1,234.00) U Blue" xfId="50"/>
    <cellStyle name="Curr ($1,234.00) U Blue 2" xfId="51"/>
    <cellStyle name="Curr (1,234) L Black" xfId="52"/>
    <cellStyle name="Curr (1,234) L Black 2" xfId="53"/>
    <cellStyle name="Curr (1,234) U Blue" xfId="54"/>
    <cellStyle name="Curr (1,234) U Blue 2" xfId="55"/>
    <cellStyle name="Curr (1,234.0) L Black" xfId="56"/>
    <cellStyle name="Curr (1,234.0) U Blue" xfId="57"/>
    <cellStyle name="Curr (1,234.00) L Black" xfId="58"/>
    <cellStyle name="Curr (1,234.00) U Blue" xfId="59"/>
    <cellStyle name="Currency" xfId="60"/>
    <cellStyle name="Currency [0]" xfId="61"/>
    <cellStyle name="Currency 2" xfId="62"/>
    <cellStyle name="Explanatory Text" xfId="63"/>
    <cellStyle name="Good" xfId="64"/>
    <cellStyle name="Heading 1" xfId="65"/>
    <cellStyle name="Heading 2" xfId="66"/>
    <cellStyle name="Heading 3" xfId="67"/>
    <cellStyle name="Heading 4" xfId="68"/>
    <cellStyle name="Hyperlink" xfId="69"/>
    <cellStyle name="Hyperlink 2" xfId="70"/>
    <cellStyle name="Input" xfId="71"/>
    <cellStyle name="Linked Cell" xfId="72"/>
    <cellStyle name="Neutral" xfId="73"/>
    <cellStyle name="Normal 2" xfId="74"/>
    <cellStyle name="Normal 3" xfId="75"/>
    <cellStyle name="Normal 4" xfId="76"/>
    <cellStyle name="Normal 5" xfId="77"/>
    <cellStyle name="Normal_Farrow-Wean 500" xfId="78"/>
    <cellStyle name="Note" xfId="79"/>
    <cellStyle name="Num (1,234) L Black" xfId="80"/>
    <cellStyle name="Num (1,234) U Blue" xfId="81"/>
    <cellStyle name="Num (1,234.0) L Black" xfId="82"/>
    <cellStyle name="Num (1,234.0) U Blue" xfId="83"/>
    <cellStyle name="Num (1,234.10) L Black" xfId="84"/>
    <cellStyle name="Num (1,234.10) U Blue" xfId="85"/>
    <cellStyle name="Output" xfId="86"/>
    <cellStyle name="Percent" xfId="87"/>
    <cellStyle name="Percent 00.00% L Black" xfId="88"/>
    <cellStyle name="Percent 00.00% U Blue" xfId="89"/>
    <cellStyle name="Standard_Anpassen der Amortisation" xfId="90"/>
    <cellStyle name="Title" xfId="91"/>
    <cellStyle name="Total" xfId="92"/>
    <cellStyle name="Währung [0]_Compiling Utility Macros" xfId="93"/>
    <cellStyle name="Währung_Compiling Utility Macros"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0</xdr:row>
      <xdr:rowOff>85725</xdr:rowOff>
    </xdr:from>
    <xdr:to>
      <xdr:col>9</xdr:col>
      <xdr:colOff>266700</xdr:colOff>
      <xdr:row>2</xdr:row>
      <xdr:rowOff>28575</xdr:rowOff>
    </xdr:to>
    <xdr:pic>
      <xdr:nvPicPr>
        <xdr:cNvPr id="1" name="Picture 2" descr="GovMB_Logo_blk10.jpg"/>
        <xdr:cNvPicPr preferRelativeResize="1">
          <a:picLocks noChangeAspect="1"/>
        </xdr:cNvPicPr>
      </xdr:nvPicPr>
      <xdr:blipFill>
        <a:blip r:embed="rId1"/>
        <a:stretch>
          <a:fillRect/>
        </a:stretch>
      </xdr:blipFill>
      <xdr:spPr>
        <a:xfrm>
          <a:off x="5210175" y="85725"/>
          <a:ext cx="1676400" cy="323850"/>
        </a:xfrm>
        <a:prstGeom prst="rect">
          <a:avLst/>
        </a:prstGeom>
        <a:noFill/>
        <a:ln w="9525" cmpd="sng">
          <a:noFill/>
        </a:ln>
      </xdr:spPr>
    </xdr:pic>
    <xdr:clientData/>
  </xdr:twoCellAnchor>
  <xdr:twoCellAnchor>
    <xdr:from>
      <xdr:col>0</xdr:col>
      <xdr:colOff>266700</xdr:colOff>
      <xdr:row>32</xdr:row>
      <xdr:rowOff>200025</xdr:rowOff>
    </xdr:from>
    <xdr:to>
      <xdr:col>6</xdr:col>
      <xdr:colOff>542925</xdr:colOff>
      <xdr:row>34</xdr:row>
      <xdr:rowOff>9525</xdr:rowOff>
    </xdr:to>
    <xdr:sp>
      <xdr:nvSpPr>
        <xdr:cNvPr id="2" name="TextBox 2">
          <a:hlinkClick r:id="rId2"/>
        </xdr:cNvPr>
        <xdr:cNvSpPr txBox="1">
          <a:spLocks noChangeArrowheads="1"/>
        </xdr:cNvSpPr>
      </xdr:nvSpPr>
      <xdr:spPr>
        <a:xfrm>
          <a:off x="266700" y="7362825"/>
          <a:ext cx="4429125" cy="323850"/>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5</xdr:col>
      <xdr:colOff>638175</xdr:colOff>
      <xdr:row>30</xdr:row>
      <xdr:rowOff>161925</xdr:rowOff>
    </xdr:from>
    <xdr:to>
      <xdr:col>9</xdr:col>
      <xdr:colOff>219075</xdr:colOff>
      <xdr:row>32</xdr:row>
      <xdr:rowOff>66675</xdr:rowOff>
    </xdr:to>
    <xdr:sp>
      <xdr:nvSpPr>
        <xdr:cNvPr id="3" name="TextBox 3">
          <a:hlinkClick r:id="rId3"/>
        </xdr:cNvPr>
        <xdr:cNvSpPr txBox="1">
          <a:spLocks noChangeArrowheads="1"/>
        </xdr:cNvSpPr>
      </xdr:nvSpPr>
      <xdr:spPr>
        <a:xfrm>
          <a:off x="4029075" y="6905625"/>
          <a:ext cx="2809875" cy="32385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390525</xdr:colOff>
      <xdr:row>31</xdr:row>
      <xdr:rowOff>209550</xdr:rowOff>
    </xdr:from>
    <xdr:to>
      <xdr:col>6</xdr:col>
      <xdr:colOff>180975</xdr:colOff>
      <xdr:row>32</xdr:row>
      <xdr:rowOff>200025</xdr:rowOff>
    </xdr:to>
    <xdr:sp>
      <xdr:nvSpPr>
        <xdr:cNvPr id="4" name="TextBox 4">
          <a:hlinkClick r:id="rId4"/>
        </xdr:cNvPr>
        <xdr:cNvSpPr txBox="1">
          <a:spLocks noChangeArrowheads="1"/>
        </xdr:cNvSpPr>
      </xdr:nvSpPr>
      <xdr:spPr>
        <a:xfrm>
          <a:off x="1495425" y="7143750"/>
          <a:ext cx="2838450" cy="2190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397</xdr:row>
      <xdr:rowOff>28575</xdr:rowOff>
    </xdr:from>
    <xdr:to>
      <xdr:col>7</xdr:col>
      <xdr:colOff>762000</xdr:colOff>
      <xdr:row>398</xdr:row>
      <xdr:rowOff>57150</xdr:rowOff>
    </xdr:to>
    <xdr:sp>
      <xdr:nvSpPr>
        <xdr:cNvPr id="1" name="TextBox 1">
          <a:hlinkClick r:id="rId1"/>
        </xdr:cNvPr>
        <xdr:cNvSpPr txBox="1">
          <a:spLocks noChangeArrowheads="1"/>
        </xdr:cNvSpPr>
      </xdr:nvSpPr>
      <xdr:spPr>
        <a:xfrm>
          <a:off x="2943225" y="76657200"/>
          <a:ext cx="3257550"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4</xdr:col>
      <xdr:colOff>85725</xdr:colOff>
      <xdr:row>398</xdr:row>
      <xdr:rowOff>9525</xdr:rowOff>
    </xdr:from>
    <xdr:to>
      <xdr:col>8</xdr:col>
      <xdr:colOff>295275</xdr:colOff>
      <xdr:row>398</xdr:row>
      <xdr:rowOff>266700</xdr:rowOff>
    </xdr:to>
    <xdr:sp>
      <xdr:nvSpPr>
        <xdr:cNvPr id="2" name="TextBox 2">
          <a:hlinkClick r:id="rId2"/>
        </xdr:cNvPr>
        <xdr:cNvSpPr txBox="1">
          <a:spLocks noChangeArrowheads="1"/>
        </xdr:cNvSpPr>
      </xdr:nvSpPr>
      <xdr:spPr>
        <a:xfrm>
          <a:off x="3495675" y="76866750"/>
          <a:ext cx="32004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rizontal%20Teams%20and%20Committees\Farm%20Business%20Management%20Team\P%20DRIVE%20COPY\Farm%20Management\Production%20Economics\COP%20Beef\2016\final%20version\2016%20cop-beef-cowca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Risk Analysis"/>
      <sheetName val="Input"/>
      <sheetName val="Winter Feed Rations"/>
      <sheetName val="Extended Grazing"/>
      <sheetName val="Cow Value"/>
      <sheetName val="Cow Lease"/>
      <sheetName val="Cow Overwinter"/>
      <sheetName val="Details"/>
      <sheetName val="Housing"/>
      <sheetName val="Charts"/>
      <sheetName val="Chart data (HI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enjamin.Hamm@gov.mb.ca" TargetMode="External" /><Relationship Id="rId3" Type="http://schemas.openxmlformats.org/officeDocument/2006/relationships/hyperlink" Target="mailto:michelle.gaudry@gov.mb.ca" TargetMode="External" /><Relationship Id="rId4" Type="http://schemas.openxmlformats.org/officeDocument/2006/relationships/drawing" Target="../drawings/drawing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pageSetUpPr fitToPage="1"/>
  </sheetPr>
  <dimension ref="A2:J39"/>
  <sheetViews>
    <sheetView showGridLines="0" tabSelected="1" zoomScaleSheetLayoutView="100" workbookViewId="0" topLeftCell="A4">
      <selection activeCell="A4" sqref="A4"/>
    </sheetView>
  </sheetViews>
  <sheetFormatPr defaultColWidth="8.88671875" defaultRowHeight="15"/>
  <cols>
    <col min="1" max="1" width="3.5546875" style="3" customWidth="1"/>
    <col min="2" max="2" width="9.3359375" style="3" customWidth="1"/>
    <col min="3" max="8" width="8.88671875" style="3" customWidth="1"/>
    <col min="9" max="9" width="10.99609375" style="3" customWidth="1"/>
    <col min="10" max="10" width="11.4453125" style="3" customWidth="1"/>
    <col min="11" max="16384" width="8.88671875" style="3" customWidth="1"/>
  </cols>
  <sheetData>
    <row r="1" s="1" customFormat="1" ht="15"/>
    <row r="2" spans="1:10" s="1" customFormat="1" ht="15">
      <c r="A2" s="315"/>
      <c r="B2" s="315"/>
      <c r="C2" s="315"/>
      <c r="D2" s="315"/>
      <c r="E2" s="315"/>
      <c r="F2" s="315"/>
      <c r="G2" s="315"/>
      <c r="H2" s="315"/>
      <c r="I2" s="315"/>
      <c r="J2" s="315"/>
    </row>
    <row r="3" spans="1:10" s="318" customFormat="1" ht="27">
      <c r="A3" s="316" t="s">
        <v>403</v>
      </c>
      <c r="B3" s="317"/>
      <c r="C3" s="317"/>
      <c r="D3" s="317"/>
      <c r="E3" s="317"/>
      <c r="F3" s="317"/>
      <c r="G3" s="317"/>
      <c r="H3" s="317"/>
      <c r="I3" s="317"/>
      <c r="J3" s="317"/>
    </row>
    <row r="4" spans="1:10" s="318" customFormat="1" ht="15" customHeight="1">
      <c r="A4" s="316"/>
      <c r="B4" s="317"/>
      <c r="C4" s="317"/>
      <c r="D4" s="317"/>
      <c r="E4" s="317"/>
      <c r="F4" s="317"/>
      <c r="G4" s="317"/>
      <c r="H4" s="317"/>
      <c r="I4" s="317"/>
      <c r="J4" s="317"/>
    </row>
    <row r="5" spans="1:10" ht="20.25">
      <c r="A5" s="422" t="s">
        <v>404</v>
      </c>
      <c r="B5" s="422"/>
      <c r="C5" s="422"/>
      <c r="D5" s="422"/>
      <c r="E5" s="422"/>
      <c r="F5" s="422"/>
      <c r="G5" s="422"/>
      <c r="H5" s="422"/>
      <c r="I5" s="422"/>
      <c r="J5" s="422"/>
    </row>
    <row r="6" spans="1:10" ht="26.25">
      <c r="A6" s="423" t="s">
        <v>413</v>
      </c>
      <c r="B6" s="423"/>
      <c r="C6" s="423"/>
      <c r="D6" s="423"/>
      <c r="E6" s="423"/>
      <c r="F6" s="423"/>
      <c r="G6" s="423"/>
      <c r="H6" s="423"/>
      <c r="I6" s="423"/>
      <c r="J6" s="423"/>
    </row>
    <row r="7" spans="1:10" ht="20.25">
      <c r="A7" s="424" t="str">
        <f>"Based on a "&amp;Input!E13&amp;" Head Cow Herd"</f>
        <v>Based on a 100 Head Cow Herd</v>
      </c>
      <c r="B7" s="424"/>
      <c r="C7" s="424"/>
      <c r="D7" s="424"/>
      <c r="E7" s="424"/>
      <c r="F7" s="424"/>
      <c r="G7" s="424"/>
      <c r="H7" s="424"/>
      <c r="I7" s="424"/>
      <c r="J7" s="424"/>
    </row>
    <row r="8" ht="21.75" customHeight="1"/>
    <row r="9" ht="20.25" customHeight="1"/>
    <row r="10" spans="7:9" ht="21" customHeight="1">
      <c r="G10" s="319" t="s">
        <v>405</v>
      </c>
      <c r="H10" s="320"/>
      <c r="I10" s="319" t="s">
        <v>390</v>
      </c>
    </row>
    <row r="12" spans="5:8" ht="15">
      <c r="E12" s="321"/>
      <c r="F12" s="321"/>
      <c r="G12" s="321"/>
      <c r="H12" s="321"/>
    </row>
    <row r="13" spans="6:7" ht="15">
      <c r="F13" s="321"/>
      <c r="G13" s="2"/>
    </row>
    <row r="14" spans="2:9" ht="15">
      <c r="B14" s="322"/>
      <c r="C14" s="323"/>
      <c r="D14" s="323"/>
      <c r="E14" s="323"/>
      <c r="F14" s="324"/>
      <c r="G14" s="323"/>
      <c r="H14" s="323"/>
      <c r="I14" s="323"/>
    </row>
    <row r="15" ht="15">
      <c r="B15" s="325"/>
    </row>
    <row r="16" spans="2:9" ht="15" customHeight="1">
      <c r="B16" s="425" t="s">
        <v>414</v>
      </c>
      <c r="C16" s="425"/>
      <c r="D16" s="425"/>
      <c r="E16" s="425"/>
      <c r="F16" s="425"/>
      <c r="G16" s="425"/>
      <c r="H16" s="425"/>
      <c r="I16" s="425"/>
    </row>
    <row r="17" spans="2:9" ht="15" customHeight="1">
      <c r="B17" s="425"/>
      <c r="C17" s="425"/>
      <c r="D17" s="425"/>
      <c r="E17" s="425"/>
      <c r="F17" s="425"/>
      <c r="G17" s="425"/>
      <c r="H17" s="425"/>
      <c r="I17" s="425"/>
    </row>
    <row r="18" spans="2:9" ht="18.75" customHeight="1">
      <c r="B18" s="425"/>
      <c r="C18" s="425"/>
      <c r="D18" s="425"/>
      <c r="E18" s="425"/>
      <c r="F18" s="425"/>
      <c r="G18" s="425"/>
      <c r="H18" s="425"/>
      <c r="I18" s="425"/>
    </row>
    <row r="19" spans="2:9" ht="18.75" customHeight="1">
      <c r="B19" s="425"/>
      <c r="C19" s="425"/>
      <c r="D19" s="425"/>
      <c r="E19" s="425"/>
      <c r="F19" s="425"/>
      <c r="G19" s="425"/>
      <c r="H19" s="425"/>
      <c r="I19" s="425"/>
    </row>
    <row r="20" spans="2:9" ht="18.75" customHeight="1">
      <c r="B20" s="425"/>
      <c r="C20" s="425"/>
      <c r="D20" s="425"/>
      <c r="E20" s="425"/>
      <c r="F20" s="425"/>
      <c r="G20" s="425"/>
      <c r="H20" s="425"/>
      <c r="I20" s="425"/>
    </row>
    <row r="21" spans="2:9" ht="18.75" customHeight="1">
      <c r="B21" s="425"/>
      <c r="C21" s="425"/>
      <c r="D21" s="425"/>
      <c r="E21" s="425"/>
      <c r="F21" s="425"/>
      <c r="G21" s="425"/>
      <c r="H21" s="425"/>
      <c r="I21" s="425"/>
    </row>
    <row r="22" spans="2:9" ht="18.75" customHeight="1">
      <c r="B22" s="425"/>
      <c r="C22" s="425"/>
      <c r="D22" s="425"/>
      <c r="E22" s="425"/>
      <c r="F22" s="425"/>
      <c r="G22" s="425"/>
      <c r="H22" s="425"/>
      <c r="I22" s="425"/>
    </row>
    <row r="23" spans="2:9" ht="18.75" customHeight="1">
      <c r="B23" s="425"/>
      <c r="C23" s="425"/>
      <c r="D23" s="425"/>
      <c r="E23" s="425"/>
      <c r="F23" s="425"/>
      <c r="G23" s="425"/>
      <c r="H23" s="425"/>
      <c r="I23" s="425"/>
    </row>
    <row r="24" spans="2:9" ht="18.75" customHeight="1">
      <c r="B24" s="425"/>
      <c r="C24" s="425"/>
      <c r="D24" s="425"/>
      <c r="E24" s="425"/>
      <c r="F24" s="425"/>
      <c r="G24" s="425"/>
      <c r="H24" s="425"/>
      <c r="I24" s="425"/>
    </row>
    <row r="25" spans="2:9" ht="18">
      <c r="B25" s="326"/>
      <c r="C25" s="326"/>
      <c r="D25" s="326"/>
      <c r="E25" s="326"/>
      <c r="F25" s="326"/>
      <c r="G25" s="326"/>
      <c r="H25" s="326"/>
      <c r="I25" s="326"/>
    </row>
    <row r="26" spans="2:9" ht="15" customHeight="1">
      <c r="B26" s="425" t="s">
        <v>406</v>
      </c>
      <c r="C26" s="425"/>
      <c r="D26" s="425"/>
      <c r="E26" s="425"/>
      <c r="F26" s="425"/>
      <c r="G26" s="425"/>
      <c r="H26" s="425"/>
      <c r="I26" s="425"/>
    </row>
    <row r="27" spans="2:9" ht="15" customHeight="1">
      <c r="B27" s="425"/>
      <c r="C27" s="425"/>
      <c r="D27" s="425"/>
      <c r="E27" s="425"/>
      <c r="F27" s="425"/>
      <c r="G27" s="425"/>
      <c r="H27" s="425"/>
      <c r="I27" s="425"/>
    </row>
    <row r="28" spans="2:9" ht="15" customHeight="1">
      <c r="B28" s="425"/>
      <c r="C28" s="425"/>
      <c r="D28" s="425"/>
      <c r="E28" s="425"/>
      <c r="F28" s="425"/>
      <c r="G28" s="425"/>
      <c r="H28" s="425"/>
      <c r="I28" s="425"/>
    </row>
    <row r="29" spans="2:9" ht="15" customHeight="1">
      <c r="B29" s="425"/>
      <c r="C29" s="425"/>
      <c r="D29" s="425"/>
      <c r="E29" s="425"/>
      <c r="F29" s="425"/>
      <c r="G29" s="425"/>
      <c r="H29" s="425"/>
      <c r="I29" s="425"/>
    </row>
    <row r="30" spans="2:9" ht="15" customHeight="1">
      <c r="B30" s="425"/>
      <c r="C30" s="425"/>
      <c r="D30" s="425"/>
      <c r="E30" s="425"/>
      <c r="F30" s="425"/>
      <c r="G30" s="425"/>
      <c r="H30" s="425"/>
      <c r="I30" s="425"/>
    </row>
    <row r="31" spans="2:9" ht="15" customHeight="1">
      <c r="B31" s="95"/>
      <c r="C31" s="95"/>
      <c r="D31" s="95"/>
      <c r="E31" s="95"/>
      <c r="F31" s="95"/>
      <c r="G31" s="95"/>
      <c r="H31" s="95"/>
      <c r="I31" s="95"/>
    </row>
    <row r="32" spans="2:10" s="1" customFormat="1" ht="18" customHeight="1">
      <c r="B32" s="327" t="s">
        <v>407</v>
      </c>
      <c r="C32" s="327"/>
      <c r="D32" s="327"/>
      <c r="E32" s="327"/>
      <c r="F32" s="327"/>
      <c r="G32" s="327"/>
      <c r="H32" s="327"/>
      <c r="I32" s="327"/>
      <c r="J32" s="327"/>
    </row>
    <row r="33" spans="2:10" s="1" customFormat="1" ht="20.25" customHeight="1">
      <c r="B33" s="328" t="s">
        <v>408</v>
      </c>
      <c r="C33" s="327"/>
      <c r="D33" s="327"/>
      <c r="E33" s="327"/>
      <c r="F33" s="327"/>
      <c r="G33" s="327"/>
      <c r="H33" s="327"/>
      <c r="I33" s="327"/>
      <c r="J33" s="327"/>
    </row>
    <row r="34" spans="1:10" s="1" customFormat="1" ht="20.25" customHeight="1">
      <c r="A34" s="1" t="s">
        <v>409</v>
      </c>
      <c r="B34" s="328"/>
      <c r="C34" s="327"/>
      <c r="D34" s="327"/>
      <c r="E34" s="327"/>
      <c r="F34" s="327"/>
      <c r="G34" s="327"/>
      <c r="H34" s="327" t="s">
        <v>410</v>
      </c>
      <c r="I34" s="327"/>
      <c r="J34" s="327"/>
    </row>
    <row r="35" spans="2:10" s="1" customFormat="1" ht="18" customHeight="1">
      <c r="B35" s="327" t="s">
        <v>411</v>
      </c>
      <c r="C35" s="96"/>
      <c r="D35" s="96"/>
      <c r="E35" s="96"/>
      <c r="F35" s="96"/>
      <c r="G35" s="96"/>
      <c r="H35" s="96"/>
      <c r="I35" s="96"/>
      <c r="J35" s="96"/>
    </row>
    <row r="36" spans="2:9" ht="15" customHeight="1">
      <c r="B36" s="326"/>
      <c r="C36" s="326"/>
      <c r="D36" s="326"/>
      <c r="E36" s="326"/>
      <c r="F36" s="326"/>
      <c r="G36" s="326"/>
      <c r="H36" s="326"/>
      <c r="I36" s="326"/>
    </row>
    <row r="37" spans="2:10" s="1" customFormat="1" ht="18" customHeight="1">
      <c r="B37" s="426" t="s">
        <v>412</v>
      </c>
      <c r="C37" s="426"/>
      <c r="D37" s="426"/>
      <c r="E37" s="426"/>
      <c r="F37" s="426"/>
      <c r="G37" s="426"/>
      <c r="H37" s="426"/>
      <c r="I37" s="426"/>
      <c r="J37" s="329"/>
    </row>
    <row r="38" spans="2:10" s="1" customFormat="1" ht="18" customHeight="1">
      <c r="B38" s="426"/>
      <c r="C38" s="426"/>
      <c r="D38" s="426"/>
      <c r="E38" s="426"/>
      <c r="F38" s="426"/>
      <c r="G38" s="426"/>
      <c r="H38" s="426"/>
      <c r="I38" s="426"/>
      <c r="J38" s="329"/>
    </row>
    <row r="39" spans="2:10" s="1" customFormat="1" ht="18" customHeight="1">
      <c r="B39" s="426"/>
      <c r="C39" s="426"/>
      <c r="D39" s="426"/>
      <c r="E39" s="426"/>
      <c r="F39" s="426"/>
      <c r="G39" s="426"/>
      <c r="H39" s="426"/>
      <c r="I39" s="426"/>
      <c r="J39" s="329"/>
    </row>
  </sheetData>
  <sheetProtection password="C6A6" sheet="1"/>
  <mergeCells count="6">
    <mergeCell ref="A5:J5"/>
    <mergeCell ref="A6:J6"/>
    <mergeCell ref="A7:J7"/>
    <mergeCell ref="B16:I24"/>
    <mergeCell ref="B26:I30"/>
    <mergeCell ref="B37:I39"/>
  </mergeCells>
  <printOptions/>
  <pageMargins left="0.7480314960629921" right="0.7480314960629921" top="0.8661417322834646" bottom="0.984251968503937" header="0.5118110236220472" footer="0.5118110236220472"/>
  <pageSetup fitToHeight="1" fitToWidth="1" horizontalDpi="300" verticalDpi="300" orientation="portrait" scale="84"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74"/>
  <sheetViews>
    <sheetView showGridLines="0" workbookViewId="0" topLeftCell="A1">
      <selection activeCell="B1" sqref="B1:J1"/>
    </sheetView>
  </sheetViews>
  <sheetFormatPr defaultColWidth="8.88671875" defaultRowHeight="15"/>
  <cols>
    <col min="1" max="1" width="2.88671875" style="5" customWidth="1"/>
    <col min="2" max="2" width="13.99609375" style="5" customWidth="1"/>
    <col min="3" max="4" width="8.88671875" style="5" customWidth="1"/>
    <col min="5" max="5" width="7.10546875" style="5" customWidth="1"/>
    <col min="6" max="6" width="10.5546875" style="5" customWidth="1"/>
    <col min="7" max="7" width="4.77734375" style="5" customWidth="1"/>
    <col min="8" max="8" width="9.4453125" style="5" customWidth="1"/>
    <col min="9" max="9" width="1.77734375" style="5" customWidth="1"/>
    <col min="10" max="10" width="10.21484375" style="5" customWidth="1"/>
    <col min="11" max="16384" width="8.88671875" style="5" customWidth="1"/>
  </cols>
  <sheetData>
    <row r="1" spans="1:11" ht="18">
      <c r="A1" s="103"/>
      <c r="B1" s="427" t="s">
        <v>168</v>
      </c>
      <c r="C1" s="428"/>
      <c r="D1" s="428"/>
      <c r="E1" s="428"/>
      <c r="F1" s="428"/>
      <c r="G1" s="428"/>
      <c r="H1" s="428"/>
      <c r="I1" s="428"/>
      <c r="J1" s="428"/>
      <c r="K1" s="103"/>
    </row>
    <row r="2" ht="7.5" customHeight="1"/>
    <row r="3" spans="2:10" ht="15.75">
      <c r="B3" s="6" t="s">
        <v>165</v>
      </c>
      <c r="F3" s="39" t="s">
        <v>169</v>
      </c>
      <c r="G3" s="33" t="s">
        <v>0</v>
      </c>
      <c r="H3" s="40" t="s">
        <v>61</v>
      </c>
      <c r="J3" s="8" t="s">
        <v>246</v>
      </c>
    </row>
    <row r="4" spans="2:8" ht="15">
      <c r="B4" s="5" t="s">
        <v>166</v>
      </c>
      <c r="F4" s="9"/>
      <c r="H4" s="10"/>
    </row>
    <row r="5" spans="2:10" ht="15">
      <c r="B5" s="5" t="s">
        <v>31</v>
      </c>
      <c r="F5" s="383">
        <f>Details!D33</f>
        <v>25.44</v>
      </c>
      <c r="H5" s="37">
        <f>ROUND(F5*Input!$E$13,0)</f>
        <v>2544</v>
      </c>
      <c r="J5" s="13"/>
    </row>
    <row r="6" spans="2:10" ht="15">
      <c r="B6" s="5" t="s">
        <v>32</v>
      </c>
      <c r="F6" s="383">
        <f>Details!D46</f>
        <v>223.65</v>
      </c>
      <c r="H6" s="37">
        <f>ROUND(F6*Input!$E$13,0)</f>
        <v>22365</v>
      </c>
      <c r="J6" s="13"/>
    </row>
    <row r="7" spans="2:10" ht="15">
      <c r="B7" s="5" t="s">
        <v>33</v>
      </c>
      <c r="F7" s="383">
        <f>Details!D69</f>
        <v>25.080000000000002</v>
      </c>
      <c r="G7" s="14"/>
      <c r="H7" s="37">
        <f>ROUND(F7*Input!$E$13,0)</f>
        <v>2508</v>
      </c>
      <c r="J7" s="13"/>
    </row>
    <row r="8" spans="2:10" ht="15">
      <c r="B8" s="5" t="s">
        <v>34</v>
      </c>
      <c r="C8" s="15"/>
      <c r="D8" s="15"/>
      <c r="E8" s="15"/>
      <c r="F8" s="384">
        <f>Details!D76</f>
        <v>0</v>
      </c>
      <c r="G8" s="256"/>
      <c r="H8" s="257">
        <f>ROUND(F8*Input!$E$13,0)</f>
        <v>0</v>
      </c>
      <c r="J8" s="13"/>
    </row>
    <row r="9" spans="2:10" s="307" customFormat="1" ht="15" customHeight="1">
      <c r="B9" s="104" t="s">
        <v>416</v>
      </c>
      <c r="C9" s="104"/>
      <c r="D9" s="104"/>
      <c r="E9" s="104"/>
      <c r="F9" s="332">
        <f>Details!D87</f>
        <v>24.19140625</v>
      </c>
      <c r="G9" s="333"/>
      <c r="H9" s="334">
        <f>ROUND(F9*Input!$E$13,0)</f>
        <v>2419</v>
      </c>
      <c r="I9" s="335"/>
      <c r="J9" s="336"/>
    </row>
    <row r="10" spans="2:10" ht="15.75">
      <c r="B10" s="16" t="s">
        <v>170</v>
      </c>
      <c r="F10" s="363">
        <f>SUM(F5:F9)</f>
        <v>298.36140625</v>
      </c>
      <c r="G10" s="16"/>
      <c r="H10" s="42">
        <f>SUM(H5:H9)</f>
        <v>29836</v>
      </c>
      <c r="J10" s="13"/>
    </row>
    <row r="11" spans="6:8" ht="7.5" customHeight="1">
      <c r="F11" s="386"/>
      <c r="H11" s="38"/>
    </row>
    <row r="12" spans="2:8" ht="15">
      <c r="B12" s="5" t="s">
        <v>179</v>
      </c>
      <c r="F12" s="386" t="s">
        <v>0</v>
      </c>
      <c r="H12" s="38"/>
    </row>
    <row r="13" spans="2:10" ht="15">
      <c r="B13" s="5" t="s">
        <v>177</v>
      </c>
      <c r="F13" s="383">
        <f>Details!D128</f>
        <v>18.05</v>
      </c>
      <c r="H13" s="37">
        <f>ROUND(F13*Input!$E$13,0)</f>
        <v>1805</v>
      </c>
      <c r="J13" s="13"/>
    </row>
    <row r="14" spans="2:10" ht="15">
      <c r="B14" s="5" t="s">
        <v>178</v>
      </c>
      <c r="F14" s="383">
        <f>Details!D154</f>
        <v>48.8467</v>
      </c>
      <c r="H14" s="37">
        <f>ROUND(F14*Input!$E$13,0)</f>
        <v>4885</v>
      </c>
      <c r="J14" s="13"/>
    </row>
    <row r="15" spans="2:10" ht="15">
      <c r="B15" s="5" t="s">
        <v>35</v>
      </c>
      <c r="F15" s="383">
        <f>Details!D159</f>
        <v>10.77</v>
      </c>
      <c r="H15" s="37">
        <f>ROUND(F15*Input!$E$13,0)</f>
        <v>1077</v>
      </c>
      <c r="J15" s="13"/>
    </row>
    <row r="16" spans="2:10" ht="15">
      <c r="B16" s="5" t="s">
        <v>36</v>
      </c>
      <c r="F16" s="383">
        <f>Details!D196</f>
        <v>22.61</v>
      </c>
      <c r="H16" s="37">
        <f>ROUND(F16*Input!$E$13,0)</f>
        <v>2261</v>
      </c>
      <c r="J16" s="13"/>
    </row>
    <row r="17" spans="2:10" ht="15">
      <c r="B17" s="5" t="s">
        <v>37</v>
      </c>
      <c r="F17" s="383">
        <f>Details!D209</f>
        <v>84.88</v>
      </c>
      <c r="H17" s="37">
        <f>ROUND(F17*Input!$E$13,0)</f>
        <v>8488</v>
      </c>
      <c r="J17" s="13"/>
    </row>
    <row r="18" spans="2:10" ht="15">
      <c r="B18" s="5" t="s">
        <v>38</v>
      </c>
      <c r="F18" s="383">
        <f>Details!D228</f>
        <v>21.89</v>
      </c>
      <c r="H18" s="37">
        <f>ROUND(F18*Input!$E$13,0)</f>
        <v>2189</v>
      </c>
      <c r="J18" s="13"/>
    </row>
    <row r="19" spans="2:10" ht="15">
      <c r="B19" s="5" t="s">
        <v>39</v>
      </c>
      <c r="F19" s="383">
        <f>Details!D243</f>
        <v>86.24</v>
      </c>
      <c r="H19" s="37">
        <f>ROUND(F19*Input!$E$13,0)</f>
        <v>8624</v>
      </c>
      <c r="J19" s="13"/>
    </row>
    <row r="20" spans="2:10" ht="15">
      <c r="B20" s="5" t="s">
        <v>40</v>
      </c>
      <c r="F20" s="384">
        <f>Details!D248</f>
        <v>9</v>
      </c>
      <c r="G20" s="256"/>
      <c r="H20" s="257">
        <f>ROUND(F20*Input!$E$13,0)</f>
        <v>900</v>
      </c>
      <c r="J20" s="13"/>
    </row>
    <row r="21" spans="2:10" ht="15">
      <c r="B21" s="92" t="s">
        <v>461</v>
      </c>
      <c r="F21" s="385">
        <f>Details!D253</f>
        <v>17.5</v>
      </c>
      <c r="G21" s="28"/>
      <c r="H21" s="47">
        <f>ROUND(F21*Input!$E$13,0)</f>
        <v>1750</v>
      </c>
      <c r="J21" s="13"/>
    </row>
    <row r="22" spans="2:10" ht="15">
      <c r="B22" s="5" t="s">
        <v>172</v>
      </c>
      <c r="F22" s="383">
        <f>SUM(F10:F21)</f>
        <v>618.14810625</v>
      </c>
      <c r="H22" s="37">
        <f>SUM(H13:H21)+H10</f>
        <v>61815</v>
      </c>
      <c r="J22" s="13"/>
    </row>
    <row r="23" spans="2:10" ht="15">
      <c r="B23" s="92" t="s">
        <v>460</v>
      </c>
      <c r="F23" s="385">
        <f>Details!D260</f>
        <v>13.91</v>
      </c>
      <c r="G23" s="34"/>
      <c r="H23" s="47">
        <f>ROUND(F23*Input!$E$13,0)</f>
        <v>1391</v>
      </c>
      <c r="J23" s="13"/>
    </row>
    <row r="24" spans="2:10" ht="15.75">
      <c r="B24" s="16" t="s">
        <v>171</v>
      </c>
      <c r="C24" s="16"/>
      <c r="D24" s="16"/>
      <c r="E24" s="16"/>
      <c r="F24" s="363">
        <f>F22+F23</f>
        <v>632.0581062499999</v>
      </c>
      <c r="G24" s="16"/>
      <c r="H24" s="42">
        <f>SUM(H22:H23)</f>
        <v>63206</v>
      </c>
      <c r="J24" s="13"/>
    </row>
    <row r="25" spans="6:8" ht="7.5" customHeight="1">
      <c r="F25" s="386"/>
      <c r="H25" s="38"/>
    </row>
    <row r="26" spans="2:8" ht="15.75">
      <c r="B26" s="16" t="s">
        <v>173</v>
      </c>
      <c r="F26" s="386"/>
      <c r="H26" s="38"/>
    </row>
    <row r="27" spans="2:8" ht="15">
      <c r="B27" s="5" t="s">
        <v>41</v>
      </c>
      <c r="F27" s="386"/>
      <c r="H27" s="38"/>
    </row>
    <row r="28" spans="2:10" ht="15">
      <c r="B28" s="5" t="s">
        <v>42</v>
      </c>
      <c r="F28" s="383">
        <f>Details!D311</f>
        <v>31.63</v>
      </c>
      <c r="H28" s="37">
        <f>ROUND(F28*Input!$E$13,0)</f>
        <v>3163</v>
      </c>
      <c r="J28" s="13"/>
    </row>
    <row r="29" spans="2:10" ht="15">
      <c r="B29" s="5" t="s">
        <v>43</v>
      </c>
      <c r="F29" s="383">
        <f>Details!D318</f>
        <v>98.4</v>
      </c>
      <c r="H29" s="37">
        <f>ROUND(F29*Input!$E$13,0)</f>
        <v>9840</v>
      </c>
      <c r="J29" s="13"/>
    </row>
    <row r="30" spans="2:10" ht="15">
      <c r="B30" s="92" t="s">
        <v>464</v>
      </c>
      <c r="F30" s="383">
        <f>Details!D327</f>
        <v>31.71</v>
      </c>
      <c r="H30" s="37"/>
      <c r="J30" s="78"/>
    </row>
    <row r="31" spans="2:8" ht="15">
      <c r="B31" s="5" t="s">
        <v>44</v>
      </c>
      <c r="F31" s="386" t="s">
        <v>0</v>
      </c>
      <c r="H31" s="37"/>
    </row>
    <row r="32" spans="2:10" ht="15">
      <c r="B32" s="5" t="s">
        <v>45</v>
      </c>
      <c r="F32" s="383">
        <f>Details!D339</f>
        <v>7.12</v>
      </c>
      <c r="H32" s="37">
        <f>ROUND(F32*Input!$E$13,0)</f>
        <v>712</v>
      </c>
      <c r="J32" s="13"/>
    </row>
    <row r="33" spans="2:10" ht="15">
      <c r="B33" s="5" t="s">
        <v>46</v>
      </c>
      <c r="F33" s="383">
        <f>Details!D347</f>
        <v>16.61</v>
      </c>
      <c r="H33" s="37">
        <f>ROUND(F33*Input!$E$13,0)</f>
        <v>1661</v>
      </c>
      <c r="J33" s="13"/>
    </row>
    <row r="34" spans="2:10" ht="15">
      <c r="B34" s="5" t="s">
        <v>47</v>
      </c>
      <c r="F34" s="383">
        <f>Details!D360</f>
        <v>94.36999999999999</v>
      </c>
      <c r="H34" s="37">
        <f>ROUND(F34*Input!$E$13,0)</f>
        <v>9437</v>
      </c>
      <c r="J34" s="13"/>
    </row>
    <row r="35" spans="2:10" ht="15">
      <c r="B35" s="5" t="s">
        <v>48</v>
      </c>
      <c r="E35" s="34"/>
      <c r="F35" s="385">
        <f>Details!D379</f>
        <v>77.4425</v>
      </c>
      <c r="G35" s="34"/>
      <c r="H35" s="47">
        <f>ROUND(F35*Input!$E$13,0)</f>
        <v>7744</v>
      </c>
      <c r="J35" s="13"/>
    </row>
    <row r="36" spans="2:10" ht="15.75">
      <c r="B36" s="16" t="s">
        <v>174</v>
      </c>
      <c r="C36" s="16"/>
      <c r="D36" s="16"/>
      <c r="E36" s="16"/>
      <c r="F36" s="41">
        <f>SUM(F28:F35)</f>
        <v>357.2825</v>
      </c>
      <c r="G36" s="16"/>
      <c r="H36" s="42">
        <f>SUM(H32:H35)+H28+H29</f>
        <v>32557</v>
      </c>
      <c r="J36" s="13"/>
    </row>
    <row r="37" spans="6:8" ht="7.5" customHeight="1">
      <c r="F37" s="48"/>
      <c r="H37" s="38"/>
    </row>
    <row r="38" spans="2:10" ht="15.75">
      <c r="B38" s="16" t="s">
        <v>175</v>
      </c>
      <c r="C38" s="16"/>
      <c r="D38" s="16"/>
      <c r="E38" s="16"/>
      <c r="F38" s="41">
        <f>F24+F36</f>
        <v>989.34060625</v>
      </c>
      <c r="G38" s="16"/>
      <c r="H38" s="42">
        <f>H24+H36</f>
        <v>95763</v>
      </c>
      <c r="J38" s="13"/>
    </row>
    <row r="39" spans="6:8" ht="7.5" customHeight="1">
      <c r="F39" s="48"/>
      <c r="H39" s="38"/>
    </row>
    <row r="40" spans="2:10" ht="15.75">
      <c r="B40" s="16" t="s">
        <v>49</v>
      </c>
      <c r="C40" s="16"/>
      <c r="D40" s="16"/>
      <c r="E40" s="16"/>
      <c r="F40" s="381">
        <f>Details!D384</f>
        <v>80</v>
      </c>
      <c r="G40" s="16"/>
      <c r="H40" s="382">
        <f>ROUND(F40*Input!$E$13,0)</f>
        <v>8000</v>
      </c>
      <c r="J40" s="13"/>
    </row>
    <row r="41" spans="6:8" ht="7.5" customHeight="1">
      <c r="F41" s="48"/>
      <c r="H41" s="38"/>
    </row>
    <row r="42" spans="2:10" ht="15.75">
      <c r="B42" s="262" t="s">
        <v>176</v>
      </c>
      <c r="C42" s="262"/>
      <c r="D42" s="262"/>
      <c r="E42" s="262"/>
      <c r="F42" s="263">
        <f>F38+F40</f>
        <v>1069.3406062499998</v>
      </c>
      <c r="G42" s="262"/>
      <c r="H42" s="264">
        <f>H38+H40</f>
        <v>103763</v>
      </c>
      <c r="I42" s="78"/>
      <c r="J42" s="78"/>
    </row>
    <row r="43" spans="2:10" ht="7.5" customHeight="1">
      <c r="B43" s="262"/>
      <c r="C43" s="262"/>
      <c r="D43" s="262"/>
      <c r="E43" s="262"/>
      <c r="F43" s="263"/>
      <c r="G43" s="262"/>
      <c r="H43" s="264"/>
      <c r="I43" s="78"/>
      <c r="J43" s="78"/>
    </row>
    <row r="44" spans="1:10" s="210" customFormat="1" ht="15" customHeight="1">
      <c r="A44" s="265"/>
      <c r="B44" s="265"/>
      <c r="C44" s="118"/>
      <c r="D44" s="266" t="s">
        <v>379</v>
      </c>
      <c r="E44" s="118"/>
      <c r="F44" s="265"/>
      <c r="G44" s="118"/>
      <c r="H44" s="267"/>
      <c r="I44" s="118"/>
      <c r="J44" s="118"/>
    </row>
    <row r="45" spans="1:10" s="210" customFormat="1" ht="15" customHeight="1">
      <c r="A45" s="143" t="s">
        <v>331</v>
      </c>
      <c r="C45" s="161"/>
      <c r="D45" s="161"/>
      <c r="E45" s="161"/>
      <c r="F45" s="268" t="s">
        <v>380</v>
      </c>
      <c r="G45" s="7" t="s">
        <v>0</v>
      </c>
      <c r="H45" s="269" t="s">
        <v>61</v>
      </c>
      <c r="I45" s="161"/>
      <c r="J45" s="161"/>
    </row>
    <row r="46" spans="2:10" s="210" customFormat="1" ht="15" customHeight="1">
      <c r="B46" s="161" t="s">
        <v>332</v>
      </c>
      <c r="C46" s="161"/>
      <c r="D46" s="161"/>
      <c r="E46" s="161"/>
      <c r="F46" s="389">
        <f>Input!E21</f>
        <v>532.07</v>
      </c>
      <c r="G46" s="300"/>
      <c r="H46" s="301"/>
      <c r="I46" s="161"/>
      <c r="J46" s="255"/>
    </row>
    <row r="47" spans="2:10" s="210" customFormat="1" ht="15" customHeight="1">
      <c r="B47" s="161" t="s">
        <v>334</v>
      </c>
      <c r="C47" s="161"/>
      <c r="D47" s="161"/>
      <c r="E47" s="161"/>
      <c r="F47" s="302">
        <f>Input!E20</f>
        <v>463</v>
      </c>
      <c r="G47" s="300"/>
      <c r="H47" s="301"/>
      <c r="I47" s="161"/>
      <c r="J47" s="270"/>
    </row>
    <row r="48" spans="2:10" s="210" customFormat="1" ht="15" customHeight="1">
      <c r="B48" s="92" t="s">
        <v>381</v>
      </c>
      <c r="C48" s="161"/>
      <c r="D48" s="161"/>
      <c r="E48" s="161"/>
      <c r="F48" s="303">
        <f>SUM((Input!E21/100)*Input!E20)*(Input!E15/100)</f>
        <v>2167.866008</v>
      </c>
      <c r="G48" s="105"/>
      <c r="H48" s="304">
        <f>ROUND(F48*Input!$E$13,0)</f>
        <v>216787</v>
      </c>
      <c r="I48" s="161"/>
      <c r="J48" s="271">
        <f>IF(OR(J46="",J47=""),"",ROUND(J46*J47/100,2))</f>
      </c>
    </row>
    <row r="49" spans="2:10" s="210" customFormat="1" ht="4.5" customHeight="1">
      <c r="B49" s="92"/>
      <c r="C49" s="161"/>
      <c r="D49" s="161"/>
      <c r="E49" s="161"/>
      <c r="F49" s="303"/>
      <c r="G49" s="105"/>
      <c r="H49" s="304"/>
      <c r="I49" s="161"/>
      <c r="J49" s="161"/>
    </row>
    <row r="50" spans="1:10" s="210" customFormat="1" ht="15" customHeight="1">
      <c r="A50" s="272" t="s">
        <v>347</v>
      </c>
      <c r="B50" s="6"/>
      <c r="C50" s="161"/>
      <c r="D50" s="161"/>
      <c r="E50" s="161"/>
      <c r="F50" s="303"/>
      <c r="G50" s="105"/>
      <c r="H50" s="304"/>
      <c r="I50" s="161"/>
      <c r="J50" s="161"/>
    </row>
    <row r="51" spans="2:10" s="210" customFormat="1" ht="15" customHeight="1">
      <c r="B51" s="92" t="s">
        <v>374</v>
      </c>
      <c r="C51" s="161"/>
      <c r="D51" s="161"/>
      <c r="E51" s="161"/>
      <c r="F51" s="303">
        <f>SUM(F48-F24)</f>
        <v>1535.80790175</v>
      </c>
      <c r="G51" s="105"/>
      <c r="H51" s="304">
        <f>ROUND(F51*Input!$E$13,0)</f>
        <v>153581</v>
      </c>
      <c r="I51" s="161"/>
      <c r="J51" s="271">
        <f>IF(OR(J24="",J48=""),"",J48-J24)</f>
      </c>
    </row>
    <row r="52" spans="2:10" s="210" customFormat="1" ht="15" customHeight="1">
      <c r="B52" s="92" t="s">
        <v>375</v>
      </c>
      <c r="C52" s="161"/>
      <c r="D52" s="161"/>
      <c r="E52" s="161"/>
      <c r="F52" s="303">
        <f>SUM(F48-F24-F40)</f>
        <v>1455.80790175</v>
      </c>
      <c r="G52" s="105"/>
      <c r="H52" s="304">
        <f>ROUND(F52*Input!$E$13,0)</f>
        <v>145581</v>
      </c>
      <c r="I52" s="161"/>
      <c r="J52" s="271">
        <f>IF(OR(J24="",J40="",J48=""),"",J48-J24-J40)</f>
      </c>
    </row>
    <row r="53" spans="2:10" s="210" customFormat="1" ht="15" customHeight="1">
      <c r="B53" s="92" t="s">
        <v>376</v>
      </c>
      <c r="C53" s="161"/>
      <c r="D53" s="161"/>
      <c r="E53" s="161"/>
      <c r="F53" s="303">
        <f>SUM(F48-F38)</f>
        <v>1178.5254017500001</v>
      </c>
      <c r="G53" s="105"/>
      <c r="H53" s="304">
        <f>ROUND(F53*Input!$E$13,0)</f>
        <v>117853</v>
      </c>
      <c r="I53" s="161"/>
      <c r="J53" s="271">
        <f>IF(OR(J38="",J48=""),"",J48-J38)</f>
      </c>
    </row>
    <row r="54" spans="2:10" s="210" customFormat="1" ht="15" customHeight="1">
      <c r="B54" s="92" t="s">
        <v>377</v>
      </c>
      <c r="C54" s="161"/>
      <c r="D54" s="161"/>
      <c r="E54" s="161"/>
      <c r="F54" s="303">
        <f>SUM(F48-F42)</f>
        <v>1098.5254017500001</v>
      </c>
      <c r="G54" s="105"/>
      <c r="H54" s="304">
        <f>ROUND(F54*Input!$E$13,0)</f>
        <v>109853</v>
      </c>
      <c r="I54" s="161"/>
      <c r="J54" s="271">
        <f>IF(OR(J41="",J48=""),"",J48-J41)</f>
      </c>
    </row>
    <row r="55" spans="2:10" s="210" customFormat="1" ht="15" customHeight="1">
      <c r="B55" s="6" t="s">
        <v>352</v>
      </c>
      <c r="C55" s="161"/>
      <c r="D55" s="161"/>
      <c r="E55" s="161"/>
      <c r="F55" s="305">
        <f>SUM(F24/F48)</f>
        <v>0.2915577364641256</v>
      </c>
      <c r="G55" s="306"/>
      <c r="H55" s="307"/>
      <c r="I55" s="161"/>
      <c r="J55" s="273">
        <f>IF(OR(J24="",J48=""),"",J24/J48)</f>
      </c>
    </row>
    <row r="56" spans="2:10" s="210" customFormat="1" ht="4.5" customHeight="1">
      <c r="B56" s="161"/>
      <c r="C56" s="161"/>
      <c r="D56" s="161"/>
      <c r="E56" s="161"/>
      <c r="G56" s="161"/>
      <c r="I56" s="161"/>
      <c r="J56" s="161"/>
    </row>
    <row r="57" spans="2:8" ht="15.75">
      <c r="B57" s="19" t="s">
        <v>50</v>
      </c>
      <c r="F57" s="308" t="s">
        <v>228</v>
      </c>
      <c r="G57" s="309"/>
      <c r="H57" s="308" t="s">
        <v>396</v>
      </c>
    </row>
    <row r="58" spans="2:10" ht="15">
      <c r="B58" s="92" t="s">
        <v>455</v>
      </c>
      <c r="F58" s="388">
        <f>(F24/(Input!E15/100))</f>
        <v>718.2478480113635</v>
      </c>
      <c r="G58" s="10"/>
      <c r="H58" s="387">
        <f>(F58/(Input!E20))*100</f>
        <v>155.12912484046728</v>
      </c>
      <c r="J58" s="13"/>
    </row>
    <row r="59" spans="2:10" ht="15">
      <c r="B59" s="92" t="s">
        <v>458</v>
      </c>
      <c r="F59" s="388">
        <f>(F24+F40/(Input!E15/100))</f>
        <v>722.9671971590908</v>
      </c>
      <c r="G59" s="10"/>
      <c r="H59" s="387">
        <f>(F59/(Input!E20))*100</f>
        <v>156.14842271254662</v>
      </c>
      <c r="J59" s="13"/>
    </row>
    <row r="60" spans="2:10" ht="15">
      <c r="B60" s="92" t="s">
        <v>456</v>
      </c>
      <c r="F60" s="388">
        <f>((F38)/(Input!E15/100))</f>
        <v>1124.2506889204544</v>
      </c>
      <c r="G60" s="10"/>
      <c r="H60" s="387">
        <f>((F60)/Input!E20)*100</f>
        <v>242.81872330895342</v>
      </c>
      <c r="J60" s="13"/>
    </row>
    <row r="61" spans="2:10" ht="15">
      <c r="B61" s="92" t="s">
        <v>457</v>
      </c>
      <c r="F61" s="388">
        <f>((F42)/(Input!E15/100))</f>
        <v>1215.1597798295452</v>
      </c>
      <c r="G61" s="10"/>
      <c r="H61" s="387">
        <f>((F61/Input!E20))*100</f>
        <v>262.4535161618888</v>
      </c>
      <c r="J61" s="13"/>
    </row>
    <row r="62" ht="15">
      <c r="B62" s="43" t="s">
        <v>51</v>
      </c>
    </row>
    <row r="63" ht="6" customHeight="1" thickBot="1"/>
    <row r="64" spans="1:10" s="210" customFormat="1" ht="15" customHeight="1" thickTop="1">
      <c r="A64" s="429" t="s">
        <v>378</v>
      </c>
      <c r="B64" s="429"/>
      <c r="C64" s="429"/>
      <c r="D64" s="429"/>
      <c r="E64" s="429"/>
      <c r="F64" s="429"/>
      <c r="G64" s="429"/>
      <c r="H64" s="429"/>
      <c r="I64" s="429"/>
      <c r="J64" s="429"/>
    </row>
    <row r="65" spans="1:10" s="210" customFormat="1" ht="4.5" customHeight="1">
      <c r="A65" s="258"/>
      <c r="B65" s="258"/>
      <c r="C65" s="258"/>
      <c r="D65" s="258"/>
      <c r="E65" s="258"/>
      <c r="F65" s="258"/>
      <c r="G65" s="258"/>
      <c r="H65" s="258"/>
      <c r="I65" s="258"/>
      <c r="J65" s="258"/>
    </row>
    <row r="66" spans="2:6" s="108" customFormat="1" ht="15" customHeight="1">
      <c r="B66" s="107" t="str">
        <f>"Summer grazing (based on "&amp;Input!G41&amp;" days)"</f>
        <v>Summer grazing (based on 170 days)</v>
      </c>
      <c r="C66" s="107"/>
      <c r="D66" s="107"/>
      <c r="E66" s="107"/>
      <c r="F66" s="259">
        <f>SUM((F35+F21+F30+F8)/Input!G41)</f>
        <v>0.745014705882353</v>
      </c>
    </row>
    <row r="67" spans="2:6" s="108" customFormat="1" ht="15" customHeight="1">
      <c r="B67" s="107" t="str">
        <f>"Extended grazing (based on "&amp;Input!G42&amp;" days)"</f>
        <v>Extended grazing (based on 30 days)</v>
      </c>
      <c r="C67" s="107"/>
      <c r="D67" s="107"/>
      <c r="E67" s="107"/>
      <c r="F67" s="259">
        <f>IF('Extended Grazing'!G58="",0,'Extended Grazing'!G58)</f>
        <v>0.8063802083333333</v>
      </c>
    </row>
    <row r="68" spans="2:6" s="108" customFormat="1" ht="15" customHeight="1">
      <c r="B68" s="107" t="str">
        <f>"Winter feed (based on "&amp;Input!G43&amp;" days)"</f>
        <v>Winter feed (based on 165 days)</v>
      </c>
      <c r="D68" s="107"/>
      <c r="E68" s="107"/>
      <c r="F68" s="259">
        <f>SUM((F5+F6+F7)/Input!G43)</f>
        <v>1.6616363636363638</v>
      </c>
    </row>
    <row r="69" spans="2:7" s="108" customFormat="1" ht="15" customHeight="1">
      <c r="B69" s="107" t="str">
        <f>"Yardage (based on "&amp;Input!G43+Input!G42&amp;" days)"</f>
        <v>Yardage (based on 195 days)</v>
      </c>
      <c r="D69" s="107"/>
      <c r="E69" s="107"/>
      <c r="F69" s="259">
        <f>(Summary!F14+Details!D216+Details!D159+Details!D311+Details!D318+Details!D339+Details!D347+(Summary!F20*((Input!G42+Input!G43)/365))+Details!D384*0.625)/(Input!G43+Input!G42)</f>
        <v>1.3882816368106778</v>
      </c>
      <c r="G69" s="260"/>
    </row>
    <row r="70" spans="2:7" s="108" customFormat="1" ht="15" customHeight="1">
      <c r="B70" s="107" t="str">
        <f>"Total Overwinter Costs (based on "&amp;Input!G43+Input!G42&amp;" days)"</f>
        <v>Total Overwinter Costs (based on 195 days)</v>
      </c>
      <c r="C70" s="107"/>
      <c r="D70" s="107"/>
      <c r="E70" s="107"/>
      <c r="F70" s="259">
        <f>SUM(((F68*Input!G43)+(F69*(Input!G42+Input!G43))+(F67*Input!G42))/(Input!G42+Input!G43))</f>
        <v>2.9183401304004217</v>
      </c>
      <c r="G70" s="261"/>
    </row>
    <row r="72" spans="2:10" s="210" customFormat="1" ht="15" customHeight="1">
      <c r="B72" s="430" t="s">
        <v>382</v>
      </c>
      <c r="C72" s="431"/>
      <c r="D72" s="431"/>
      <c r="E72" s="431"/>
      <c r="F72" s="431"/>
      <c r="G72" s="431"/>
      <c r="H72" s="431"/>
      <c r="I72" s="431"/>
      <c r="J72" s="431"/>
    </row>
    <row r="73" spans="2:10" s="210" customFormat="1" ht="15" customHeight="1">
      <c r="B73" s="431"/>
      <c r="C73" s="431"/>
      <c r="D73" s="431"/>
      <c r="E73" s="431"/>
      <c r="F73" s="431"/>
      <c r="G73" s="431"/>
      <c r="H73" s="431"/>
      <c r="I73" s="431"/>
      <c r="J73" s="431"/>
    </row>
    <row r="74" spans="2:10" s="210" customFormat="1" ht="15" customHeight="1">
      <c r="B74" s="431"/>
      <c r="C74" s="431"/>
      <c r="D74" s="431"/>
      <c r="E74" s="431"/>
      <c r="F74" s="431"/>
      <c r="G74" s="431"/>
      <c r="H74" s="431"/>
      <c r="I74" s="431"/>
      <c r="J74" s="431"/>
    </row>
  </sheetData>
  <sheetProtection password="C6A6" sheet="1"/>
  <mergeCells count="3">
    <mergeCell ref="B1:J1"/>
    <mergeCell ref="A64:J64"/>
    <mergeCell ref="B72:J74"/>
  </mergeCells>
  <printOptions/>
  <pageMargins left="0.89" right="0.75" top="0.63" bottom="0.84" header="0.5" footer="0.5"/>
  <pageSetup firstPageNumber="2" useFirstPageNumber="1" fitToHeight="1" fitToWidth="1" horizontalDpi="600" verticalDpi="600" orientation="portrait" scale="67" r:id="rId1"/>
  <headerFooter alignWithMargins="0">
    <oddHeader>&amp;L&amp;9Guidelines: Bison Cow-Calf Production Costs&amp;R&amp;P</oddHeader>
    <oddFooter>&amp;R&amp;9Manitoba Agriculture</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AJ88"/>
  <sheetViews>
    <sheetView showGridLines="0" zoomScale="80" zoomScaleNormal="80" workbookViewId="0" topLeftCell="A1">
      <selection activeCell="C16" sqref="C16"/>
    </sheetView>
  </sheetViews>
  <sheetFormatPr defaultColWidth="7.99609375" defaultRowHeight="15"/>
  <cols>
    <col min="1" max="1" width="1.66796875" style="207" customWidth="1"/>
    <col min="2" max="2" width="28.5546875" style="207" customWidth="1"/>
    <col min="3" max="10" width="9.3359375" style="207" customWidth="1"/>
    <col min="11" max="11" width="8.3359375" style="207" customWidth="1"/>
    <col min="12" max="22" width="7.99609375" style="207" customWidth="1"/>
    <col min="23" max="16384" width="7.99609375" style="192" customWidth="1"/>
  </cols>
  <sheetData>
    <row r="1" spans="1:27" ht="18">
      <c r="A1" s="189"/>
      <c r="B1" s="432" t="s">
        <v>328</v>
      </c>
      <c r="C1" s="432"/>
      <c r="D1" s="432"/>
      <c r="E1" s="432"/>
      <c r="F1" s="432"/>
      <c r="G1" s="432"/>
      <c r="H1" s="432"/>
      <c r="I1" s="432"/>
      <c r="J1" s="432"/>
      <c r="K1" s="432"/>
      <c r="L1" s="190"/>
      <c r="M1" s="190"/>
      <c r="N1" s="190"/>
      <c r="O1" s="190"/>
      <c r="P1" s="190"/>
      <c r="Q1" s="190"/>
      <c r="R1" s="190"/>
      <c r="S1" s="190"/>
      <c r="T1" s="190"/>
      <c r="U1" s="190"/>
      <c r="V1" s="190"/>
      <c r="W1" s="191"/>
      <c r="X1" s="191"/>
      <c r="Y1" s="191"/>
      <c r="Z1" s="191"/>
      <c r="AA1" s="191"/>
    </row>
    <row r="2" spans="1:21" s="200" customFormat="1" ht="6.75" customHeight="1">
      <c r="A2" s="193"/>
      <c r="B2" s="193"/>
      <c r="C2" s="194"/>
      <c r="D2" s="194"/>
      <c r="E2" s="195"/>
      <c r="F2" s="194"/>
      <c r="G2" s="196"/>
      <c r="H2" s="194"/>
      <c r="I2" s="194"/>
      <c r="J2" s="195"/>
      <c r="K2" s="193"/>
      <c r="L2" s="196"/>
      <c r="M2" s="197"/>
      <c r="N2" s="433"/>
      <c r="O2" s="433"/>
      <c r="P2" s="198"/>
      <c r="Q2" s="193"/>
      <c r="R2" s="194"/>
      <c r="S2" s="196"/>
      <c r="T2" s="199"/>
      <c r="U2" s="196"/>
    </row>
    <row r="3" spans="1:21" s="205" customFormat="1" ht="15">
      <c r="A3" s="201"/>
      <c r="B3" s="201"/>
      <c r="C3" s="202" t="s">
        <v>329</v>
      </c>
      <c r="D3" s="196"/>
      <c r="E3" s="203"/>
      <c r="F3" s="196"/>
      <c r="G3" s="199"/>
      <c r="H3" s="196"/>
      <c r="I3" s="196"/>
      <c r="J3" s="196"/>
      <c r="K3" s="196"/>
      <c r="L3" s="196"/>
      <c r="M3" s="196"/>
      <c r="N3" s="196"/>
      <c r="O3" s="196"/>
      <c r="P3" s="196"/>
      <c r="Q3" s="195"/>
      <c r="R3" s="196"/>
      <c r="S3" s="196"/>
      <c r="T3" s="204"/>
      <c r="U3" s="204"/>
    </row>
    <row r="4" spans="1:21" ht="18">
      <c r="A4" s="206" t="s">
        <v>165</v>
      </c>
      <c r="C4" s="208">
        <f>Summary!F24</f>
        <v>632.0581062499999</v>
      </c>
      <c r="D4" s="208"/>
      <c r="E4" s="208"/>
      <c r="F4" s="208"/>
      <c r="G4" s="208"/>
      <c r="H4" s="208"/>
      <c r="I4" s="208"/>
      <c r="J4" s="208"/>
      <c r="K4" s="208"/>
      <c r="L4" s="208"/>
      <c r="M4" s="208"/>
      <c r="N4" s="208"/>
      <c r="O4" s="208"/>
      <c r="P4" s="208"/>
      <c r="Q4" s="208"/>
      <c r="R4" s="208"/>
      <c r="S4" s="208"/>
      <c r="T4" s="208"/>
      <c r="U4" s="208"/>
    </row>
    <row r="5" spans="1:21" ht="18">
      <c r="A5" s="209" t="s">
        <v>173</v>
      </c>
      <c r="C5" s="208">
        <f>Summary!F36</f>
        <v>357.2825</v>
      </c>
      <c r="D5" s="208"/>
      <c r="E5" s="208"/>
      <c r="F5" s="208"/>
      <c r="G5" s="208"/>
      <c r="H5" s="208"/>
      <c r="I5" s="208"/>
      <c r="J5" s="208"/>
      <c r="K5" s="208"/>
      <c r="L5" s="208"/>
      <c r="M5" s="208"/>
      <c r="N5" s="208"/>
      <c r="O5" s="208"/>
      <c r="P5" s="208"/>
      <c r="Q5" s="208"/>
      <c r="R5" s="208"/>
      <c r="S5" s="208"/>
      <c r="T5" s="208"/>
      <c r="U5" s="208"/>
    </row>
    <row r="6" spans="1:21" ht="18">
      <c r="A6" s="209" t="s">
        <v>49</v>
      </c>
      <c r="C6" s="208">
        <f>Summary!F40</f>
        <v>80</v>
      </c>
      <c r="D6" s="208"/>
      <c r="E6" s="208"/>
      <c r="F6" s="208"/>
      <c r="G6" s="208"/>
      <c r="H6" s="208"/>
      <c r="I6" s="208"/>
      <c r="J6" s="208"/>
      <c r="K6" s="208"/>
      <c r="L6" s="208"/>
      <c r="M6" s="208"/>
      <c r="N6" s="208"/>
      <c r="O6" s="208"/>
      <c r="P6" s="208"/>
      <c r="Q6" s="208"/>
      <c r="R6" s="208"/>
      <c r="S6" s="208"/>
      <c r="T6" s="208"/>
      <c r="U6" s="208"/>
    </row>
    <row r="7" spans="1:21" ht="18">
      <c r="A7" s="209" t="s">
        <v>330</v>
      </c>
      <c r="C7" s="208">
        <f>Summary!F42</f>
        <v>1069.3406062499998</v>
      </c>
      <c r="D7" s="208"/>
      <c r="E7" s="208"/>
      <c r="F7" s="208"/>
      <c r="G7" s="208"/>
      <c r="H7" s="208"/>
      <c r="I7" s="208"/>
      <c r="J7" s="208"/>
      <c r="K7" s="208"/>
      <c r="L7" s="208"/>
      <c r="M7" s="208"/>
      <c r="N7" s="208"/>
      <c r="O7" s="208"/>
      <c r="P7" s="208"/>
      <c r="Q7" s="208"/>
      <c r="R7" s="208"/>
      <c r="S7" s="208"/>
      <c r="T7" s="208"/>
      <c r="U7" s="208"/>
    </row>
    <row r="8" spans="1:21" ht="7.5" customHeight="1">
      <c r="A8" s="209"/>
      <c r="C8" s="208"/>
      <c r="D8" s="208"/>
      <c r="E8" s="208"/>
      <c r="F8" s="208"/>
      <c r="G8" s="208"/>
      <c r="H8" s="208"/>
      <c r="I8" s="208"/>
      <c r="J8" s="208"/>
      <c r="K8" s="208"/>
      <c r="L8" s="208"/>
      <c r="M8" s="208"/>
      <c r="N8" s="208"/>
      <c r="O8" s="208"/>
      <c r="P8" s="208"/>
      <c r="Q8" s="208"/>
      <c r="R8" s="208"/>
      <c r="S8" s="208"/>
      <c r="T8" s="208"/>
      <c r="U8" s="208"/>
    </row>
    <row r="9" spans="1:27" ht="18">
      <c r="A9" s="143" t="s">
        <v>331</v>
      </c>
      <c r="B9" s="210"/>
      <c r="C9" s="192"/>
      <c r="D9" s="191"/>
      <c r="E9" s="191"/>
      <c r="F9" s="191"/>
      <c r="G9" s="191"/>
      <c r="H9" s="191"/>
      <c r="I9" s="192"/>
      <c r="J9" s="191"/>
      <c r="K9" s="191"/>
      <c r="L9" s="191"/>
      <c r="M9" s="191"/>
      <c r="N9" s="191"/>
      <c r="O9" s="191"/>
      <c r="P9" s="191"/>
      <c r="Q9" s="191"/>
      <c r="R9" s="191"/>
      <c r="S9" s="191"/>
      <c r="T9" s="191"/>
      <c r="U9" s="191"/>
      <c r="V9" s="191"/>
      <c r="W9" s="191"/>
      <c r="X9" s="191"/>
      <c r="Y9" s="191"/>
      <c r="Z9" s="191"/>
      <c r="AA9" s="191"/>
    </row>
    <row r="10" spans="1:21" ht="18">
      <c r="A10" s="210"/>
      <c r="B10" s="161" t="s">
        <v>332</v>
      </c>
      <c r="C10" s="211">
        <f>Summary!F46</f>
        <v>532.07</v>
      </c>
      <c r="D10" s="212"/>
      <c r="E10" s="212"/>
      <c r="F10" s="212"/>
      <c r="G10" s="212"/>
      <c r="H10" s="212"/>
      <c r="I10" s="212"/>
      <c r="J10" s="212"/>
      <c r="K10" s="212"/>
      <c r="L10" s="212"/>
      <c r="M10" s="212"/>
      <c r="N10" s="212"/>
      <c r="O10" s="212"/>
      <c r="P10" s="212"/>
      <c r="Q10" s="212"/>
      <c r="R10" s="212"/>
      <c r="S10" s="212"/>
      <c r="T10" s="212"/>
      <c r="U10" s="212"/>
    </row>
    <row r="11" spans="1:21" ht="18">
      <c r="A11" s="210"/>
      <c r="B11" s="161" t="s">
        <v>333</v>
      </c>
      <c r="C11" s="213">
        <f>Input!E15</f>
        <v>88</v>
      </c>
      <c r="D11" s="212"/>
      <c r="E11" s="212"/>
      <c r="F11" s="212"/>
      <c r="G11" s="212"/>
      <c r="H11" s="212"/>
      <c r="I11" s="212"/>
      <c r="J11" s="212"/>
      <c r="K11" s="212"/>
      <c r="L11" s="212"/>
      <c r="M11" s="212"/>
      <c r="N11" s="212"/>
      <c r="O11" s="212"/>
      <c r="P11" s="212"/>
      <c r="Q11" s="212"/>
      <c r="R11" s="212"/>
      <c r="S11" s="212"/>
      <c r="T11" s="212"/>
      <c r="U11" s="212"/>
    </row>
    <row r="12" spans="1:22" s="217" customFormat="1" ht="18">
      <c r="A12" s="210"/>
      <c r="B12" s="161" t="s">
        <v>334</v>
      </c>
      <c r="C12" s="214">
        <f>Input!E20</f>
        <v>463</v>
      </c>
      <c r="D12" s="215"/>
      <c r="E12" s="215"/>
      <c r="F12" s="215"/>
      <c r="G12" s="215"/>
      <c r="H12" s="215"/>
      <c r="I12" s="215"/>
      <c r="J12" s="215"/>
      <c r="K12" s="215"/>
      <c r="L12" s="215"/>
      <c r="M12" s="215"/>
      <c r="N12" s="215"/>
      <c r="O12" s="215"/>
      <c r="P12" s="215"/>
      <c r="Q12" s="215"/>
      <c r="R12" s="215"/>
      <c r="S12" s="215"/>
      <c r="T12" s="215"/>
      <c r="U12" s="215"/>
      <c r="V12" s="216"/>
    </row>
    <row r="13" spans="1:22" s="217" customFormat="1" ht="9" customHeight="1">
      <c r="A13" s="210"/>
      <c r="B13" s="161"/>
      <c r="C13" s="214"/>
      <c r="D13" s="215"/>
      <c r="E13" s="215"/>
      <c r="F13" s="215"/>
      <c r="G13" s="215"/>
      <c r="H13" s="215"/>
      <c r="I13" s="215"/>
      <c r="J13" s="215"/>
      <c r="K13" s="215"/>
      <c r="L13" s="215"/>
      <c r="M13" s="215"/>
      <c r="N13" s="215"/>
      <c r="O13" s="215"/>
      <c r="P13" s="215"/>
      <c r="Q13" s="215"/>
      <c r="R13" s="215"/>
      <c r="S13" s="215"/>
      <c r="T13" s="215"/>
      <c r="U13" s="215"/>
      <c r="V13" s="216"/>
    </row>
    <row r="14" spans="1:22" s="217" customFormat="1" ht="9" customHeight="1">
      <c r="A14" s="218"/>
      <c r="B14" s="218"/>
      <c r="C14" s="219"/>
      <c r="D14" s="219"/>
      <c r="E14" s="219"/>
      <c r="F14" s="219"/>
      <c r="G14" s="219"/>
      <c r="H14" s="219"/>
      <c r="I14" s="219"/>
      <c r="J14" s="219"/>
      <c r="K14" s="219"/>
      <c r="L14" s="220"/>
      <c r="M14" s="220"/>
      <c r="N14" s="220"/>
      <c r="O14" s="220"/>
      <c r="P14" s="220"/>
      <c r="Q14" s="220"/>
      <c r="R14" s="220"/>
      <c r="S14" s="220"/>
      <c r="T14" s="220"/>
      <c r="U14" s="220"/>
      <c r="V14" s="216"/>
    </row>
    <row r="15" spans="1:22" ht="18">
      <c r="A15" s="221"/>
      <c r="B15" s="222"/>
      <c r="C15" s="223" t="s">
        <v>335</v>
      </c>
      <c r="D15" s="223" t="s">
        <v>336</v>
      </c>
      <c r="E15" s="222"/>
      <c r="F15" s="222"/>
      <c r="G15" s="221"/>
      <c r="H15" s="222"/>
      <c r="I15" s="224"/>
      <c r="J15" s="224"/>
      <c r="K15" s="222"/>
      <c r="Q15" s="225"/>
      <c r="R15" s="225"/>
      <c r="S15" s="226"/>
      <c r="T15" s="226"/>
      <c r="U15" s="225"/>
      <c r="V15" s="225"/>
    </row>
    <row r="16" spans="1:22" ht="18">
      <c r="A16" s="218"/>
      <c r="B16" s="227" t="s">
        <v>337</v>
      </c>
      <c r="C16" s="228">
        <v>0.05</v>
      </c>
      <c r="D16" s="228">
        <v>0.1</v>
      </c>
      <c r="E16" s="221"/>
      <c r="F16" s="229"/>
      <c r="G16" s="221"/>
      <c r="H16" s="221"/>
      <c r="I16" s="230"/>
      <c r="J16" s="230"/>
      <c r="K16" s="222"/>
      <c r="Q16" s="231"/>
      <c r="R16" s="231"/>
      <c r="S16" s="232"/>
      <c r="T16" s="233"/>
      <c r="U16" s="231"/>
      <c r="V16" s="231"/>
    </row>
    <row r="17" spans="1:22" ht="18">
      <c r="A17" s="218"/>
      <c r="B17" s="227" t="s">
        <v>338</v>
      </c>
      <c r="C17" s="234">
        <v>0.01</v>
      </c>
      <c r="D17" s="234">
        <v>0.05</v>
      </c>
      <c r="E17" s="221"/>
      <c r="F17" s="229"/>
      <c r="G17" s="221"/>
      <c r="H17" s="227"/>
      <c r="I17" s="230"/>
      <c r="J17" s="230"/>
      <c r="K17" s="222"/>
      <c r="Q17" s="231"/>
      <c r="R17" s="231"/>
      <c r="S17" s="232"/>
      <c r="T17" s="233"/>
      <c r="U17" s="231"/>
      <c r="V17" s="231"/>
    </row>
    <row r="18" spans="1:22" ht="18">
      <c r="A18" s="218"/>
      <c r="B18" s="227" t="s">
        <v>339</v>
      </c>
      <c r="C18" s="228">
        <v>0.05</v>
      </c>
      <c r="D18" s="228">
        <v>0.05</v>
      </c>
      <c r="E18" s="221"/>
      <c r="F18" s="229"/>
      <c r="G18" s="221"/>
      <c r="H18" s="227"/>
      <c r="I18" s="230"/>
      <c r="J18" s="230"/>
      <c r="K18" s="222"/>
      <c r="Q18" s="231"/>
      <c r="R18" s="231"/>
      <c r="S18" s="232"/>
      <c r="T18" s="233"/>
      <c r="U18" s="231"/>
      <c r="V18" s="231"/>
    </row>
    <row r="19" spans="1:22" ht="9" customHeight="1">
      <c r="A19" s="218"/>
      <c r="B19" s="227"/>
      <c r="C19" s="230"/>
      <c r="D19" s="230"/>
      <c r="E19" s="221"/>
      <c r="F19" s="229"/>
      <c r="G19" s="221"/>
      <c r="H19" s="227"/>
      <c r="I19" s="230"/>
      <c r="J19" s="230"/>
      <c r="K19" s="222"/>
      <c r="Q19" s="231"/>
      <c r="R19" s="231"/>
      <c r="S19" s="232"/>
      <c r="T19" s="233"/>
      <c r="U19" s="231"/>
      <c r="V19" s="231"/>
    </row>
    <row r="20" spans="1:22" s="217" customFormat="1" ht="9" customHeight="1">
      <c r="A20" s="235"/>
      <c r="B20" s="235"/>
      <c r="C20" s="220"/>
      <c r="D20" s="220"/>
      <c r="E20" s="220"/>
      <c r="F20" s="220"/>
      <c r="G20" s="220"/>
      <c r="H20" s="220"/>
      <c r="I20" s="220"/>
      <c r="J20" s="220"/>
      <c r="K20" s="220"/>
      <c r="L20" s="220"/>
      <c r="M20" s="220"/>
      <c r="N20" s="220"/>
      <c r="O20" s="220"/>
      <c r="P20" s="220"/>
      <c r="Q20" s="220"/>
      <c r="R20" s="220"/>
      <c r="S20" s="220"/>
      <c r="T20" s="220"/>
      <c r="U20" s="220"/>
      <c r="V20" s="216"/>
    </row>
    <row r="21" spans="1:22" s="238" customFormat="1" ht="18" customHeight="1">
      <c r="A21" s="209"/>
      <c r="B21" s="236" t="s">
        <v>340</v>
      </c>
      <c r="C21" s="211">
        <f>SUM(C10*(1+C16))</f>
        <v>558.6735000000001</v>
      </c>
      <c r="D21" s="211"/>
      <c r="E21" s="211"/>
      <c r="F21" s="211"/>
      <c r="G21" s="211"/>
      <c r="H21" s="211"/>
      <c r="I21" s="211"/>
      <c r="J21" s="211"/>
      <c r="K21" s="211"/>
      <c r="L21" s="211"/>
      <c r="M21" s="211"/>
      <c r="N21" s="211"/>
      <c r="O21" s="211"/>
      <c r="P21" s="211"/>
      <c r="Q21" s="211"/>
      <c r="R21" s="211"/>
      <c r="S21" s="211"/>
      <c r="T21" s="211"/>
      <c r="U21" s="211"/>
      <c r="V21" s="237"/>
    </row>
    <row r="22" spans="1:22" s="238" customFormat="1" ht="18" customHeight="1">
      <c r="A22" s="209"/>
      <c r="B22" s="236" t="s">
        <v>341</v>
      </c>
      <c r="C22" s="211">
        <f>SUM(C10*(1-D16))</f>
        <v>478.86300000000006</v>
      </c>
      <c r="D22" s="211"/>
      <c r="E22" s="211"/>
      <c r="F22" s="211"/>
      <c r="G22" s="211"/>
      <c r="H22" s="211"/>
      <c r="I22" s="211"/>
      <c r="J22" s="211"/>
      <c r="K22" s="211"/>
      <c r="L22" s="211"/>
      <c r="M22" s="211"/>
      <c r="N22" s="211"/>
      <c r="O22" s="211"/>
      <c r="P22" s="211"/>
      <c r="Q22" s="211"/>
      <c r="R22" s="211"/>
      <c r="S22" s="211"/>
      <c r="T22" s="211"/>
      <c r="U22" s="211"/>
      <c r="V22" s="237"/>
    </row>
    <row r="23" spans="1:22" s="238" customFormat="1" ht="18" customHeight="1">
      <c r="A23" s="209"/>
      <c r="B23" s="236" t="s">
        <v>342</v>
      </c>
      <c r="C23" s="239">
        <f>SUM(C11+(C17*100))</f>
        <v>89</v>
      </c>
      <c r="D23" s="239"/>
      <c r="E23" s="239"/>
      <c r="F23" s="239"/>
      <c r="G23" s="239"/>
      <c r="H23" s="239"/>
      <c r="I23" s="239"/>
      <c r="J23" s="239"/>
      <c r="K23" s="239"/>
      <c r="L23" s="239"/>
      <c r="M23" s="239"/>
      <c r="N23" s="239"/>
      <c r="O23" s="239"/>
      <c r="P23" s="239"/>
      <c r="Q23" s="239"/>
      <c r="R23" s="239"/>
      <c r="S23" s="239"/>
      <c r="T23" s="239"/>
      <c r="U23" s="239"/>
      <c r="V23" s="237"/>
    </row>
    <row r="24" spans="1:22" s="238" customFormat="1" ht="18" customHeight="1">
      <c r="A24" s="209"/>
      <c r="B24" s="236" t="s">
        <v>343</v>
      </c>
      <c r="C24" s="239">
        <f>SUM(C11-(D17*100))</f>
        <v>83</v>
      </c>
      <c r="D24" s="239"/>
      <c r="E24" s="239"/>
      <c r="F24" s="239"/>
      <c r="G24" s="239"/>
      <c r="H24" s="239"/>
      <c r="I24" s="239"/>
      <c r="J24" s="239"/>
      <c r="K24" s="239"/>
      <c r="L24" s="239"/>
      <c r="M24" s="239"/>
      <c r="N24" s="239"/>
      <c r="O24" s="239"/>
      <c r="P24" s="239"/>
      <c r="Q24" s="239"/>
      <c r="R24" s="239"/>
      <c r="S24" s="239"/>
      <c r="T24" s="239"/>
      <c r="U24" s="239"/>
      <c r="V24" s="237"/>
    </row>
    <row r="25" spans="1:22" s="238" customFormat="1" ht="18" customHeight="1">
      <c r="A25" s="209"/>
      <c r="B25" s="236" t="s">
        <v>344</v>
      </c>
      <c r="C25" s="239">
        <f>SUM(C12*(1+C18))</f>
        <v>486.15000000000003</v>
      </c>
      <c r="D25" s="239"/>
      <c r="E25" s="239"/>
      <c r="F25" s="239"/>
      <c r="G25" s="239"/>
      <c r="H25" s="239"/>
      <c r="I25" s="239"/>
      <c r="J25" s="239"/>
      <c r="K25" s="239"/>
      <c r="L25" s="239"/>
      <c r="M25" s="239"/>
      <c r="N25" s="239"/>
      <c r="O25" s="239"/>
      <c r="P25" s="239"/>
      <c r="Q25" s="239"/>
      <c r="R25" s="239"/>
      <c r="S25" s="239"/>
      <c r="T25" s="239"/>
      <c r="U25" s="239"/>
      <c r="V25" s="237"/>
    </row>
    <row r="26" spans="1:22" s="238" customFormat="1" ht="18" customHeight="1">
      <c r="A26" s="209"/>
      <c r="B26" s="236" t="s">
        <v>345</v>
      </c>
      <c r="C26" s="239">
        <f>SUM(C12*(1-D18))</f>
        <v>439.84999999999997</v>
      </c>
      <c r="D26" s="239"/>
      <c r="E26" s="239"/>
      <c r="F26" s="239"/>
      <c r="G26" s="239"/>
      <c r="H26" s="239"/>
      <c r="I26" s="239"/>
      <c r="J26" s="239"/>
      <c r="K26" s="239"/>
      <c r="L26" s="239"/>
      <c r="M26" s="239"/>
      <c r="N26" s="239"/>
      <c r="O26" s="239"/>
      <c r="P26" s="239"/>
      <c r="Q26" s="239"/>
      <c r="R26" s="239"/>
      <c r="S26" s="239"/>
      <c r="T26" s="239"/>
      <c r="U26" s="239"/>
      <c r="V26" s="237"/>
    </row>
    <row r="27" ht="7.5" customHeight="1">
      <c r="A27" s="240"/>
    </row>
    <row r="28" spans="1:27" s="238" customFormat="1" ht="18">
      <c r="A28" s="241" t="str">
        <f>"Higher Margin Scenario - Price Up "&amp;C16*100&amp;"%, Calf Crop Up "&amp;C17*100&amp;"% and Calf Weight Up "&amp;C18*100&amp;"%"</f>
        <v>Higher Margin Scenario - Price Up 5%, Calf Crop Up 1% and Calf Weight Up 5%</v>
      </c>
      <c r="B28" s="237"/>
      <c r="C28" s="242"/>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1" ht="18">
      <c r="A29" s="240"/>
      <c r="B29" s="191" t="s">
        <v>346</v>
      </c>
      <c r="C29" s="211">
        <f>SUM((C25/100)*C21*(C23/100))</f>
        <v>2417.2321860225006</v>
      </c>
      <c r="D29" s="211"/>
      <c r="E29" s="211"/>
      <c r="F29" s="211"/>
      <c r="G29" s="211"/>
      <c r="H29" s="211"/>
      <c r="I29" s="211"/>
      <c r="J29" s="211"/>
      <c r="K29" s="211"/>
      <c r="L29" s="211"/>
      <c r="M29" s="211"/>
      <c r="N29" s="211"/>
      <c r="O29" s="211"/>
      <c r="P29" s="211"/>
      <c r="Q29" s="211"/>
      <c r="R29" s="211"/>
      <c r="S29" s="211"/>
      <c r="T29" s="211"/>
      <c r="U29" s="211"/>
    </row>
    <row r="30" spans="1:21" ht="18">
      <c r="A30" s="192"/>
      <c r="B30" s="191" t="s">
        <v>347</v>
      </c>
      <c r="C30" s="235"/>
      <c r="D30" s="235"/>
      <c r="E30" s="235"/>
      <c r="F30" s="235"/>
      <c r="G30" s="235"/>
      <c r="H30" s="235"/>
      <c r="I30" s="235"/>
      <c r="J30" s="235"/>
      <c r="K30" s="235"/>
      <c r="L30" s="235"/>
      <c r="M30" s="235"/>
      <c r="N30" s="235"/>
      <c r="O30" s="235"/>
      <c r="P30" s="235"/>
      <c r="Q30" s="235"/>
      <c r="R30" s="235"/>
      <c r="S30" s="235"/>
      <c r="T30" s="235"/>
      <c r="U30" s="235"/>
    </row>
    <row r="31" spans="1:21" ht="18">
      <c r="A31" s="240"/>
      <c r="B31" s="243" t="s">
        <v>348</v>
      </c>
      <c r="C31" s="244">
        <f>SUM(C29-C4)</f>
        <v>1785.1740797725006</v>
      </c>
      <c r="D31" s="244"/>
      <c r="E31" s="244"/>
      <c r="F31" s="244"/>
      <c r="G31" s="244"/>
      <c r="H31" s="244"/>
      <c r="I31" s="244"/>
      <c r="J31" s="244"/>
      <c r="K31" s="244"/>
      <c r="L31" s="244"/>
      <c r="M31" s="244"/>
      <c r="N31" s="244"/>
      <c r="O31" s="244"/>
      <c r="P31" s="244"/>
      <c r="Q31" s="244"/>
      <c r="R31" s="244"/>
      <c r="S31" s="244"/>
      <c r="T31" s="244"/>
      <c r="U31" s="244"/>
    </row>
    <row r="32" spans="1:21" ht="18">
      <c r="A32" s="240"/>
      <c r="B32" s="92" t="s">
        <v>349</v>
      </c>
      <c r="C32" s="244">
        <f>SUM(C29-C4-C6)</f>
        <v>1705.1740797725006</v>
      </c>
      <c r="D32" s="244"/>
      <c r="E32" s="244"/>
      <c r="F32" s="244"/>
      <c r="G32" s="244"/>
      <c r="H32" s="244"/>
      <c r="I32" s="244"/>
      <c r="J32" s="244"/>
      <c r="K32" s="244"/>
      <c r="L32" s="244"/>
      <c r="M32" s="244"/>
      <c r="N32" s="244"/>
      <c r="O32" s="244"/>
      <c r="P32" s="244"/>
      <c r="Q32" s="244"/>
      <c r="R32" s="244"/>
      <c r="S32" s="244"/>
      <c r="T32" s="244"/>
      <c r="U32" s="244"/>
    </row>
    <row r="33" spans="1:21" ht="18">
      <c r="A33" s="240"/>
      <c r="B33" s="92" t="s">
        <v>350</v>
      </c>
      <c r="C33" s="244">
        <f>SUM(C29-C4-C5)</f>
        <v>1427.8915797725006</v>
      </c>
      <c r="D33" s="244"/>
      <c r="E33" s="244"/>
      <c r="F33" s="244"/>
      <c r="G33" s="244"/>
      <c r="H33" s="244"/>
      <c r="I33" s="244"/>
      <c r="J33" s="244"/>
      <c r="K33" s="244"/>
      <c r="L33" s="244"/>
      <c r="M33" s="244"/>
      <c r="N33" s="244"/>
      <c r="O33" s="244"/>
      <c r="P33" s="244"/>
      <c r="Q33" s="244"/>
      <c r="R33" s="244"/>
      <c r="S33" s="244"/>
      <c r="T33" s="244"/>
      <c r="U33" s="244"/>
    </row>
    <row r="34" spans="1:21" ht="18">
      <c r="A34" s="240"/>
      <c r="B34" s="243" t="s">
        <v>351</v>
      </c>
      <c r="C34" s="244">
        <f>SUM(C29-C7)</f>
        <v>1347.8915797725008</v>
      </c>
      <c r="D34" s="244"/>
      <c r="E34" s="244"/>
      <c r="F34" s="244"/>
      <c r="G34" s="244"/>
      <c r="H34" s="244"/>
      <c r="I34" s="244"/>
      <c r="J34" s="244"/>
      <c r="K34" s="244"/>
      <c r="L34" s="244"/>
      <c r="M34" s="244"/>
      <c r="N34" s="244"/>
      <c r="O34" s="244"/>
      <c r="P34" s="244"/>
      <c r="Q34" s="244"/>
      <c r="R34" s="244"/>
      <c r="S34" s="244"/>
      <c r="T34" s="244"/>
      <c r="U34" s="244"/>
    </row>
    <row r="35" spans="1:21" ht="18">
      <c r="A35" s="240"/>
      <c r="B35" s="191" t="s">
        <v>352</v>
      </c>
      <c r="C35" s="245">
        <f>SUM(C4/C29)</f>
        <v>0.2614800969078758</v>
      </c>
      <c r="D35" s="245"/>
      <c r="E35" s="245"/>
      <c r="F35" s="245"/>
      <c r="G35" s="245"/>
      <c r="H35" s="245"/>
      <c r="I35" s="245"/>
      <c r="J35" s="245"/>
      <c r="K35" s="245"/>
      <c r="L35" s="245"/>
      <c r="M35" s="245"/>
      <c r="N35" s="245"/>
      <c r="O35" s="245"/>
      <c r="P35" s="245"/>
      <c r="Q35" s="245"/>
      <c r="R35" s="245"/>
      <c r="S35" s="245"/>
      <c r="T35" s="245"/>
      <c r="U35" s="245"/>
    </row>
    <row r="36" ht="7.5" customHeight="1">
      <c r="A36" s="240"/>
    </row>
    <row r="37" spans="1:27" s="238" customFormat="1" ht="18">
      <c r="A37" s="241" t="str">
        <f>"Lower Margin Scenario - Price Down "&amp;D16*100&amp;"%, Calf Crop Down "&amp;D17*100&amp;"% and Calf Weight Down "&amp;D18*100&amp;"%"</f>
        <v>Lower Margin Scenario - Price Down 10%, Calf Crop Down 5% and Calf Weight Down 5%</v>
      </c>
      <c r="B37" s="237"/>
      <c r="C37" s="242"/>
      <c r="D37" s="242"/>
      <c r="E37" s="242"/>
      <c r="F37" s="242"/>
      <c r="G37" s="242"/>
      <c r="H37" s="242"/>
      <c r="I37" s="242"/>
      <c r="J37" s="242"/>
      <c r="K37" s="242"/>
      <c r="L37" s="242"/>
      <c r="M37" s="242"/>
      <c r="N37" s="242"/>
      <c r="O37" s="242"/>
      <c r="P37" s="242"/>
      <c r="Q37" s="242"/>
      <c r="R37" s="242"/>
      <c r="S37" s="242"/>
      <c r="T37" s="242"/>
      <c r="U37" s="242"/>
      <c r="V37" s="191"/>
      <c r="W37" s="191"/>
      <c r="X37" s="191"/>
      <c r="Y37" s="191"/>
      <c r="Z37" s="191"/>
      <c r="AA37" s="191"/>
    </row>
    <row r="38" spans="1:21" ht="18">
      <c r="A38" s="240"/>
      <c r="B38" s="191" t="s">
        <v>346</v>
      </c>
      <c r="C38" s="211">
        <f>SUM((C26/100)*C22*(C24/100))</f>
        <v>1748.2114915649997</v>
      </c>
      <c r="D38" s="211"/>
      <c r="E38" s="211"/>
      <c r="F38" s="211"/>
      <c r="G38" s="211"/>
      <c r="H38" s="211"/>
      <c r="I38" s="211"/>
      <c r="J38" s="211"/>
      <c r="K38" s="211"/>
      <c r="L38" s="211"/>
      <c r="M38" s="211"/>
      <c r="N38" s="211"/>
      <c r="O38" s="211"/>
      <c r="P38" s="211"/>
      <c r="Q38" s="211"/>
      <c r="R38" s="211"/>
      <c r="S38" s="211"/>
      <c r="T38" s="211"/>
      <c r="U38" s="211"/>
    </row>
    <row r="39" spans="1:21" ht="18">
      <c r="A39" s="192"/>
      <c r="B39" s="191" t="s">
        <v>347</v>
      </c>
      <c r="C39" s="235"/>
      <c r="D39" s="235"/>
      <c r="E39" s="235"/>
      <c r="F39" s="235"/>
      <c r="G39" s="235"/>
      <c r="H39" s="235"/>
      <c r="I39" s="235"/>
      <c r="J39" s="235"/>
      <c r="K39" s="235"/>
      <c r="L39" s="235"/>
      <c r="M39" s="235"/>
      <c r="N39" s="235"/>
      <c r="O39" s="235"/>
      <c r="P39" s="235"/>
      <c r="Q39" s="235"/>
      <c r="R39" s="235"/>
      <c r="S39" s="235"/>
      <c r="T39" s="235"/>
      <c r="U39" s="235"/>
    </row>
    <row r="40" spans="1:21" ht="18">
      <c r="A40" s="240"/>
      <c r="B40" s="243" t="s">
        <v>348</v>
      </c>
      <c r="C40" s="244">
        <f>SUM(C38-C4)</f>
        <v>1116.153385315</v>
      </c>
      <c r="D40" s="244"/>
      <c r="E40" s="244"/>
      <c r="F40" s="244"/>
      <c r="G40" s="244"/>
      <c r="H40" s="244"/>
      <c r="I40" s="244"/>
      <c r="J40" s="244"/>
      <c r="K40" s="244"/>
      <c r="L40" s="244"/>
      <c r="M40" s="244"/>
      <c r="N40" s="244"/>
      <c r="O40" s="244"/>
      <c r="P40" s="244"/>
      <c r="Q40" s="244"/>
      <c r="R40" s="244"/>
      <c r="S40" s="244"/>
      <c r="T40" s="244"/>
      <c r="U40" s="244"/>
    </row>
    <row r="41" spans="1:21" ht="18">
      <c r="A41" s="240"/>
      <c r="B41" s="92" t="s">
        <v>349</v>
      </c>
      <c r="C41" s="244">
        <f>SUM(C38-C4-C6)</f>
        <v>1036.153385315</v>
      </c>
      <c r="D41" s="244"/>
      <c r="E41" s="244"/>
      <c r="F41" s="244"/>
      <c r="G41" s="244"/>
      <c r="H41" s="244"/>
      <c r="I41" s="244"/>
      <c r="J41" s="244"/>
      <c r="K41" s="244"/>
      <c r="L41" s="244"/>
      <c r="M41" s="244"/>
      <c r="N41" s="244"/>
      <c r="O41" s="244"/>
      <c r="P41" s="244"/>
      <c r="Q41" s="244"/>
      <c r="R41" s="244"/>
      <c r="S41" s="244"/>
      <c r="T41" s="244"/>
      <c r="U41" s="244"/>
    </row>
    <row r="42" spans="1:21" ht="18">
      <c r="A42" s="240"/>
      <c r="B42" s="92" t="s">
        <v>350</v>
      </c>
      <c r="C42" s="244">
        <f>SUM(C38-C4-C5)</f>
        <v>758.8708853149999</v>
      </c>
      <c r="D42" s="244"/>
      <c r="E42" s="244"/>
      <c r="F42" s="244"/>
      <c r="G42" s="244"/>
      <c r="H42" s="244"/>
      <c r="I42" s="244"/>
      <c r="J42" s="244"/>
      <c r="K42" s="244"/>
      <c r="L42" s="244"/>
      <c r="M42" s="244"/>
      <c r="N42" s="244"/>
      <c r="O42" s="244"/>
      <c r="P42" s="244"/>
      <c r="Q42" s="244"/>
      <c r="R42" s="244"/>
      <c r="S42" s="244"/>
      <c r="T42" s="244"/>
      <c r="U42" s="244"/>
    </row>
    <row r="43" spans="1:21" ht="18">
      <c r="A43" s="240"/>
      <c r="B43" s="243" t="s">
        <v>351</v>
      </c>
      <c r="C43" s="244">
        <f>SUM(C38-C7)</f>
        <v>678.8708853149999</v>
      </c>
      <c r="D43" s="244"/>
      <c r="E43" s="244"/>
      <c r="F43" s="244"/>
      <c r="G43" s="244"/>
      <c r="H43" s="244"/>
      <c r="I43" s="244"/>
      <c r="J43" s="244"/>
      <c r="K43" s="244"/>
      <c r="L43" s="244"/>
      <c r="M43" s="244"/>
      <c r="N43" s="244"/>
      <c r="O43" s="244"/>
      <c r="P43" s="244"/>
      <c r="Q43" s="244"/>
      <c r="R43" s="244"/>
      <c r="S43" s="244"/>
      <c r="T43" s="244"/>
      <c r="U43" s="244"/>
    </row>
    <row r="44" spans="1:21" ht="18">
      <c r="A44" s="240"/>
      <c r="B44" s="191" t="s">
        <v>352</v>
      </c>
      <c r="C44" s="245">
        <f>SUM(C4/C38)</f>
        <v>0.3615455620213211</v>
      </c>
      <c r="D44" s="245"/>
      <c r="E44" s="245"/>
      <c r="F44" s="245"/>
      <c r="G44" s="245"/>
      <c r="H44" s="245"/>
      <c r="I44" s="245"/>
      <c r="J44" s="245"/>
      <c r="K44" s="245"/>
      <c r="L44" s="245"/>
      <c r="M44" s="245"/>
      <c r="N44" s="245"/>
      <c r="O44" s="245"/>
      <c r="P44" s="245"/>
      <c r="Q44" s="245"/>
      <c r="R44" s="245"/>
      <c r="S44" s="245"/>
      <c r="T44" s="245"/>
      <c r="U44" s="245"/>
    </row>
    <row r="45" spans="1:22" s="217" customFormat="1" ht="18">
      <c r="A45" s="235"/>
      <c r="B45" s="216"/>
      <c r="C45" s="216"/>
      <c r="D45" s="216"/>
      <c r="E45" s="216"/>
      <c r="F45" s="216"/>
      <c r="G45" s="216"/>
      <c r="H45" s="216"/>
      <c r="I45" s="216"/>
      <c r="J45" s="216"/>
      <c r="K45" s="216"/>
      <c r="L45" s="216"/>
      <c r="M45" s="216"/>
      <c r="N45" s="216"/>
      <c r="O45" s="216"/>
      <c r="P45" s="216"/>
      <c r="Q45" s="216"/>
      <c r="R45" s="216"/>
      <c r="S45" s="216"/>
      <c r="T45" s="216"/>
      <c r="U45" s="216"/>
      <c r="V45" s="216"/>
    </row>
    <row r="46" spans="1:27" s="217" customFormat="1" ht="21">
      <c r="A46" s="189"/>
      <c r="B46" s="434" t="s">
        <v>353</v>
      </c>
      <c r="C46" s="434"/>
      <c r="D46" s="434"/>
      <c r="E46" s="434"/>
      <c r="F46" s="434"/>
      <c r="G46" s="434"/>
      <c r="H46" s="434"/>
      <c r="I46" s="434"/>
      <c r="J46" s="434"/>
      <c r="K46" s="434"/>
      <c r="L46" s="190"/>
      <c r="M46" s="190"/>
      <c r="N46" s="190"/>
      <c r="O46" s="190"/>
      <c r="P46" s="190"/>
      <c r="Q46" s="190"/>
      <c r="R46" s="190"/>
      <c r="S46" s="190"/>
      <c r="T46" s="190"/>
      <c r="U46" s="190"/>
      <c r="V46" s="190"/>
      <c r="W46" s="191"/>
      <c r="X46" s="191"/>
      <c r="Y46" s="191"/>
      <c r="Z46" s="191"/>
      <c r="AA46" s="191"/>
    </row>
    <row r="47" spans="1:22" s="217" customFormat="1" ht="18">
      <c r="A47" s="235"/>
      <c r="B47" s="216"/>
      <c r="C47" s="246" t="s">
        <v>354</v>
      </c>
      <c r="D47" s="246" t="s">
        <v>355</v>
      </c>
      <c r="E47" s="246" t="s">
        <v>356</v>
      </c>
      <c r="F47" s="246" t="s">
        <v>357</v>
      </c>
      <c r="G47" s="246" t="s">
        <v>358</v>
      </c>
      <c r="H47" s="246" t="s">
        <v>359</v>
      </c>
      <c r="I47" s="246" t="s">
        <v>360</v>
      </c>
      <c r="J47" s="246" t="s">
        <v>361</v>
      </c>
      <c r="K47" s="216"/>
      <c r="L47" s="216"/>
      <c r="M47" s="216"/>
      <c r="N47" s="216"/>
      <c r="O47" s="216"/>
      <c r="P47" s="216"/>
      <c r="Q47" s="216"/>
      <c r="R47" s="216"/>
      <c r="S47" s="216"/>
      <c r="T47" s="216"/>
      <c r="U47" s="216"/>
      <c r="V47" s="216"/>
    </row>
    <row r="48" spans="1:22" s="217" customFormat="1" ht="18">
      <c r="A48" s="191" t="s">
        <v>362</v>
      </c>
      <c r="B48" s="216"/>
      <c r="C48" s="216"/>
      <c r="D48" s="216"/>
      <c r="E48" s="216"/>
      <c r="F48" s="216"/>
      <c r="G48" s="216"/>
      <c r="H48" s="216"/>
      <c r="I48" s="216"/>
      <c r="J48" s="216"/>
      <c r="K48" s="216"/>
      <c r="L48" s="216"/>
      <c r="M48" s="216"/>
      <c r="N48" s="216"/>
      <c r="O48" s="216"/>
      <c r="P48" s="216"/>
      <c r="Q48" s="216"/>
      <c r="R48" s="216"/>
      <c r="S48" s="216"/>
      <c r="T48" s="216"/>
      <c r="U48" s="216"/>
      <c r="V48" s="216"/>
    </row>
    <row r="49" spans="1:22" s="217" customFormat="1" ht="18">
      <c r="A49" s="235"/>
      <c r="B49" s="216" t="s">
        <v>119</v>
      </c>
      <c r="C49" s="247">
        <f>Summary!F10</f>
        <v>298.36140625</v>
      </c>
      <c r="D49" s="248">
        <f>C49</f>
        <v>298.36140625</v>
      </c>
      <c r="E49" s="248">
        <f>C49</f>
        <v>298.36140625</v>
      </c>
      <c r="F49" s="248">
        <f>C49</f>
        <v>298.36140625</v>
      </c>
      <c r="G49" s="248">
        <f>C49</f>
        <v>298.36140625</v>
      </c>
      <c r="H49" s="248">
        <f>C49</f>
        <v>298.36140625</v>
      </c>
      <c r="I49" s="248">
        <f>C49</f>
        <v>298.36140625</v>
      </c>
      <c r="J49" s="248">
        <f>C49</f>
        <v>298.36140625</v>
      </c>
      <c r="K49" s="216"/>
      <c r="L49" s="216"/>
      <c r="M49" s="216"/>
      <c r="N49" s="216"/>
      <c r="O49" s="216"/>
      <c r="P49" s="216"/>
      <c r="Q49" s="216"/>
      <c r="R49" s="216"/>
      <c r="S49" s="216"/>
      <c r="T49" s="216"/>
      <c r="U49" s="216"/>
      <c r="V49" s="216"/>
    </row>
    <row r="50" spans="1:22" s="217" customFormat="1" ht="18.75">
      <c r="A50" s="235"/>
      <c r="B50" s="216" t="s">
        <v>363</v>
      </c>
      <c r="C50" s="247">
        <f>Summary!F22-Summary!F10</f>
        <v>319.78669999999994</v>
      </c>
      <c r="D50" s="247">
        <f>SUM(C50*(1+(Input!$E$106/100/2)))</f>
        <v>323.38430037499995</v>
      </c>
      <c r="E50" s="247">
        <f>SUM(D50*(1+(Input!$E$106/100/2)))</f>
        <v>327.0223737542187</v>
      </c>
      <c r="F50" s="247">
        <f>SUM(E50*(1+(Input!$E$106/100/2)))</f>
        <v>330.70137545895363</v>
      </c>
      <c r="G50" s="247">
        <f>SUM(F50*(1+(Input!$E$106/100/2)))</f>
        <v>334.42176593286683</v>
      </c>
      <c r="H50" s="247">
        <f>SUM(G50*(1+(Input!$E$106/100/2)))</f>
        <v>338.1840107996116</v>
      </c>
      <c r="I50" s="247">
        <f>SUM(H50*(1+(Input!$E$106/100/2)))</f>
        <v>341.9885809211072</v>
      </c>
      <c r="J50" s="247">
        <f>SUM(I50*(1+(Input!$E$106/100/2)))</f>
        <v>345.83595245646967</v>
      </c>
      <c r="K50" s="216"/>
      <c r="L50" s="216"/>
      <c r="M50" s="216"/>
      <c r="N50" s="216"/>
      <c r="O50" s="216"/>
      <c r="P50" s="216"/>
      <c r="Q50" s="216"/>
      <c r="R50" s="216"/>
      <c r="S50" s="216"/>
      <c r="T50" s="216"/>
      <c r="U50" s="216"/>
      <c r="V50" s="216"/>
    </row>
    <row r="51" spans="1:22" s="217" customFormat="1" ht="18">
      <c r="A51" s="235"/>
      <c r="B51" s="216" t="s">
        <v>364</v>
      </c>
      <c r="C51" s="247">
        <f>SUM((C49+C50)/2)*Input!$E$107/100</f>
        <v>13.908332390624999</v>
      </c>
      <c r="D51" s="247">
        <f>SUM((D49+D50)/2)*Input!$E$107/100</f>
        <v>13.989278399062497</v>
      </c>
      <c r="E51" s="247">
        <f>SUM((E49+E50)/2)*Input!$E$107/100</f>
        <v>14.07113505009492</v>
      </c>
      <c r="F51" s="247">
        <f>SUM((F49+F50)/2)*Input!$E$107/100</f>
        <v>14.153912588451458</v>
      </c>
      <c r="G51" s="247">
        <f>SUM((G49+G50)/2)*Input!$E$107/100</f>
        <v>14.237621374114504</v>
      </c>
      <c r="H51" s="247">
        <f>SUM((H49+H50)/2)*Input!$E$107/100</f>
        <v>14.32227188361626</v>
      </c>
      <c r="I51" s="247">
        <f>SUM((I49+I50)/2)*Input!$E$107/100</f>
        <v>14.407874711349912</v>
      </c>
      <c r="J51" s="247">
        <f>SUM((J49+J50)/2)*Input!$E$107/100</f>
        <v>14.494440570895568</v>
      </c>
      <c r="K51" s="216"/>
      <c r="L51" s="216"/>
      <c r="M51" s="216"/>
      <c r="N51" s="216"/>
      <c r="O51" s="216"/>
      <c r="P51" s="216"/>
      <c r="Q51" s="216"/>
      <c r="R51" s="216"/>
      <c r="S51" s="216"/>
      <c r="T51" s="216"/>
      <c r="U51" s="216"/>
      <c r="V51" s="216"/>
    </row>
    <row r="52" spans="1:22" s="217" customFormat="1" ht="18">
      <c r="A52" s="249" t="s">
        <v>365</v>
      </c>
      <c r="C52" s="247">
        <f>SUM(C49:C51)</f>
        <v>632.056438640625</v>
      </c>
      <c r="D52" s="247">
        <f aca="true" t="shared" si="0" ref="D52:J52">SUM(D49:D51)</f>
        <v>635.7349850240624</v>
      </c>
      <c r="E52" s="247">
        <f t="shared" si="0"/>
        <v>639.4549150543136</v>
      </c>
      <c r="F52" s="247">
        <f t="shared" si="0"/>
        <v>643.2166942974052</v>
      </c>
      <c r="G52" s="247">
        <f t="shared" si="0"/>
        <v>647.0207935569813</v>
      </c>
      <c r="H52" s="247">
        <f t="shared" si="0"/>
        <v>650.8676889332279</v>
      </c>
      <c r="I52" s="247">
        <f t="shared" si="0"/>
        <v>654.7578618824571</v>
      </c>
      <c r="J52" s="247">
        <f t="shared" si="0"/>
        <v>658.6917992773652</v>
      </c>
      <c r="K52" s="216"/>
      <c r="L52" s="216"/>
      <c r="M52" s="216"/>
      <c r="N52" s="216"/>
      <c r="O52" s="216"/>
      <c r="P52" s="216"/>
      <c r="Q52" s="216"/>
      <c r="R52" s="216"/>
      <c r="S52" s="216"/>
      <c r="T52" s="216"/>
      <c r="U52" s="216"/>
      <c r="V52" s="216"/>
    </row>
    <row r="53" spans="1:22" s="217" customFormat="1" ht="18.75">
      <c r="A53" s="249" t="s">
        <v>366</v>
      </c>
      <c r="C53" s="247">
        <f>Summary!F36</f>
        <v>357.2825</v>
      </c>
      <c r="D53" s="247">
        <f>SUM(C53*(1+(Input!$E$106/100/2)))</f>
        <v>361.301928125</v>
      </c>
      <c r="E53" s="247">
        <f>SUM(D53*(1+(Input!$E$106/100/2)))</f>
        <v>365.3665748164063</v>
      </c>
      <c r="F53" s="247">
        <f>SUM(E53*(1+(Input!$E$106/100/2)))</f>
        <v>369.47694878309085</v>
      </c>
      <c r="G53" s="247">
        <f>SUM(F53*(1+(Input!$E$106/100/2)))</f>
        <v>373.6335644569006</v>
      </c>
      <c r="H53" s="247">
        <f>SUM(G53*(1+(Input!$E$106/100/2)))</f>
        <v>377.83694205704074</v>
      </c>
      <c r="I53" s="247">
        <f>SUM(H53*(1+(Input!$E$106/100/2)))</f>
        <v>382.08760765518247</v>
      </c>
      <c r="J53" s="247">
        <f>SUM(I53*(1+(Input!$E$106/100/2)))</f>
        <v>386.3860932413033</v>
      </c>
      <c r="K53" s="216"/>
      <c r="L53" s="216"/>
      <c r="M53" s="216"/>
      <c r="N53" s="216"/>
      <c r="O53" s="216"/>
      <c r="P53" s="216"/>
      <c r="Q53" s="216"/>
      <c r="R53" s="216"/>
      <c r="S53" s="216"/>
      <c r="T53" s="216"/>
      <c r="U53" s="216"/>
      <c r="V53" s="216"/>
    </row>
    <row r="54" spans="1:22" s="217" customFormat="1" ht="18">
      <c r="A54" s="249" t="s">
        <v>367</v>
      </c>
      <c r="C54" s="247">
        <f>SUM(C52:C53)</f>
        <v>989.338938640625</v>
      </c>
      <c r="D54" s="247">
        <f aca="true" t="shared" si="1" ref="D54:J54">SUM(D52:D53)</f>
        <v>997.0369131490625</v>
      </c>
      <c r="E54" s="247">
        <f t="shared" si="1"/>
        <v>1004.8214898707199</v>
      </c>
      <c r="F54" s="247">
        <f t="shared" si="1"/>
        <v>1012.693643080496</v>
      </c>
      <c r="G54" s="247">
        <f t="shared" si="1"/>
        <v>1020.6543580138818</v>
      </c>
      <c r="H54" s="247">
        <f t="shared" si="1"/>
        <v>1028.7046309902687</v>
      </c>
      <c r="I54" s="247">
        <f t="shared" si="1"/>
        <v>1036.8454695376395</v>
      </c>
      <c r="J54" s="247">
        <f t="shared" si="1"/>
        <v>1045.0778925186685</v>
      </c>
      <c r="K54" s="216"/>
      <c r="L54" s="216"/>
      <c r="M54" s="216"/>
      <c r="N54" s="216"/>
      <c r="O54" s="216"/>
      <c r="P54" s="216"/>
      <c r="Q54" s="216"/>
      <c r="R54" s="216"/>
      <c r="S54" s="216"/>
      <c r="T54" s="216"/>
      <c r="U54" s="216"/>
      <c r="V54" s="216"/>
    </row>
    <row r="55" spans="1:22" s="217" customFormat="1" ht="18.75">
      <c r="A55" s="249" t="s">
        <v>368</v>
      </c>
      <c r="B55" s="216"/>
      <c r="C55" s="247">
        <f>Summary!F40</f>
        <v>80</v>
      </c>
      <c r="D55" s="247">
        <f>SUM(C55*(1+(Input!$E$106/100/2)))</f>
        <v>80.9</v>
      </c>
      <c r="E55" s="247">
        <f>SUM(D55*(1+(Input!$E$106/100/2)))</f>
        <v>81.810125</v>
      </c>
      <c r="F55" s="247">
        <f>SUM(E55*(1+(Input!$E$106/100/2)))</f>
        <v>82.73048890625</v>
      </c>
      <c r="G55" s="247">
        <f>SUM(F55*(1+(Input!$E$106/100/2)))</f>
        <v>83.66120690644532</v>
      </c>
      <c r="H55" s="247">
        <f>SUM(G55*(1+(Input!$E$106/100/2)))</f>
        <v>84.60239548414282</v>
      </c>
      <c r="I55" s="247">
        <f>SUM(H55*(1+(Input!$E$106/100/2)))</f>
        <v>85.55417243333942</v>
      </c>
      <c r="J55" s="247">
        <f>SUM(I55*(1+(Input!$E$106/100/2)))</f>
        <v>86.51665687321449</v>
      </c>
      <c r="K55" s="216"/>
      <c r="L55" s="216"/>
      <c r="M55" s="216"/>
      <c r="N55" s="216"/>
      <c r="O55" s="216"/>
      <c r="P55" s="216"/>
      <c r="Q55" s="216"/>
      <c r="R55" s="216"/>
      <c r="S55" s="216"/>
      <c r="T55" s="216"/>
      <c r="U55" s="216"/>
      <c r="V55" s="216"/>
    </row>
    <row r="56" spans="1:22" s="217" customFormat="1" ht="18">
      <c r="A56" s="249" t="s">
        <v>369</v>
      </c>
      <c r="B56" s="216"/>
      <c r="C56" s="250">
        <f>SUM(C55+C54)</f>
        <v>1069.338938640625</v>
      </c>
      <c r="D56" s="250">
        <f aca="true" t="shared" si="2" ref="D56:J56">SUM(D55+D54)</f>
        <v>1077.9369131490625</v>
      </c>
      <c r="E56" s="250">
        <f t="shared" si="2"/>
        <v>1086.6316148707199</v>
      </c>
      <c r="F56" s="250">
        <f t="shared" si="2"/>
        <v>1095.424131986746</v>
      </c>
      <c r="G56" s="250">
        <f t="shared" si="2"/>
        <v>1104.3155649203272</v>
      </c>
      <c r="H56" s="250">
        <f t="shared" si="2"/>
        <v>1113.3070264744115</v>
      </c>
      <c r="I56" s="250">
        <f t="shared" si="2"/>
        <v>1122.3996419709788</v>
      </c>
      <c r="J56" s="250">
        <f t="shared" si="2"/>
        <v>1131.594549391883</v>
      </c>
      <c r="K56" s="216"/>
      <c r="L56" s="216"/>
      <c r="M56" s="216"/>
      <c r="N56" s="216"/>
      <c r="O56" s="216"/>
      <c r="P56" s="216"/>
      <c r="Q56" s="216"/>
      <c r="R56" s="216"/>
      <c r="S56" s="216"/>
      <c r="T56" s="216"/>
      <c r="U56" s="216"/>
      <c r="V56" s="216"/>
    </row>
    <row r="57" spans="1:22" s="217" customFormat="1" ht="7.5" customHeight="1">
      <c r="A57" s="235"/>
      <c r="B57" s="216"/>
      <c r="C57" s="216"/>
      <c r="D57" s="216"/>
      <c r="E57" s="216"/>
      <c r="F57" s="216"/>
      <c r="G57" s="216"/>
      <c r="H57" s="216"/>
      <c r="I57" s="216"/>
      <c r="J57" s="216"/>
      <c r="K57" s="216"/>
      <c r="L57" s="216"/>
      <c r="M57" s="216"/>
      <c r="N57" s="216"/>
      <c r="O57" s="216"/>
      <c r="P57" s="216"/>
      <c r="Q57" s="216"/>
      <c r="R57" s="216"/>
      <c r="S57" s="216"/>
      <c r="T57" s="216"/>
      <c r="U57" s="216"/>
      <c r="V57" s="216"/>
    </row>
    <row r="58" spans="1:22" s="217" customFormat="1" ht="18">
      <c r="A58" s="191" t="s">
        <v>370</v>
      </c>
      <c r="B58" s="216"/>
      <c r="C58" s="216"/>
      <c r="D58" s="216"/>
      <c r="E58" s="216"/>
      <c r="F58" s="216"/>
      <c r="G58" s="216"/>
      <c r="H58" s="216"/>
      <c r="I58" s="216"/>
      <c r="J58" s="216"/>
      <c r="K58" s="216"/>
      <c r="L58" s="216"/>
      <c r="M58" s="216"/>
      <c r="N58" s="216"/>
      <c r="O58" s="216"/>
      <c r="P58" s="216"/>
      <c r="Q58" s="216"/>
      <c r="R58" s="216"/>
      <c r="S58" s="216"/>
      <c r="T58" s="216"/>
      <c r="U58" s="216"/>
      <c r="V58" s="216"/>
    </row>
    <row r="59" spans="1:22" s="217" customFormat="1" ht="18">
      <c r="A59" s="235"/>
      <c r="B59" s="104" t="s">
        <v>371</v>
      </c>
      <c r="C59" s="247">
        <f>Input!E21</f>
        <v>532.07</v>
      </c>
      <c r="D59" s="248">
        <v>525</v>
      </c>
      <c r="E59" s="248">
        <v>525</v>
      </c>
      <c r="F59" s="248">
        <v>525</v>
      </c>
      <c r="G59" s="248">
        <v>525</v>
      </c>
      <c r="H59" s="248">
        <v>525</v>
      </c>
      <c r="I59" s="248">
        <v>525</v>
      </c>
      <c r="J59" s="248">
        <v>525</v>
      </c>
      <c r="K59" s="216"/>
      <c r="L59" s="216"/>
      <c r="M59" s="216"/>
      <c r="N59" s="216"/>
      <c r="O59" s="216"/>
      <c r="P59" s="216"/>
      <c r="Q59" s="216"/>
      <c r="R59" s="216"/>
      <c r="S59" s="216"/>
      <c r="T59" s="216"/>
      <c r="U59" s="216"/>
      <c r="V59" s="216"/>
    </row>
    <row r="60" spans="1:22" s="217" customFormat="1" ht="18">
      <c r="A60" s="235"/>
      <c r="B60" s="104" t="s">
        <v>372</v>
      </c>
      <c r="C60" s="247">
        <f>SUM((Input!E21/100)*Input!E20)*(Input!E15/100)</f>
        <v>2167.866008</v>
      </c>
      <c r="D60" s="247">
        <f>SUM((D59/100)*Input!$E$20)*(Input!$E$15/100)</f>
        <v>2139.06</v>
      </c>
      <c r="E60" s="247">
        <f>SUM((E59/100)*Input!$E$20)*(Input!$E$15/100)</f>
        <v>2139.06</v>
      </c>
      <c r="F60" s="247">
        <f>SUM((F59/100)*Input!$E$20)*(Input!$E$15/100)</f>
        <v>2139.06</v>
      </c>
      <c r="G60" s="247">
        <f>SUM((G59/100)*Input!$E$20)*(Input!$E$15/100)</f>
        <v>2139.06</v>
      </c>
      <c r="H60" s="247">
        <f>SUM((H59/100)*Input!$E$20)*(Input!$E$15/100)</f>
        <v>2139.06</v>
      </c>
      <c r="I60" s="247">
        <f>SUM((I59/100)*Input!$E$20)*(Input!$E$15/100)</f>
        <v>2139.06</v>
      </c>
      <c r="J60" s="247">
        <f>SUM((J59/100)*Input!$E$20)*(Input!$E$15/100)</f>
        <v>2139.06</v>
      </c>
      <c r="K60" s="216"/>
      <c r="L60" s="216"/>
      <c r="M60" s="216"/>
      <c r="N60" s="216"/>
      <c r="O60" s="216"/>
      <c r="P60" s="216"/>
      <c r="Q60" s="216"/>
      <c r="R60" s="216"/>
      <c r="S60" s="216"/>
      <c r="T60" s="216"/>
      <c r="U60" s="216"/>
      <c r="V60" s="216"/>
    </row>
    <row r="61" spans="1:22" s="217" customFormat="1" ht="18">
      <c r="A61" s="235"/>
      <c r="B61" s="104" t="s">
        <v>373</v>
      </c>
      <c r="C61" s="390">
        <f>Input!E121</f>
        <v>2500</v>
      </c>
      <c r="D61" s="391">
        <v>2500</v>
      </c>
      <c r="E61" s="391">
        <v>2500</v>
      </c>
      <c r="F61" s="391">
        <v>2500</v>
      </c>
      <c r="G61" s="391">
        <v>2500</v>
      </c>
      <c r="H61" s="391">
        <v>2500</v>
      </c>
      <c r="I61" s="391">
        <v>2500</v>
      </c>
      <c r="J61" s="391">
        <v>2500</v>
      </c>
      <c r="K61" s="216"/>
      <c r="L61" s="216"/>
      <c r="M61" s="216"/>
      <c r="N61" s="216"/>
      <c r="O61" s="216"/>
      <c r="P61" s="216"/>
      <c r="Q61" s="216"/>
      <c r="R61" s="216"/>
      <c r="S61" s="216"/>
      <c r="T61" s="216"/>
      <c r="U61" s="216"/>
      <c r="V61" s="216"/>
    </row>
    <row r="62" spans="1:22" s="217" customFormat="1" ht="7.5" customHeight="1">
      <c r="A62" s="191"/>
      <c r="B62" s="216"/>
      <c r="C62" s="247"/>
      <c r="D62" s="216"/>
      <c r="E62" s="216"/>
      <c r="F62" s="216"/>
      <c r="G62" s="216"/>
      <c r="H62" s="216"/>
      <c r="I62" s="216"/>
      <c r="J62" s="216"/>
      <c r="K62" s="216"/>
      <c r="L62" s="216"/>
      <c r="M62" s="216"/>
      <c r="N62" s="216"/>
      <c r="O62" s="216"/>
      <c r="P62" s="216"/>
      <c r="Q62" s="216"/>
      <c r="R62" s="216"/>
      <c r="S62" s="216"/>
      <c r="T62" s="216"/>
      <c r="U62" s="216"/>
      <c r="V62" s="216"/>
    </row>
    <row r="63" spans="1:22" s="217" customFormat="1" ht="18">
      <c r="A63" s="191" t="str">
        <f>"Breakeven Replacement Purchase Value (@ "&amp;Input!E106&amp;"% annual investment cost)"</f>
        <v>Breakeven Replacement Purchase Value (@ 2.25% annual investment cost)</v>
      </c>
      <c r="B63" s="216"/>
      <c r="C63" s="247"/>
      <c r="D63" s="216"/>
      <c r="E63" s="216"/>
      <c r="F63" s="216"/>
      <c r="G63" s="216"/>
      <c r="H63" s="216"/>
      <c r="I63" s="216"/>
      <c r="J63" s="216"/>
      <c r="K63" s="216"/>
      <c r="L63" s="216"/>
      <c r="M63" s="216"/>
      <c r="N63" s="216"/>
      <c r="O63" s="216"/>
      <c r="P63" s="216"/>
      <c r="Q63" s="216"/>
      <c r="R63" s="216"/>
      <c r="S63" s="216"/>
      <c r="T63" s="216"/>
      <c r="U63" s="216"/>
      <c r="V63" s="216"/>
    </row>
    <row r="64" spans="1:22" s="217" customFormat="1" ht="18">
      <c r="A64" s="191"/>
      <c r="B64" s="104" t="s">
        <v>374</v>
      </c>
      <c r="C64" s="390">
        <f>NPV(Input!$E$106/100,(C60-C52)+C61)</f>
        <v>3947.0020238233496</v>
      </c>
      <c r="D64" s="390">
        <f>NPV(Input!$E$106/100,C60-C52,D60-D52+$D$61)</f>
        <v>5331.092281510416</v>
      </c>
      <c r="E64" s="390">
        <f>NPV(Input!$E$106/100,C60-C52,D60-D52,E60-E52+$E$61)</f>
        <v>6681.246061180127</v>
      </c>
      <c r="F64" s="390">
        <f>NPV(Input!$E$106/100,C60-C52,D60-D52,E60-E52,F60-F52+$F$61)</f>
        <v>7998.248416771285</v>
      </c>
      <c r="G64" s="390">
        <f>NPV(Input!$E$106/100,C60-C52,D60-D52,E60-E52,F60-F52,G60-G52+$G$61)</f>
        <v>9282.86670596332</v>
      </c>
      <c r="H64" s="390">
        <f>NPV(Input!$E$106/100,C60-C52,D60-D52,E60-E52,F60-F52,G60-G52,H60-H52+$H$61)</f>
        <v>10535.85098421514</v>
      </c>
      <c r="I64" s="390">
        <f>NPV(Input!$E$106/100,C60-C52,D60-D52,E60-E52,F60-F52,G60-G52,H60-H52,I60-I52+$I$61)</f>
        <v>11757.934390082193</v>
      </c>
      <c r="J64" s="390">
        <f>NPV(Input!$E$106/100,C60-C52,D60-D52,E60-E52,F60-F52,G60-G52,H60-H52,I60-I52,J60-J52+$J$61)</f>
        <v>12949.833522004252</v>
      </c>
      <c r="K64" s="216"/>
      <c r="L64" s="216"/>
      <c r="M64" s="216"/>
      <c r="N64" s="216"/>
      <c r="O64" s="216"/>
      <c r="P64" s="216"/>
      <c r="Q64" s="216"/>
      <c r="R64" s="216"/>
      <c r="S64" s="216"/>
      <c r="T64" s="216"/>
      <c r="U64" s="216"/>
      <c r="V64" s="216"/>
    </row>
    <row r="65" spans="1:22" s="217" customFormat="1" ht="18">
      <c r="A65" s="191"/>
      <c r="B65" s="104" t="s">
        <v>375</v>
      </c>
      <c r="C65" s="390">
        <f>NPV(Input!$E$106/100,(C60-C52-C55)+C61)</f>
        <v>3868.7624150213937</v>
      </c>
      <c r="D65" s="390">
        <f>NPV(Input!$E$106/100,C60-C52-C55,D60-D52-D55+$D$61)</f>
        <v>5175.473890898211</v>
      </c>
      <c r="E65" s="390">
        <f>NPV(Input!$E$106/100,C60-C52-C55,D60-D52-D55,E60-E52-E55+$E$61)</f>
        <v>6449.100244547765</v>
      </c>
      <c r="F65" s="390">
        <f>NPV(Input!$E$106/100,C60-C52-C55,D60-D52-D55,E60-E52-E55,F60-F52-F55+$F$61)</f>
        <v>7690.417162913604</v>
      </c>
      <c r="G65" s="390">
        <f>NPV(Input!$E$106/100,C60-C52-C55,D60-D52-D55,E60-E52-E55,F60-F52-F55,G60-G52-G55+$G$61)</f>
        <v>8900.182739739772</v>
      </c>
      <c r="H65" s="390">
        <f>NPV(Input!$E$106/100,C60-C52-C55,D60-D52-D55,E60-E52-E55,F60-F52-F55,G60-G52-G55,H60-H52-H55+$H$61)</f>
        <v>10079.137868475715</v>
      </c>
      <c r="I65" s="390">
        <f>NPV(Input!$E$106/100,C60-C52-C55,D60-D52-D55,E60-E52-E55,F60-F52-F55,G60-G52-G55,H60-H52-H55,I60-I52-I55+$I$61)</f>
        <v>11228.006626471932</v>
      </c>
      <c r="J65" s="390">
        <f>NPV(Input!$E$106/100,C60-C52-C55,D60-D52-D55,E60-E52-E55,F60-F52-F55,G60-G52-G55,H60-H52-H55,I60-I52-I55,J60-J52-J55+$J$61)</f>
        <v>12347.496650658652</v>
      </c>
      <c r="K65" s="216"/>
      <c r="L65" s="216"/>
      <c r="M65" s="216"/>
      <c r="N65" s="216"/>
      <c r="O65" s="216"/>
      <c r="P65" s="216"/>
      <c r="Q65" s="216"/>
      <c r="R65" s="216"/>
      <c r="S65" s="216"/>
      <c r="T65" s="216"/>
      <c r="U65" s="216"/>
      <c r="V65" s="216"/>
    </row>
    <row r="66" spans="1:22" s="217" customFormat="1" ht="18">
      <c r="A66" s="191"/>
      <c r="B66" s="104" t="s">
        <v>376</v>
      </c>
      <c r="C66" s="390">
        <f>NPV(Input!$E$106/100,C60-C52-C53+C61)</f>
        <v>3597.581485926039</v>
      </c>
      <c r="D66" s="390">
        <f>NPV(Input!$E$106/100,C60-C52-C53,D60-D52-D53+$D$61)</f>
        <v>4636.095685961608</v>
      </c>
      <c r="E66" s="390">
        <f>NPV(Input!$E$106/100,C60-C52-C53,D60-D52-D53,E60-E52-E53+$E$61)</f>
        <v>5644.475589543225</v>
      </c>
      <c r="F66" s="390">
        <f>NPV(Input!$E$106/100,C60-C52-C53,D60-D52-D53,E60-E52-E53,F60-F52-F53+$F$61)</f>
        <v>6623.464417316207</v>
      </c>
      <c r="G66" s="390">
        <f>NPV(Input!$E$106/100,C60-C52-C53,D60-D52-D53,E60-E52-E53,F60-F52-F53,G60-G52-G53+$G$61)</f>
        <v>7573.788153935009</v>
      </c>
      <c r="H66" s="390">
        <f>NPV(Input!$E$106/100,C60-C52-C53,D60-D52-D53,E60-E52-E53,F60-F52-F53,G60-G52-G53,H60-H52-H53+$H$61)</f>
        <v>8496.155937037996</v>
      </c>
      <c r="I66" s="390">
        <f>NPV(Input!$E$106/100,C60-C52-C53,D60-D52-D53,E60-E52-E53,F60-F52-F53,G60-G52-G53,H60-H52-H53,I60-I52-I53+$I$61)</f>
        <v>9391.260437556144</v>
      </c>
      <c r="J66" s="390">
        <f>NPV(Input!$E$106/100,C60-C52-C53,D60-D52-D53,E60-E52-E53,F60-F52-F53,G60-G52-G53,H60-H52-H53,I60-I52-I53,J60-J52-J53+$J$61)</f>
        <v>10259.778231547562</v>
      </c>
      <c r="K66" s="216"/>
      <c r="L66" s="216"/>
      <c r="M66" s="216"/>
      <c r="N66" s="216"/>
      <c r="O66" s="216"/>
      <c r="P66" s="216"/>
      <c r="Q66" s="216"/>
      <c r="R66" s="216"/>
      <c r="S66" s="216"/>
      <c r="T66" s="216"/>
      <c r="U66" s="216"/>
      <c r="V66" s="216"/>
    </row>
    <row r="67" spans="1:22" s="217" customFormat="1" ht="18">
      <c r="A67" s="191"/>
      <c r="B67" s="104" t="s">
        <v>377</v>
      </c>
      <c r="C67" s="392">
        <f>NPV(Input!$E$106/100,(C60-C56)+C61)</f>
        <v>3519.341877124083</v>
      </c>
      <c r="D67" s="392">
        <f>NPV(Input!$E$106/100,C60-C56,D60-D56+$D$61)</f>
        <v>4480.477295349405</v>
      </c>
      <c r="E67" s="392">
        <f>NPV(Input!$E$106/100,C60-C56,D60-D56,E60-E56+$E$61)</f>
        <v>5412.329772910863</v>
      </c>
      <c r="F67" s="392">
        <f>NPV(Input!$E$106/100,C60-C56,D60-D56,E60-E56,F60-F56+$F$61)</f>
        <v>6315.6331634585285</v>
      </c>
      <c r="G67" s="392">
        <f>NPV(Input!$E$106/100,C60-C56,D60-D56,E60-E56,F60-F56,G60-G56+$G$61)</f>
        <v>7191.104187711462</v>
      </c>
      <c r="H67" s="392">
        <f>NPV(Input!$E$106/100,C60-C56,D60-D56,E60-E56,F60-F56,G60-G56,H60-H56+$H$61)</f>
        <v>8039.442821298571</v>
      </c>
      <c r="I67" s="392">
        <f>NPV(Input!$E$106/100,C60-C56,D60-D56,E60-E56,F60-F56,G60-G56,H60-H56,I60-I56+$I$61)</f>
        <v>8861.332673945883</v>
      </c>
      <c r="J67" s="392">
        <f>NPV(Input!$E$106/100,C60-C56,D60-D56,E60-E56,F60-F56,G60-G56,H60-H56,I60-I56,J60-J56+$J$61)</f>
        <v>9657.441360201958</v>
      </c>
      <c r="K67" s="216"/>
      <c r="L67" s="216"/>
      <c r="M67" s="216"/>
      <c r="N67" s="216"/>
      <c r="O67" s="216"/>
      <c r="P67" s="216"/>
      <c r="Q67" s="216"/>
      <c r="R67" s="216"/>
      <c r="S67" s="216"/>
      <c r="T67" s="216"/>
      <c r="U67" s="216"/>
      <c r="V67" s="216"/>
    </row>
    <row r="68" spans="1:22" s="217" customFormat="1" ht="7.5" customHeight="1">
      <c r="A68" s="191"/>
      <c r="B68" s="104"/>
      <c r="C68" s="250"/>
      <c r="D68" s="250"/>
      <c r="E68" s="250"/>
      <c r="F68" s="250"/>
      <c r="G68" s="250"/>
      <c r="H68" s="250"/>
      <c r="I68" s="250"/>
      <c r="J68" s="250"/>
      <c r="K68" s="216"/>
      <c r="L68" s="216"/>
      <c r="M68" s="216"/>
      <c r="N68" s="216"/>
      <c r="O68" s="216"/>
      <c r="P68" s="216"/>
      <c r="Q68" s="216"/>
      <c r="R68" s="216"/>
      <c r="S68" s="216"/>
      <c r="T68" s="216"/>
      <c r="U68" s="216"/>
      <c r="V68" s="216"/>
    </row>
    <row r="69" spans="1:22" s="217" customFormat="1" ht="11.25" customHeight="1">
      <c r="A69" s="435">
        <v>1</v>
      </c>
      <c r="B69" s="436" t="str">
        <f>"Yearly replacement value is calculated by adding the marginal returns from the current and each of the previous years and cull cow revenue in the current year at net present value (based on "&amp;Input!E106&amp;"% annual investment cost)"</f>
        <v>Yearly replacement value is calculated by adding the marginal returns from the current and each of the previous years and cull cow revenue in the current year at net present value (based on 2.25% annual investment cost)</v>
      </c>
      <c r="C69" s="436"/>
      <c r="D69" s="436"/>
      <c r="E69" s="436"/>
      <c r="F69" s="436"/>
      <c r="G69" s="436"/>
      <c r="H69" s="436"/>
      <c r="I69" s="436"/>
      <c r="J69" s="436"/>
      <c r="K69" s="436"/>
      <c r="L69" s="216"/>
      <c r="M69" s="216"/>
      <c r="N69" s="216"/>
      <c r="O69" s="216"/>
      <c r="P69" s="216"/>
      <c r="Q69" s="216"/>
      <c r="R69" s="216"/>
      <c r="S69" s="216"/>
      <c r="T69" s="216"/>
      <c r="U69" s="216"/>
      <c r="V69" s="216"/>
    </row>
    <row r="70" spans="1:22" s="217" customFormat="1" ht="21" customHeight="1">
      <c r="A70" s="435"/>
      <c r="B70" s="436"/>
      <c r="C70" s="436"/>
      <c r="D70" s="436"/>
      <c r="E70" s="436"/>
      <c r="F70" s="436"/>
      <c r="G70" s="436"/>
      <c r="H70" s="436"/>
      <c r="I70" s="436"/>
      <c r="J70" s="436"/>
      <c r="K70" s="436"/>
      <c r="L70" s="216"/>
      <c r="M70" s="216"/>
      <c r="N70" s="216"/>
      <c r="O70" s="216"/>
      <c r="P70" s="216"/>
      <c r="Q70" s="216"/>
      <c r="R70" s="216"/>
      <c r="S70" s="216"/>
      <c r="T70" s="216"/>
      <c r="U70" s="216"/>
      <c r="V70" s="216"/>
    </row>
    <row r="71" spans="1:22" s="217" customFormat="1" ht="12" customHeight="1">
      <c r="A71" s="251">
        <v>2</v>
      </c>
      <c r="B71" s="252" t="str">
        <f>"Costs estimates are increased annually by "&amp;Input!E106/2&amp;"% inflation rate"</f>
        <v>Costs estimates are increased annually by 1.125% inflation rate</v>
      </c>
      <c r="C71" s="216"/>
      <c r="D71" s="216"/>
      <c r="E71" s="216"/>
      <c r="F71" s="216"/>
      <c r="G71" s="216"/>
      <c r="H71" s="216"/>
      <c r="I71" s="216"/>
      <c r="J71" s="216"/>
      <c r="K71" s="216"/>
      <c r="L71" s="216"/>
      <c r="M71" s="216"/>
      <c r="N71" s="216"/>
      <c r="O71" s="216"/>
      <c r="P71" s="216"/>
      <c r="Q71" s="216"/>
      <c r="R71" s="216"/>
      <c r="S71" s="216"/>
      <c r="T71" s="216"/>
      <c r="U71" s="216"/>
      <c r="V71" s="216"/>
    </row>
    <row r="72" spans="1:2" ht="7.5" customHeight="1">
      <c r="A72" s="240"/>
      <c r="B72" s="253"/>
    </row>
    <row r="73" spans="1:22" s="238" customFormat="1" ht="18" customHeight="1">
      <c r="A73" s="209"/>
      <c r="B73" s="437" t="s">
        <v>327</v>
      </c>
      <c r="C73" s="437"/>
      <c r="D73" s="437"/>
      <c r="E73" s="437"/>
      <c r="F73" s="437"/>
      <c r="G73" s="437"/>
      <c r="H73" s="437"/>
      <c r="I73" s="437"/>
      <c r="J73" s="437"/>
      <c r="K73" s="437"/>
      <c r="L73" s="186"/>
      <c r="M73" s="186"/>
      <c r="N73" s="186"/>
      <c r="O73" s="186"/>
      <c r="P73" s="186"/>
      <c r="Q73" s="186"/>
      <c r="R73" s="186"/>
      <c r="S73" s="186"/>
      <c r="T73" s="186"/>
      <c r="U73" s="186"/>
      <c r="V73" s="237"/>
    </row>
    <row r="74" spans="1:22" s="238" customFormat="1" ht="18">
      <c r="A74" s="209"/>
      <c r="B74" s="437"/>
      <c r="C74" s="437"/>
      <c r="D74" s="437"/>
      <c r="E74" s="437"/>
      <c r="F74" s="437"/>
      <c r="G74" s="437"/>
      <c r="H74" s="437"/>
      <c r="I74" s="437"/>
      <c r="J74" s="437"/>
      <c r="K74" s="437"/>
      <c r="L74" s="186"/>
      <c r="M74" s="186"/>
      <c r="N74" s="186"/>
      <c r="O74" s="186"/>
      <c r="P74" s="186"/>
      <c r="Q74" s="186"/>
      <c r="R74" s="186"/>
      <c r="S74" s="186"/>
      <c r="T74" s="186"/>
      <c r="U74" s="186"/>
      <c r="V74" s="237"/>
    </row>
    <row r="75" spans="1:22" s="238" customFormat="1" ht="18">
      <c r="A75" s="209"/>
      <c r="B75" s="237"/>
      <c r="C75" s="237"/>
      <c r="D75" s="237"/>
      <c r="E75" s="237"/>
      <c r="F75" s="237"/>
      <c r="G75" s="237"/>
      <c r="H75" s="237"/>
      <c r="I75" s="237"/>
      <c r="J75" s="237"/>
      <c r="K75" s="237"/>
      <c r="L75" s="237"/>
      <c r="M75" s="237"/>
      <c r="N75" s="237"/>
      <c r="O75" s="237"/>
      <c r="P75" s="237"/>
      <c r="Q75" s="237"/>
      <c r="R75" s="237"/>
      <c r="S75" s="237"/>
      <c r="T75" s="237"/>
      <c r="U75" s="237"/>
      <c r="V75" s="237"/>
    </row>
    <row r="76" ht="7.5" customHeight="1">
      <c r="A76" s="240"/>
    </row>
    <row r="77" ht="18">
      <c r="A77" s="240"/>
    </row>
    <row r="78" ht="18">
      <c r="A78" s="240"/>
    </row>
    <row r="79" ht="18">
      <c r="A79" s="240"/>
    </row>
    <row r="80" ht="18">
      <c r="A80" s="240"/>
    </row>
    <row r="81" ht="7.5" customHeight="1">
      <c r="A81" s="240"/>
    </row>
    <row r="82" ht="18">
      <c r="A82" s="240"/>
    </row>
    <row r="83" ht="18">
      <c r="A83" s="240"/>
    </row>
    <row r="84" ht="18">
      <c r="A84" s="240"/>
    </row>
    <row r="85" ht="18">
      <c r="A85" s="240"/>
    </row>
    <row r="86" ht="7.5" customHeight="1">
      <c r="A86" s="240"/>
    </row>
    <row r="87" ht="18">
      <c r="A87" s="240"/>
    </row>
    <row r="88" spans="23:36" s="207" customFormat="1" ht="18" customHeight="1">
      <c r="W88" s="192"/>
      <c r="X88" s="192"/>
      <c r="Y88" s="192"/>
      <c r="Z88" s="192"/>
      <c r="AA88" s="192"/>
      <c r="AB88" s="192"/>
      <c r="AC88" s="192"/>
      <c r="AD88" s="192"/>
      <c r="AE88" s="192"/>
      <c r="AF88" s="192"/>
      <c r="AG88" s="192"/>
      <c r="AH88" s="192"/>
      <c r="AI88" s="192"/>
      <c r="AJ88" s="192"/>
    </row>
  </sheetData>
  <sheetProtection password="C6A6" sheet="1"/>
  <mergeCells count="6">
    <mergeCell ref="B1:K1"/>
    <mergeCell ref="N2:O2"/>
    <mergeCell ref="B46:K46"/>
    <mergeCell ref="A69:A70"/>
    <mergeCell ref="B69:K70"/>
    <mergeCell ref="B73:K74"/>
  </mergeCells>
  <printOptions horizontalCentered="1"/>
  <pageMargins left="0.5511811023622047" right="0.5511811023622047" top="0.984251968503937" bottom="0.984251968503937" header="0.5118110236220472" footer="0.5118110236220472"/>
  <pageSetup firstPageNumber="3" useFirstPageNumber="1" fitToHeight="1" fitToWidth="1" horizontalDpi="600" verticalDpi="600" orientation="portrait" pageOrder="overThenDown" scale="54" r:id="rId1"/>
  <headerFooter scaleWithDoc="0" alignWithMargins="0">
    <oddHeader>&amp;L&amp;8Guidelines: Bison Cow-Calf Production Costs&amp;R&amp;8&amp;P</oddHeader>
    <oddFooter>&amp;R&amp;9Manitoba Agriculture</oddFooter>
  </headerFooter>
  <ignoredErrors>
    <ignoredError sqref="D54:J54" formula="1"/>
  </ignoredErrors>
</worksheet>
</file>

<file path=xl/worksheets/sheet4.xml><?xml version="1.0" encoding="utf-8"?>
<worksheet xmlns="http://schemas.openxmlformats.org/spreadsheetml/2006/main" xmlns:r="http://schemas.openxmlformats.org/officeDocument/2006/relationships">
  <sheetPr codeName="Sheet3"/>
  <dimension ref="A1:AJ540"/>
  <sheetViews>
    <sheetView showGridLines="0" workbookViewId="0" topLeftCell="A1">
      <selection activeCell="E13" sqref="E13"/>
    </sheetView>
  </sheetViews>
  <sheetFormatPr defaultColWidth="9.77734375" defaultRowHeight="15"/>
  <cols>
    <col min="1" max="1" width="10.77734375" style="5" customWidth="1"/>
    <col min="2" max="2" width="8.4453125" style="5" customWidth="1"/>
    <col min="3" max="3" width="11.10546875" style="5" customWidth="1"/>
    <col min="4" max="4" width="10.4453125" style="5" customWidth="1"/>
    <col min="5" max="5" width="9.21484375" style="5" customWidth="1"/>
    <col min="6" max="6" width="3.10546875" style="5" customWidth="1"/>
    <col min="7" max="8" width="7.6640625" style="5" customWidth="1"/>
    <col min="9" max="9" width="6.5546875" style="5" customWidth="1"/>
    <col min="10" max="10" width="4.6640625" style="5" customWidth="1"/>
    <col min="11" max="11" width="5.88671875" style="5" customWidth="1"/>
    <col min="12" max="12" width="5.5546875" style="5" customWidth="1"/>
    <col min="13" max="13" width="6.6640625" style="5" customWidth="1"/>
    <col min="14" max="14" width="10.5546875" style="5" customWidth="1"/>
    <col min="15" max="15" width="2.3359375" style="5" customWidth="1"/>
    <col min="16" max="16" width="11.10546875" style="5" customWidth="1"/>
    <col min="17" max="17" width="7.6640625" style="5" customWidth="1"/>
    <col min="18" max="18" width="1.66796875" style="5" customWidth="1"/>
    <col min="19" max="19" width="9.77734375" style="5" customWidth="1"/>
    <col min="20" max="20" width="15.6640625" style="5" customWidth="1"/>
    <col min="21" max="21" width="5.6640625" style="5" customWidth="1"/>
    <col min="22" max="22" width="13.4453125" style="5" customWidth="1"/>
    <col min="23" max="23" width="2.6640625" style="5" customWidth="1"/>
    <col min="24" max="24" width="9.77734375" style="5" customWidth="1"/>
    <col min="25" max="25" width="9.6640625" style="5" customWidth="1"/>
    <col min="26" max="26" width="13.6640625" style="5" customWidth="1"/>
    <col min="27" max="27" width="1.66796875" style="5" customWidth="1"/>
    <col min="28" max="33" width="9.77734375" style="5" customWidth="1"/>
    <col min="34" max="34" width="9.6640625" style="5" customWidth="1"/>
    <col min="35" max="35" width="11.6640625" style="5" customWidth="1"/>
    <col min="36" max="36" width="1.66796875" style="5" customWidth="1"/>
    <col min="37" max="16384" width="9.77734375" style="5" customWidth="1"/>
  </cols>
  <sheetData>
    <row r="1" spans="1:9" ht="18">
      <c r="A1" s="443" t="s">
        <v>112</v>
      </c>
      <c r="B1" s="443"/>
      <c r="C1" s="443"/>
      <c r="D1" s="443"/>
      <c r="E1" s="443"/>
      <c r="F1" s="443"/>
      <c r="G1" s="443"/>
      <c r="H1" s="443"/>
      <c r="I1" s="443"/>
    </row>
    <row r="2" ht="15.75">
      <c r="A2" s="19" t="s">
        <v>113</v>
      </c>
    </row>
    <row r="3" ht="15">
      <c r="A3" s="5" t="s">
        <v>217</v>
      </c>
    </row>
    <row r="4" s="309" customFormat="1" ht="15">
      <c r="A4" s="309" t="s">
        <v>218</v>
      </c>
    </row>
    <row r="5" s="309" customFormat="1" ht="15">
      <c r="A5" s="309" t="str">
        <f>"         useful life of "&amp;G137&amp;" years."</f>
        <v>         useful life of 20 years.</v>
      </c>
    </row>
    <row r="6" s="309" customFormat="1" ht="15">
      <c r="A6" s="309" t="s">
        <v>219</v>
      </c>
    </row>
    <row r="7" s="309" customFormat="1" ht="15">
      <c r="A7" s="104" t="str">
        <f>"        useful life of "&amp;G153&amp;" years."</f>
        <v>        useful life of 10 years.</v>
      </c>
    </row>
    <row r="8" ht="15">
      <c r="A8" s="5" t="str">
        <f>"   4.  Replacement heifers are valued at fair market value. ($"&amp;TEXT(E119,"#,###")&amp;"/heifer)"</f>
        <v>   4.  Replacement heifers are valued at fair market value. ($3,800/heifer)</v>
      </c>
    </row>
    <row r="9" ht="15">
      <c r="A9" s="92" t="str">
        <f>"   5.  The budget assumes an average weaning weight of "&amp;E20&amp;" lbs. (bull calves "&amp;E16&amp;" lbs."</f>
        <v>   5.  The budget assumes an average weaning weight of 463 lbs. (bull calves 485 lbs.</v>
      </c>
    </row>
    <row r="10" ht="15">
      <c r="A10" s="5" t="str">
        <f>"        and heifer calves "&amp;E18&amp;" lbs.)"</f>
        <v>        and heifer calves 440 lbs.)</v>
      </c>
    </row>
    <row r="11" ht="15"/>
    <row r="12" spans="1:8" ht="18">
      <c r="A12" s="441" t="s">
        <v>114</v>
      </c>
      <c r="B12" s="442"/>
      <c r="C12" s="442"/>
      <c r="D12" s="442"/>
      <c r="E12" s="442"/>
      <c r="F12" s="442"/>
      <c r="G12" s="442"/>
      <c r="H12" s="442"/>
    </row>
    <row r="13" spans="1:5" ht="15.75">
      <c r="A13" s="92" t="s">
        <v>397</v>
      </c>
      <c r="C13" s="5" t="s">
        <v>0</v>
      </c>
      <c r="E13" s="81">
        <v>100</v>
      </c>
    </row>
    <row r="14" spans="1:5" ht="15.75">
      <c r="A14" s="92" t="s">
        <v>398</v>
      </c>
      <c r="C14" s="5" t="s">
        <v>0</v>
      </c>
      <c r="E14" s="81">
        <v>6</v>
      </c>
    </row>
    <row r="15" spans="1:6" ht="15.75">
      <c r="A15" s="92" t="s">
        <v>399</v>
      </c>
      <c r="C15" s="5" t="s">
        <v>0</v>
      </c>
      <c r="E15" s="82">
        <v>88</v>
      </c>
      <c r="F15" s="5" t="s">
        <v>115</v>
      </c>
    </row>
    <row r="16" spans="1:9" s="105" customFormat="1" ht="15.75">
      <c r="A16" s="104" t="s">
        <v>395</v>
      </c>
      <c r="B16" s="309"/>
      <c r="C16" s="309"/>
      <c r="E16" s="106">
        <v>485</v>
      </c>
      <c r="F16" s="105" t="s">
        <v>116</v>
      </c>
      <c r="G16" s="309"/>
      <c r="H16" s="310"/>
      <c r="I16" s="309"/>
    </row>
    <row r="17" spans="1:9" s="105" customFormat="1" ht="15.75">
      <c r="A17" s="104" t="s">
        <v>480</v>
      </c>
      <c r="B17" s="309"/>
      <c r="C17" s="309"/>
      <c r="E17" s="248">
        <v>555</v>
      </c>
      <c r="F17" s="105" t="s">
        <v>117</v>
      </c>
      <c r="G17" s="309"/>
      <c r="H17" s="310"/>
      <c r="I17" s="309"/>
    </row>
    <row r="18" spans="1:9" s="105" customFormat="1" ht="15.75">
      <c r="A18" s="104" t="s">
        <v>391</v>
      </c>
      <c r="B18" s="309"/>
      <c r="C18" s="309"/>
      <c r="E18" s="106">
        <v>440</v>
      </c>
      <c r="F18" s="105" t="s">
        <v>116</v>
      </c>
      <c r="G18" s="309"/>
      <c r="H18" s="310"/>
      <c r="I18" s="309"/>
    </row>
    <row r="19" spans="1:9" s="105" customFormat="1" ht="15.75">
      <c r="A19" s="104" t="s">
        <v>392</v>
      </c>
      <c r="B19" s="309"/>
      <c r="C19" s="309"/>
      <c r="E19" s="248">
        <v>508</v>
      </c>
      <c r="F19" s="105" t="s">
        <v>117</v>
      </c>
      <c r="G19" s="309"/>
      <c r="H19" s="310"/>
      <c r="I19" s="309"/>
    </row>
    <row r="20" spans="1:9" s="105" customFormat="1" ht="15.75">
      <c r="A20" s="104" t="s">
        <v>393</v>
      </c>
      <c r="B20" s="309"/>
      <c r="C20" s="309"/>
      <c r="E20" s="311">
        <f>ROUND(AVERAGE(E16,E18),0)</f>
        <v>463</v>
      </c>
      <c r="F20" s="105" t="s">
        <v>116</v>
      </c>
      <c r="G20" s="309"/>
      <c r="H20" s="312"/>
      <c r="I20" s="309"/>
    </row>
    <row r="21" spans="1:9" s="105" customFormat="1" ht="15.75">
      <c r="A21" s="104" t="s">
        <v>394</v>
      </c>
      <c r="B21" s="309"/>
      <c r="C21" s="309"/>
      <c r="E21" s="313">
        <f>ROUND((((E17*(E16/100))+(E19*(E18/100)))/2)/(E20/100),2)</f>
        <v>532.07</v>
      </c>
      <c r="F21" s="105" t="s">
        <v>117</v>
      </c>
      <c r="G21" s="309"/>
      <c r="H21" s="314"/>
      <c r="I21" s="309"/>
    </row>
    <row r="22" spans="1:6" ht="15.75">
      <c r="A22" s="92" t="s">
        <v>400</v>
      </c>
      <c r="E22" s="83">
        <v>5</v>
      </c>
      <c r="F22" s="5" t="s">
        <v>115</v>
      </c>
    </row>
    <row r="23" spans="1:6" ht="15.75">
      <c r="A23" s="92" t="s">
        <v>401</v>
      </c>
      <c r="E23" s="83">
        <v>10</v>
      </c>
      <c r="F23" s="5" t="s">
        <v>115</v>
      </c>
    </row>
    <row r="24" spans="1:8" ht="15.75">
      <c r="A24" s="92" t="s">
        <v>402</v>
      </c>
      <c r="C24" s="5" t="s">
        <v>0</v>
      </c>
      <c r="E24" s="83">
        <v>2</v>
      </c>
      <c r="F24" s="5" t="s">
        <v>115</v>
      </c>
      <c r="H24" s="92"/>
    </row>
    <row r="25" ht="15"/>
    <row r="26" ht="15.75">
      <c r="A26" s="19" t="s">
        <v>118</v>
      </c>
    </row>
    <row r="27" spans="2:8" ht="15.75">
      <c r="B27" s="9"/>
      <c r="C27" s="438" t="s">
        <v>119</v>
      </c>
      <c r="D27" s="439"/>
      <c r="E27" s="438" t="s">
        <v>1</v>
      </c>
      <c r="F27" s="440"/>
      <c r="G27" s="440"/>
      <c r="H27" s="440"/>
    </row>
    <row r="28" spans="3:8" ht="15">
      <c r="C28" s="62"/>
      <c r="D28" s="63"/>
      <c r="E28" s="63" t="s">
        <v>2</v>
      </c>
      <c r="F28" s="13"/>
      <c r="G28" s="63" t="s">
        <v>3</v>
      </c>
      <c r="H28" s="13"/>
    </row>
    <row r="29" spans="1:8" ht="15.75">
      <c r="A29" s="5" t="s">
        <v>220</v>
      </c>
      <c r="C29" s="85">
        <v>0.1</v>
      </c>
      <c r="D29" s="5" t="s">
        <v>221</v>
      </c>
      <c r="E29" s="82">
        <v>4</v>
      </c>
      <c r="G29" s="82">
        <v>4</v>
      </c>
      <c r="H29" s="18" t="s">
        <v>5</v>
      </c>
    </row>
    <row r="30" spans="1:8" ht="15.75">
      <c r="A30" s="5" t="s">
        <v>222</v>
      </c>
      <c r="C30" s="64"/>
      <c r="D30" s="5" t="s">
        <v>0</v>
      </c>
      <c r="E30" s="81">
        <v>60</v>
      </c>
      <c r="G30" s="81">
        <v>60</v>
      </c>
      <c r="H30" s="9" t="s">
        <v>6</v>
      </c>
    </row>
    <row r="31" spans="1:8" ht="15.75">
      <c r="A31" s="5" t="s">
        <v>254</v>
      </c>
      <c r="C31" s="84">
        <v>70</v>
      </c>
      <c r="D31" s="5" t="s">
        <v>64</v>
      </c>
      <c r="E31" s="82">
        <v>3</v>
      </c>
      <c r="G31" s="82">
        <v>3.25</v>
      </c>
      <c r="H31" s="18" t="s">
        <v>7</v>
      </c>
    </row>
    <row r="32" spans="1:8" ht="15.75">
      <c r="A32" s="92" t="s">
        <v>255</v>
      </c>
      <c r="C32" s="84">
        <v>0</v>
      </c>
      <c r="D32" s="5" t="s">
        <v>67</v>
      </c>
      <c r="E32" s="82">
        <v>0</v>
      </c>
      <c r="G32" s="82">
        <v>0</v>
      </c>
      <c r="H32" s="18" t="s">
        <v>5</v>
      </c>
    </row>
    <row r="33" spans="1:8" ht="15.75">
      <c r="A33" s="5" t="s">
        <v>181</v>
      </c>
      <c r="C33" s="65"/>
      <c r="D33" s="9"/>
      <c r="E33" s="81">
        <v>60</v>
      </c>
      <c r="G33" s="66" t="s">
        <v>4</v>
      </c>
      <c r="H33" s="18" t="s">
        <v>6</v>
      </c>
    </row>
    <row r="34" spans="1:8" ht="15.75">
      <c r="A34" s="5" t="s">
        <v>256</v>
      </c>
      <c r="C34" s="84">
        <v>0</v>
      </c>
      <c r="D34" s="5" t="s">
        <v>182</v>
      </c>
      <c r="E34" s="82">
        <v>0</v>
      </c>
      <c r="G34" s="82">
        <v>0</v>
      </c>
      <c r="H34" s="18" t="s">
        <v>7</v>
      </c>
    </row>
    <row r="35" spans="1:8" ht="15.75">
      <c r="A35" s="92" t="s">
        <v>257</v>
      </c>
      <c r="C35" s="84">
        <v>0.14</v>
      </c>
      <c r="D35" s="67" t="s">
        <v>67</v>
      </c>
      <c r="E35" s="82">
        <v>16</v>
      </c>
      <c r="G35" s="66" t="s">
        <v>4</v>
      </c>
      <c r="H35" s="18" t="s">
        <v>9</v>
      </c>
    </row>
    <row r="36" spans="1:8" ht="15.75">
      <c r="A36" s="92" t="s">
        <v>258</v>
      </c>
      <c r="C36" s="84">
        <v>0.51</v>
      </c>
      <c r="D36" s="67" t="s">
        <v>67</v>
      </c>
      <c r="E36" s="82">
        <v>42</v>
      </c>
      <c r="G36" s="64" t="s">
        <v>4</v>
      </c>
      <c r="H36" s="18" t="s">
        <v>9</v>
      </c>
    </row>
    <row r="37" ht="15"/>
    <row r="38" ht="15">
      <c r="A38" s="5" t="s">
        <v>120</v>
      </c>
    </row>
    <row r="39" ht="15"/>
    <row r="40" spans="1:9" s="105" customFormat="1" ht="15.75">
      <c r="A40" s="398" t="s">
        <v>278</v>
      </c>
      <c r="B40" s="399"/>
      <c r="C40" s="399"/>
      <c r="E40" s="400"/>
      <c r="G40" s="309"/>
      <c r="H40" s="310"/>
      <c r="I40" s="309"/>
    </row>
    <row r="41" spans="1:9" s="105" customFormat="1" ht="15.75">
      <c r="A41" s="104" t="s">
        <v>279</v>
      </c>
      <c r="B41" s="399"/>
      <c r="C41" s="401">
        <f>IF(G41&gt;365,"ERROR - More Than 365 Days",IF(G41&lt;0,"ERROR, less than 0",""))</f>
      </c>
      <c r="G41" s="106">
        <v>170</v>
      </c>
      <c r="H41" s="107" t="s">
        <v>8</v>
      </c>
      <c r="I41" s="309"/>
    </row>
    <row r="42" spans="1:10" s="105" customFormat="1" ht="15.75">
      <c r="A42" s="104" t="s">
        <v>280</v>
      </c>
      <c r="B42" s="399"/>
      <c r="C42" s="401">
        <f>IF(G42&gt;(365-G41),"ERROR - Too Many Days",IF(G42&lt;0,"ERROR, less than 0",""))</f>
      </c>
      <c r="G42" s="402">
        <v>30</v>
      </c>
      <c r="H42" s="107" t="s">
        <v>8</v>
      </c>
      <c r="I42" s="309"/>
      <c r="J42" s="107"/>
    </row>
    <row r="43" spans="1:9" s="105" customFormat="1" ht="15">
      <c r="A43" s="104" t="s">
        <v>281</v>
      </c>
      <c r="B43" s="399"/>
      <c r="C43" s="401"/>
      <c r="G43" s="403">
        <f>IF(SUM(365-(G41+G42))&lt;0,"ERROR",SUM(365-(G41+G42)))</f>
        <v>165</v>
      </c>
      <c r="H43" s="404" t="s">
        <v>8</v>
      </c>
      <c r="I43" s="309"/>
    </row>
    <row r="44" spans="1:9" s="105" customFormat="1" ht="15.75">
      <c r="A44" s="104" t="s">
        <v>482</v>
      </c>
      <c r="B44" s="399"/>
      <c r="C44" s="399"/>
      <c r="E44" s="106">
        <v>0</v>
      </c>
      <c r="F44" s="107" t="s">
        <v>8</v>
      </c>
      <c r="G44" s="405">
        <f>IF(E45+E44&gt;G43,"ERROR","")</f>
      </c>
      <c r="H44" s="310"/>
      <c r="I44" s="309"/>
    </row>
    <row r="45" spans="1:9" s="105" customFormat="1" ht="15.75">
      <c r="A45" s="104" t="s">
        <v>481</v>
      </c>
      <c r="B45" s="399"/>
      <c r="C45" s="399"/>
      <c r="E45" s="311">
        <f>IF(G43="ERROR","ERROR",IF(SUM(G43-(E44))&lt;0,0,SUM(G43-(E44))))</f>
        <v>165</v>
      </c>
      <c r="F45" s="107" t="s">
        <v>8</v>
      </c>
      <c r="G45" s="365"/>
      <c r="H45" s="406"/>
      <c r="I45" s="309"/>
    </row>
    <row r="46" spans="1:9" s="105" customFormat="1" ht="15.75">
      <c r="A46" s="309"/>
      <c r="B46" s="309"/>
      <c r="F46" s="407">
        <f>IF(G46="ERROR","",IF(G46&gt;365,"ERROR - More Than 365 Days",IF(G46&lt;365,"ERROR - Less Than 365 Days","")))</f>
      </c>
      <c r="G46" s="398">
        <f>IF(G43="ERROR","ERROR",SUM(G42+G41+E45+E44))</f>
        <v>365</v>
      </c>
      <c r="H46" s="408" t="s">
        <v>282</v>
      </c>
      <c r="I46" s="309"/>
    </row>
    <row r="47" ht="15"/>
    <row r="48" ht="15.75">
      <c r="A48" s="19" t="s">
        <v>129</v>
      </c>
    </row>
    <row r="49" ht="15.75">
      <c r="A49" s="19" t="s">
        <v>121</v>
      </c>
    </row>
    <row r="50" spans="1:6" ht="15.75">
      <c r="A50" s="5" t="s">
        <v>10</v>
      </c>
      <c r="E50" s="84">
        <v>0</v>
      </c>
      <c r="F50" s="5" t="s">
        <v>123</v>
      </c>
    </row>
    <row r="51" spans="1:36" ht="15.75">
      <c r="A51" s="5" t="s">
        <v>223</v>
      </c>
      <c r="E51" s="84">
        <v>0</v>
      </c>
      <c r="F51" s="5" t="s">
        <v>123</v>
      </c>
      <c r="AJ51" s="5" t="s">
        <v>0</v>
      </c>
    </row>
    <row r="52" spans="1:6" ht="15.75">
      <c r="A52" s="5" t="s">
        <v>11</v>
      </c>
      <c r="E52" s="84">
        <v>0</v>
      </c>
      <c r="F52" s="5" t="s">
        <v>123</v>
      </c>
    </row>
    <row r="53" ht="15.75">
      <c r="A53" s="19" t="s">
        <v>122</v>
      </c>
    </row>
    <row r="54" spans="1:6" ht="15.75">
      <c r="A54" s="5" t="s">
        <v>11</v>
      </c>
      <c r="E54" s="84">
        <v>9.13</v>
      </c>
      <c r="F54" s="5" t="s">
        <v>123</v>
      </c>
    </row>
    <row r="55" spans="1:6" ht="15.75">
      <c r="A55" s="5" t="s">
        <v>12</v>
      </c>
      <c r="E55" s="84">
        <v>0</v>
      </c>
      <c r="F55" s="5" t="s">
        <v>123</v>
      </c>
    </row>
    <row r="56" spans="1:6" ht="15.75">
      <c r="A56" s="5" t="s">
        <v>13</v>
      </c>
      <c r="E56" s="84">
        <v>0</v>
      </c>
      <c r="F56" s="5" t="s">
        <v>123</v>
      </c>
    </row>
    <row r="57" ht="15">
      <c r="A57" s="5" t="s">
        <v>14</v>
      </c>
    </row>
    <row r="58" spans="1:6" ht="15.75">
      <c r="A58" s="5" t="s">
        <v>15</v>
      </c>
      <c r="E58" s="84">
        <v>0</v>
      </c>
      <c r="F58" s="5" t="s">
        <v>123</v>
      </c>
    </row>
    <row r="59" ht="15.75">
      <c r="A59" s="19" t="s">
        <v>124</v>
      </c>
    </row>
    <row r="60" spans="1:6" ht="15.75">
      <c r="A60" s="5" t="s">
        <v>11</v>
      </c>
      <c r="E60" s="84">
        <v>17.25</v>
      </c>
      <c r="F60" s="5" t="s">
        <v>123</v>
      </c>
    </row>
    <row r="61" spans="1:6" ht="15.75">
      <c r="A61" s="5" t="s">
        <v>16</v>
      </c>
      <c r="E61" s="84">
        <v>60</v>
      </c>
      <c r="F61" s="5" t="s">
        <v>123</v>
      </c>
    </row>
    <row r="63" ht="15.75">
      <c r="A63" s="19" t="s">
        <v>125</v>
      </c>
    </row>
    <row r="64" spans="1:5" ht="15">
      <c r="A64" s="5" t="s">
        <v>126</v>
      </c>
      <c r="E64" s="9" t="s">
        <v>0</v>
      </c>
    </row>
    <row r="65" spans="1:5" ht="15.75">
      <c r="A65" s="5" t="s">
        <v>17</v>
      </c>
      <c r="E65" s="88">
        <v>2</v>
      </c>
    </row>
    <row r="66" spans="1:5" ht="15.75">
      <c r="A66" s="5" t="s">
        <v>18</v>
      </c>
      <c r="E66" s="93">
        <v>150</v>
      </c>
    </row>
    <row r="67" ht="15">
      <c r="E67" s="94" t="s">
        <v>0</v>
      </c>
    </row>
    <row r="68" spans="1:5" ht="15">
      <c r="A68" s="5" t="s">
        <v>127</v>
      </c>
      <c r="E68" s="9" t="s">
        <v>0</v>
      </c>
    </row>
    <row r="69" spans="1:5" ht="15.75">
      <c r="A69" s="5" t="s">
        <v>19</v>
      </c>
      <c r="E69" s="88">
        <v>160</v>
      </c>
    </row>
    <row r="70" spans="1:5" ht="15.75">
      <c r="A70" s="5" t="s">
        <v>20</v>
      </c>
      <c r="E70" s="93">
        <v>0.8</v>
      </c>
    </row>
    <row r="71" spans="1:5" ht="15.75">
      <c r="A71" s="5" t="s">
        <v>21</v>
      </c>
      <c r="E71" s="88">
        <v>1</v>
      </c>
    </row>
    <row r="73" ht="15.75">
      <c r="A73" s="19" t="s">
        <v>128</v>
      </c>
    </row>
    <row r="74" ht="15.75">
      <c r="A74" s="19" t="s">
        <v>22</v>
      </c>
    </row>
    <row r="75" spans="1:5" ht="15.75">
      <c r="A75" s="5" t="s">
        <v>23</v>
      </c>
      <c r="E75" s="86">
        <v>7400</v>
      </c>
    </row>
    <row r="76" spans="1:5" ht="15.75">
      <c r="A76" s="5" t="s">
        <v>24</v>
      </c>
      <c r="E76" s="86">
        <v>3860</v>
      </c>
    </row>
    <row r="78" spans="1:9" s="105" customFormat="1" ht="15.75">
      <c r="A78" s="398" t="s">
        <v>247</v>
      </c>
      <c r="B78" s="309"/>
      <c r="C78" s="309"/>
      <c r="D78" s="309"/>
      <c r="E78" s="386"/>
      <c r="H78" s="386"/>
      <c r="I78" s="309"/>
    </row>
    <row r="79" spans="1:9" s="105" customFormat="1" ht="15">
      <c r="A79" s="104" t="s">
        <v>248</v>
      </c>
      <c r="B79" s="309"/>
      <c r="C79" s="309"/>
      <c r="D79" s="309"/>
      <c r="E79" s="386"/>
      <c r="H79" s="386"/>
      <c r="I79" s="309"/>
    </row>
    <row r="80" spans="1:9" s="105" customFormat="1" ht="15.75">
      <c r="A80" s="104" t="s">
        <v>249</v>
      </c>
      <c r="D80" s="309"/>
      <c r="E80" s="409">
        <v>120</v>
      </c>
      <c r="H80" s="386"/>
      <c r="I80" s="309"/>
    </row>
    <row r="81" spans="1:9" s="105" customFormat="1" ht="15.75">
      <c r="A81" s="104" t="s">
        <v>250</v>
      </c>
      <c r="D81" s="309"/>
      <c r="E81" s="248">
        <v>0.85</v>
      </c>
      <c r="F81" s="107" t="s">
        <v>251</v>
      </c>
      <c r="H81" s="386"/>
      <c r="I81" s="309"/>
    </row>
    <row r="82" spans="1:9" s="105" customFormat="1" ht="15.75">
      <c r="A82" s="104" t="s">
        <v>252</v>
      </c>
      <c r="C82" s="309"/>
      <c r="D82" s="309"/>
      <c r="E82" s="410">
        <v>1</v>
      </c>
      <c r="F82" s="107" t="s">
        <v>76</v>
      </c>
      <c r="H82" s="386"/>
      <c r="I82" s="309"/>
    </row>
    <row r="83" spans="1:9" s="105" customFormat="1" ht="15.75">
      <c r="A83" s="104" t="s">
        <v>253</v>
      </c>
      <c r="B83" s="309"/>
      <c r="C83" s="309"/>
      <c r="D83" s="309"/>
      <c r="E83" s="410">
        <v>1</v>
      </c>
      <c r="F83" s="107" t="s">
        <v>115</v>
      </c>
      <c r="H83" s="386"/>
      <c r="I83" s="309"/>
    </row>
    <row r="84" spans="1:9" s="105" customFormat="1" ht="15.75">
      <c r="A84" s="104" t="s">
        <v>429</v>
      </c>
      <c r="B84" s="309"/>
      <c r="C84" s="309"/>
      <c r="D84" s="309"/>
      <c r="E84" s="410">
        <v>2</v>
      </c>
      <c r="F84" s="107" t="s">
        <v>115</v>
      </c>
      <c r="H84" s="386"/>
      <c r="I84" s="309"/>
    </row>
    <row r="85" s="309" customFormat="1" ht="15"/>
    <row r="86" ht="15.75">
      <c r="A86" s="19" t="s">
        <v>130</v>
      </c>
    </row>
    <row r="87" ht="15.75">
      <c r="A87" s="19" t="s">
        <v>131</v>
      </c>
    </row>
    <row r="88" spans="1:6" s="346" customFormat="1" ht="15.75" customHeight="1">
      <c r="A88" s="346" t="s">
        <v>431</v>
      </c>
      <c r="B88" s="346" t="s">
        <v>465</v>
      </c>
      <c r="E88" s="348">
        <v>0.0793</v>
      </c>
      <c r="F88" s="346" t="s">
        <v>432</v>
      </c>
    </row>
    <row r="89" spans="2:5" s="346" customFormat="1" ht="15.75" customHeight="1">
      <c r="B89" s="347">
        <v>25</v>
      </c>
      <c r="C89" s="346" t="s">
        <v>434</v>
      </c>
      <c r="E89" s="350">
        <f>SUM(B89*E13*E88)</f>
        <v>198.25</v>
      </c>
    </row>
    <row r="90" spans="2:5" s="346" customFormat="1" ht="15.75" customHeight="1">
      <c r="B90" s="347">
        <v>1</v>
      </c>
      <c r="C90" s="346" t="s">
        <v>433</v>
      </c>
      <c r="E90" s="351">
        <f>SUM(B90*18)*(G43+G42)*E88</f>
        <v>278.34299999999996</v>
      </c>
    </row>
    <row r="91" spans="2:5" s="346" customFormat="1" ht="15.75" customHeight="1">
      <c r="B91" s="347"/>
      <c r="D91" s="346" t="s">
        <v>435</v>
      </c>
      <c r="E91" s="352">
        <f>SUM(E89:E90)</f>
        <v>476.59299999999996</v>
      </c>
    </row>
    <row r="92" spans="1:5" ht="15.75">
      <c r="A92" s="5" t="s">
        <v>133</v>
      </c>
      <c r="E92" s="84">
        <v>0</v>
      </c>
    </row>
    <row r="93" spans="1:5" ht="15.75">
      <c r="A93" s="5" t="s">
        <v>132</v>
      </c>
      <c r="E93" s="349">
        <v>600</v>
      </c>
    </row>
    <row r="95" ht="15.75">
      <c r="A95" s="19" t="s">
        <v>134</v>
      </c>
    </row>
    <row r="96" ht="15">
      <c r="A96" s="5" t="s">
        <v>466</v>
      </c>
    </row>
    <row r="97" spans="1:8" ht="15.75">
      <c r="A97" s="5" t="s">
        <v>473</v>
      </c>
      <c r="E97" s="359">
        <f>(E13*E22/100)+(E14*E23/100)</f>
        <v>5.6</v>
      </c>
      <c r="F97" t="s">
        <v>474</v>
      </c>
      <c r="H97" s="299"/>
    </row>
    <row r="98" spans="1:8" ht="15.75">
      <c r="A98" s="5" t="s">
        <v>446</v>
      </c>
      <c r="E98" s="297">
        <v>925</v>
      </c>
      <c r="F98" t="s">
        <v>116</v>
      </c>
      <c r="H98" s="299"/>
    </row>
    <row r="99" spans="1:8" ht="15.75">
      <c r="A99" s="5" t="s">
        <v>472</v>
      </c>
      <c r="E99" s="297">
        <v>1350</v>
      </c>
      <c r="F99" t="s">
        <v>116</v>
      </c>
      <c r="H99" s="299"/>
    </row>
    <row r="100" spans="1:8" ht="15.75">
      <c r="A100" s="5" t="s">
        <v>447</v>
      </c>
      <c r="E100" s="298">
        <v>1.7</v>
      </c>
      <c r="F100" t="s">
        <v>117</v>
      </c>
      <c r="H100" s="360"/>
    </row>
    <row r="101" ht="15">
      <c r="A101" s="5" t="s">
        <v>467</v>
      </c>
    </row>
    <row r="102" spans="1:8" ht="15.75">
      <c r="A102" s="5" t="s">
        <v>448</v>
      </c>
      <c r="E102" s="298">
        <v>1.75</v>
      </c>
      <c r="F102" t="s">
        <v>123</v>
      </c>
      <c r="H102" s="360"/>
    </row>
    <row r="103" spans="1:8" ht="15.75">
      <c r="A103" s="5" t="s">
        <v>449</v>
      </c>
      <c r="E103" s="298">
        <v>18</v>
      </c>
      <c r="F103" t="s">
        <v>57</v>
      </c>
      <c r="H103" s="360"/>
    </row>
    <row r="104" spans="1:8" ht="15.75">
      <c r="A104" s="5" t="s">
        <v>450</v>
      </c>
      <c r="E104" s="298">
        <v>16</v>
      </c>
      <c r="F104" t="s">
        <v>451</v>
      </c>
      <c r="H104" s="360"/>
    </row>
    <row r="105" ht="15">
      <c r="E105" s="9"/>
    </row>
    <row r="106" spans="1:6" ht="15.75">
      <c r="A106" s="19" t="s">
        <v>135</v>
      </c>
      <c r="E106" s="366">
        <v>2.25</v>
      </c>
      <c r="F106" s="5" t="s">
        <v>115</v>
      </c>
    </row>
    <row r="107" spans="1:6" ht="15.75">
      <c r="A107" s="19" t="s">
        <v>136</v>
      </c>
      <c r="E107" s="366">
        <v>4.5</v>
      </c>
      <c r="F107" s="5" t="s">
        <v>115</v>
      </c>
    </row>
    <row r="109" spans="1:5" ht="15.75">
      <c r="A109" s="19" t="s">
        <v>137</v>
      </c>
      <c r="C109" s="5" t="s">
        <v>0</v>
      </c>
      <c r="E109" s="9" t="s">
        <v>0</v>
      </c>
    </row>
    <row r="110" spans="1:5" ht="15">
      <c r="A110" s="5" t="s">
        <v>138</v>
      </c>
      <c r="E110" s="9" t="s">
        <v>0</v>
      </c>
    </row>
    <row r="111" spans="1:5" ht="15.75">
      <c r="A111" s="5" t="s">
        <v>139</v>
      </c>
      <c r="B111" s="9"/>
      <c r="C111" s="5" t="s">
        <v>0</v>
      </c>
      <c r="E111" s="349">
        <v>0.45</v>
      </c>
    </row>
    <row r="112" spans="1:5" ht="15.75">
      <c r="A112" s="5" t="s">
        <v>140</v>
      </c>
      <c r="E112" s="349">
        <v>0.4</v>
      </c>
    </row>
    <row r="113" spans="1:5" ht="15.75">
      <c r="A113" s="5" t="s">
        <v>141</v>
      </c>
      <c r="E113" s="349">
        <v>49</v>
      </c>
    </row>
    <row r="115" ht="15.75">
      <c r="A115" s="19" t="s">
        <v>142</v>
      </c>
    </row>
    <row r="116" spans="1:5" ht="15.75">
      <c r="A116" s="5" t="s">
        <v>143</v>
      </c>
      <c r="E116" s="349">
        <v>900</v>
      </c>
    </row>
    <row r="118" ht="15.75">
      <c r="A118" s="19" t="s">
        <v>144</v>
      </c>
    </row>
    <row r="119" spans="1:6" ht="15.75">
      <c r="A119" s="5" t="s">
        <v>155</v>
      </c>
      <c r="E119" s="86">
        <v>3800</v>
      </c>
      <c r="F119" s="5" t="s">
        <v>153</v>
      </c>
    </row>
    <row r="120" spans="1:6" ht="15.75">
      <c r="A120" s="5" t="s">
        <v>156</v>
      </c>
      <c r="E120" s="86">
        <v>3750</v>
      </c>
      <c r="F120" s="5" t="s">
        <v>57</v>
      </c>
    </row>
    <row r="121" spans="1:6" ht="15.75">
      <c r="A121" s="5" t="s">
        <v>157</v>
      </c>
      <c r="E121" s="86">
        <v>2500</v>
      </c>
      <c r="F121" s="5" t="s">
        <v>154</v>
      </c>
    </row>
    <row r="123" spans="1:5" ht="15.75">
      <c r="A123" s="19" t="s">
        <v>215</v>
      </c>
      <c r="C123" s="69"/>
      <c r="D123" s="70"/>
      <c r="E123" s="71"/>
    </row>
    <row r="124" spans="1:12" ht="15.75">
      <c r="A124" s="5" t="s">
        <v>158</v>
      </c>
      <c r="D124" s="60"/>
      <c r="E124" s="411">
        <v>5</v>
      </c>
      <c r="G124" s="5" t="str">
        <f>"("&amp;E124*E13&amp;" acres)"</f>
        <v>(500 acres)</v>
      </c>
      <c r="J124" s="413">
        <f>ROUND(E13*(E98/1000)*(G41/30),0)</f>
        <v>524</v>
      </c>
      <c r="K124" s="414" t="s">
        <v>478</v>
      </c>
      <c r="L124" s="415"/>
    </row>
    <row r="125" spans="1:12" ht="15.75">
      <c r="A125" s="5" t="s">
        <v>159</v>
      </c>
      <c r="D125" s="68"/>
      <c r="E125" s="412">
        <v>625</v>
      </c>
      <c r="J125" s="416">
        <f>SUM(J124/(E124*E13))</f>
        <v>1.048</v>
      </c>
      <c r="K125" s="417" t="s">
        <v>479</v>
      </c>
      <c r="L125" s="418"/>
    </row>
    <row r="126" spans="1:5" ht="15.75">
      <c r="A126" s="5" t="s">
        <v>160</v>
      </c>
      <c r="D126" s="61"/>
      <c r="E126" s="349">
        <v>3.5</v>
      </c>
    </row>
    <row r="127" spans="1:6" ht="15.75">
      <c r="A127" s="5" t="s">
        <v>204</v>
      </c>
      <c r="B127" s="5" t="s">
        <v>208</v>
      </c>
      <c r="D127" s="61"/>
      <c r="E127" s="419">
        <v>6</v>
      </c>
      <c r="F127" s="5" t="s">
        <v>207</v>
      </c>
    </row>
    <row r="128" spans="2:6" ht="15.75">
      <c r="B128" s="72" t="s">
        <v>209</v>
      </c>
      <c r="D128" s="61"/>
      <c r="E128" s="412">
        <v>9250</v>
      </c>
      <c r="F128" s="5" t="s">
        <v>212</v>
      </c>
    </row>
    <row r="129" spans="2:6" ht="15.75">
      <c r="B129" s="5" t="s">
        <v>210</v>
      </c>
      <c r="D129" s="61"/>
      <c r="E129" s="419">
        <v>2</v>
      </c>
      <c r="F129" s="5" t="s">
        <v>207</v>
      </c>
    </row>
    <row r="130" spans="2:6" ht="15.75">
      <c r="B130" s="5" t="s">
        <v>211</v>
      </c>
      <c r="E130" s="412">
        <v>3960</v>
      </c>
      <c r="F130" s="5" t="s">
        <v>212</v>
      </c>
    </row>
    <row r="132" spans="4:5" ht="18">
      <c r="D132" s="4" t="s">
        <v>145</v>
      </c>
      <c r="E132" s="4"/>
    </row>
    <row r="133" ht="15">
      <c r="E133" s="65"/>
    </row>
    <row r="134" spans="4:7" ht="15.75">
      <c r="D134" s="71" t="s">
        <v>146</v>
      </c>
      <c r="E134" s="70" t="s">
        <v>25</v>
      </c>
      <c r="F134" s="70"/>
      <c r="G134" s="71" t="s">
        <v>26</v>
      </c>
    </row>
    <row r="135" spans="4:8" ht="15.75">
      <c r="D135" s="8" t="s">
        <v>27</v>
      </c>
      <c r="E135" s="73" t="s">
        <v>27</v>
      </c>
      <c r="F135" s="73"/>
      <c r="G135" s="8" t="s">
        <v>28</v>
      </c>
      <c r="H135" s="13"/>
    </row>
    <row r="136" spans="1:7" ht="15.75">
      <c r="A136" s="6" t="s">
        <v>273</v>
      </c>
      <c r="E136" s="5" t="s">
        <v>0</v>
      </c>
      <c r="G136" s="5" t="s">
        <v>0</v>
      </c>
    </row>
    <row r="137" spans="1:8" ht="15.75">
      <c r="A137" s="101" t="s">
        <v>271</v>
      </c>
      <c r="D137" s="420">
        <v>6000</v>
      </c>
      <c r="E137" s="81">
        <v>0</v>
      </c>
      <c r="F137" s="5" t="s">
        <v>115</v>
      </c>
      <c r="G137" s="81">
        <v>20</v>
      </c>
      <c r="H137" s="5" t="s">
        <v>147</v>
      </c>
    </row>
    <row r="138" spans="1:8" ht="15.75">
      <c r="A138" s="101" t="s">
        <v>274</v>
      </c>
      <c r="D138" s="371">
        <v>15000</v>
      </c>
      <c r="E138" s="12">
        <f>E137</f>
        <v>0</v>
      </c>
      <c r="F138" s="5" t="s">
        <v>115</v>
      </c>
      <c r="G138" s="12">
        <f>G137</f>
        <v>20</v>
      </c>
      <c r="H138" s="5" t="s">
        <v>147</v>
      </c>
    </row>
    <row r="139" spans="1:8" ht="15.75">
      <c r="A139" s="5" t="s">
        <v>263</v>
      </c>
      <c r="D139" s="99">
        <v>4000</v>
      </c>
      <c r="E139" s="12">
        <f aca="true" t="shared" si="0" ref="E139:E149">E138</f>
        <v>0</v>
      </c>
      <c r="F139" s="5" t="s">
        <v>115</v>
      </c>
      <c r="G139" s="12">
        <f aca="true" t="shared" si="1" ref="G139:G149">G138</f>
        <v>20</v>
      </c>
      <c r="H139" s="5" t="s">
        <v>147</v>
      </c>
    </row>
    <row r="140" spans="1:8" ht="15.75">
      <c r="A140" s="5" t="s">
        <v>267</v>
      </c>
      <c r="D140" s="99">
        <v>2400</v>
      </c>
      <c r="E140" s="12">
        <f t="shared" si="0"/>
        <v>0</v>
      </c>
      <c r="F140" s="5" t="s">
        <v>115</v>
      </c>
      <c r="G140" s="12">
        <f t="shared" si="1"/>
        <v>20</v>
      </c>
      <c r="H140" s="5" t="s">
        <v>147</v>
      </c>
    </row>
    <row r="141" spans="1:8" ht="15.75">
      <c r="A141" s="101" t="s">
        <v>272</v>
      </c>
      <c r="D141" s="420">
        <v>2500</v>
      </c>
      <c r="E141" s="12">
        <f t="shared" si="0"/>
        <v>0</v>
      </c>
      <c r="F141" s="5" t="s">
        <v>115</v>
      </c>
      <c r="G141" s="12">
        <f t="shared" si="1"/>
        <v>20</v>
      </c>
      <c r="H141" s="5" t="s">
        <v>147</v>
      </c>
    </row>
    <row r="142" spans="1:8" ht="15.75">
      <c r="A142" s="101" t="s">
        <v>275</v>
      </c>
      <c r="D142" s="420">
        <v>6000</v>
      </c>
      <c r="E142" s="12">
        <f t="shared" si="0"/>
        <v>0</v>
      </c>
      <c r="F142" s="5" t="s">
        <v>115</v>
      </c>
      <c r="G142" s="12">
        <f t="shared" si="1"/>
        <v>20</v>
      </c>
      <c r="H142" s="5" t="s">
        <v>147</v>
      </c>
    </row>
    <row r="143" spans="1:8" ht="15.75">
      <c r="A143" s="101" t="s">
        <v>276</v>
      </c>
      <c r="D143" s="420">
        <v>6000</v>
      </c>
      <c r="E143" s="12">
        <f t="shared" si="0"/>
        <v>0</v>
      </c>
      <c r="F143" s="5" t="s">
        <v>115</v>
      </c>
      <c r="G143" s="12">
        <f t="shared" si="1"/>
        <v>20</v>
      </c>
      <c r="H143" s="5" t="s">
        <v>147</v>
      </c>
    </row>
    <row r="144" spans="1:8" ht="15.75">
      <c r="A144" s="5" t="s">
        <v>264</v>
      </c>
      <c r="D144" s="99">
        <v>4000</v>
      </c>
      <c r="E144" s="12">
        <f t="shared" si="0"/>
        <v>0</v>
      </c>
      <c r="F144" s="5" t="s">
        <v>115</v>
      </c>
      <c r="G144" s="12">
        <f t="shared" si="1"/>
        <v>20</v>
      </c>
      <c r="H144" s="5" t="s">
        <v>147</v>
      </c>
    </row>
    <row r="145" spans="1:8" ht="15.75">
      <c r="A145" s="5" t="s">
        <v>265</v>
      </c>
      <c r="D145" s="99">
        <v>3000</v>
      </c>
      <c r="E145" s="12">
        <f t="shared" si="0"/>
        <v>0</v>
      </c>
      <c r="F145" s="5" t="s">
        <v>115</v>
      </c>
      <c r="G145" s="12">
        <f t="shared" si="1"/>
        <v>20</v>
      </c>
      <c r="H145" s="5" t="s">
        <v>147</v>
      </c>
    </row>
    <row r="146" spans="1:8" ht="15.75">
      <c r="A146" s="5" t="s">
        <v>266</v>
      </c>
      <c r="D146" s="99">
        <v>1450</v>
      </c>
      <c r="E146" s="12">
        <f t="shared" si="0"/>
        <v>0</v>
      </c>
      <c r="F146" s="5" t="s">
        <v>115</v>
      </c>
      <c r="G146" s="12">
        <f t="shared" si="1"/>
        <v>20</v>
      </c>
      <c r="H146" s="5" t="s">
        <v>147</v>
      </c>
    </row>
    <row r="147" spans="1:8" ht="15.75">
      <c r="A147" s="5" t="s">
        <v>268</v>
      </c>
      <c r="D147" s="99">
        <v>8000</v>
      </c>
      <c r="E147" s="12">
        <f t="shared" si="0"/>
        <v>0</v>
      </c>
      <c r="F147" s="5" t="s">
        <v>115</v>
      </c>
      <c r="G147" s="12">
        <f t="shared" si="1"/>
        <v>20</v>
      </c>
      <c r="H147" s="5" t="s">
        <v>147</v>
      </c>
    </row>
    <row r="148" spans="1:8" ht="15.75">
      <c r="A148" s="5" t="s">
        <v>269</v>
      </c>
      <c r="D148" s="99">
        <v>2400</v>
      </c>
      <c r="E148" s="12">
        <f t="shared" si="0"/>
        <v>0</v>
      </c>
      <c r="F148" s="5" t="s">
        <v>115</v>
      </c>
      <c r="G148" s="12">
        <f t="shared" si="1"/>
        <v>20</v>
      </c>
      <c r="H148" s="5" t="s">
        <v>147</v>
      </c>
    </row>
    <row r="149" spans="1:8" ht="15.75">
      <c r="A149" s="5" t="s">
        <v>270</v>
      </c>
      <c r="D149" s="100">
        <v>2500</v>
      </c>
      <c r="E149" s="376">
        <f t="shared" si="0"/>
        <v>0</v>
      </c>
      <c r="F149" s="5" t="s">
        <v>115</v>
      </c>
      <c r="G149" s="376">
        <f t="shared" si="1"/>
        <v>20</v>
      </c>
      <c r="H149" s="5" t="s">
        <v>147</v>
      </c>
    </row>
    <row r="150" spans="1:7" ht="15.75">
      <c r="A150" s="6" t="s">
        <v>148</v>
      </c>
      <c r="D150" s="75">
        <f>SUM(D137:D149)</f>
        <v>63250</v>
      </c>
      <c r="E150" s="12"/>
      <c r="G150" s="12"/>
    </row>
    <row r="151" spans="5:7" ht="15">
      <c r="E151" s="5" t="s">
        <v>0</v>
      </c>
      <c r="G151" s="5" t="s">
        <v>0</v>
      </c>
    </row>
    <row r="152" spans="1:7" ht="15.75">
      <c r="A152" s="6" t="s">
        <v>30</v>
      </c>
      <c r="E152" s="5" t="s">
        <v>0</v>
      </c>
      <c r="G152" s="5" t="s">
        <v>0</v>
      </c>
    </row>
    <row r="153" spans="1:8" ht="15.75">
      <c r="A153" s="92" t="s">
        <v>470</v>
      </c>
      <c r="D153" s="371">
        <v>36000</v>
      </c>
      <c r="E153" s="102">
        <v>20</v>
      </c>
      <c r="F153" s="78" t="s">
        <v>115</v>
      </c>
      <c r="G153" s="102">
        <v>10</v>
      </c>
      <c r="H153" s="78" t="s">
        <v>147</v>
      </c>
    </row>
    <row r="154" spans="1:8" ht="15.75">
      <c r="A154" s="5" t="s">
        <v>259</v>
      </c>
      <c r="D154" s="97">
        <v>10000</v>
      </c>
      <c r="E154" s="12">
        <f>E153</f>
        <v>20</v>
      </c>
      <c r="F154" s="5" t="s">
        <v>115</v>
      </c>
      <c r="G154" s="12">
        <f>G153</f>
        <v>10</v>
      </c>
      <c r="H154" s="5" t="s">
        <v>147</v>
      </c>
    </row>
    <row r="155" spans="1:8" ht="15.75">
      <c r="A155" s="5" t="s">
        <v>260</v>
      </c>
      <c r="D155" s="97">
        <v>22000</v>
      </c>
      <c r="E155" s="12">
        <f>E154</f>
        <v>20</v>
      </c>
      <c r="F155" s="5" t="s">
        <v>115</v>
      </c>
      <c r="G155" s="12">
        <f>G154</f>
        <v>10</v>
      </c>
      <c r="H155" s="5" t="s">
        <v>147</v>
      </c>
    </row>
    <row r="156" spans="1:8" ht="15.75">
      <c r="A156" s="5" t="s">
        <v>261</v>
      </c>
      <c r="D156" s="97">
        <v>25000</v>
      </c>
      <c r="E156" s="12">
        <f>E155</f>
        <v>20</v>
      </c>
      <c r="F156" s="5" t="s">
        <v>115</v>
      </c>
      <c r="G156" s="12">
        <f>G155</f>
        <v>10</v>
      </c>
      <c r="H156" s="5" t="s">
        <v>147</v>
      </c>
    </row>
    <row r="157" spans="1:8" ht="15.75">
      <c r="A157" s="92" t="s">
        <v>262</v>
      </c>
      <c r="D157" s="98">
        <v>30000</v>
      </c>
      <c r="E157" s="376">
        <f>E156</f>
        <v>20</v>
      </c>
      <c r="F157" s="5" t="s">
        <v>115</v>
      </c>
      <c r="G157" s="376">
        <f>G156</f>
        <v>10</v>
      </c>
      <c r="H157" s="5" t="s">
        <v>147</v>
      </c>
    </row>
    <row r="158" spans="1:7" ht="15.75">
      <c r="A158" s="6" t="s">
        <v>149</v>
      </c>
      <c r="D158" s="75">
        <f>SUM(D153:D157)</f>
        <v>123000</v>
      </c>
      <c r="E158" s="12"/>
      <c r="G158" s="12"/>
    </row>
    <row r="159" spans="4:6" ht="15.75">
      <c r="D159" s="68"/>
      <c r="E159" s="9" t="s">
        <v>0</v>
      </c>
      <c r="F159" s="9"/>
    </row>
    <row r="160" spans="1:6" ht="15.75">
      <c r="A160" s="6" t="s">
        <v>206</v>
      </c>
      <c r="D160" s="75">
        <f>E124*E125*E13</f>
        <v>312500</v>
      </c>
      <c r="E160" s="9" t="str">
        <f>"("&amp;E124*E13&amp;" acres @ $"&amp;E125&amp;"/acre)"</f>
        <v>(500 acres @ $625/acre)</v>
      </c>
      <c r="F160" s="9"/>
    </row>
    <row r="161" spans="1:6" ht="15.75">
      <c r="A161" s="6" t="s">
        <v>204</v>
      </c>
      <c r="E161" s="9"/>
      <c r="F161" s="9"/>
    </row>
    <row r="162" spans="1:8" ht="15.75">
      <c r="A162" s="5" t="s">
        <v>213</v>
      </c>
      <c r="D162" s="76">
        <f>E127*E128</f>
        <v>55500</v>
      </c>
      <c r="E162" s="81">
        <v>0</v>
      </c>
      <c r="F162" s="5" t="s">
        <v>115</v>
      </c>
      <c r="G162" s="81">
        <v>20</v>
      </c>
      <c r="H162" s="5" t="s">
        <v>147</v>
      </c>
    </row>
    <row r="163" spans="1:8" ht="15.75">
      <c r="A163" s="5" t="s">
        <v>214</v>
      </c>
      <c r="D163" s="77">
        <f>E129*E130</f>
        <v>7920</v>
      </c>
      <c r="E163" s="74">
        <f>E162</f>
        <v>0</v>
      </c>
      <c r="F163" s="13" t="s">
        <v>115</v>
      </c>
      <c r="G163" s="81">
        <v>20</v>
      </c>
      <c r="H163" s="13" t="s">
        <v>147</v>
      </c>
    </row>
    <row r="164" spans="1:8" ht="15.75">
      <c r="A164" s="6" t="s">
        <v>149</v>
      </c>
      <c r="D164" s="75">
        <f>SUM(D161:D163)</f>
        <v>63420</v>
      </c>
      <c r="E164" s="12"/>
      <c r="F164" s="78"/>
      <c r="G164" s="79"/>
      <c r="H164" s="78"/>
    </row>
    <row r="165" spans="5:6" ht="15">
      <c r="E165" s="9"/>
      <c r="F165" s="9"/>
    </row>
    <row r="166" spans="1:6" ht="15.75">
      <c r="A166" s="6" t="s">
        <v>150</v>
      </c>
      <c r="E166" s="9"/>
      <c r="F166" s="9"/>
    </row>
    <row r="167" spans="1:6" ht="15">
      <c r="A167" s="5" t="s">
        <v>151</v>
      </c>
      <c r="D167" s="32">
        <f>E120*E13</f>
        <v>375000</v>
      </c>
      <c r="E167" s="9"/>
      <c r="F167" s="9"/>
    </row>
    <row r="168" spans="1:6" ht="15">
      <c r="A168" s="5" t="s">
        <v>152</v>
      </c>
      <c r="D168" s="80">
        <f>E75*E14</f>
        <v>44400</v>
      </c>
      <c r="E168" s="9"/>
      <c r="F168" s="9"/>
    </row>
    <row r="169" spans="1:6" ht="15.75">
      <c r="A169" s="6" t="s">
        <v>149</v>
      </c>
      <c r="D169" s="75">
        <f>SUM(D167:D168)</f>
        <v>419400</v>
      </c>
      <c r="E169" s="9"/>
      <c r="F169" s="9"/>
    </row>
    <row r="171" spans="1:4" ht="15.75">
      <c r="A171" s="19" t="s">
        <v>216</v>
      </c>
      <c r="D171" s="75">
        <f>D169+D164+D160+D158+D150</f>
        <v>981570</v>
      </c>
    </row>
    <row r="173" ht="15.75">
      <c r="A173" s="19" t="s">
        <v>161</v>
      </c>
    </row>
    <row r="174" spans="1:5" ht="15.75">
      <c r="A174" s="5" t="s">
        <v>162</v>
      </c>
      <c r="D174" s="83">
        <v>4</v>
      </c>
      <c r="E174" s="18" t="s">
        <v>110</v>
      </c>
    </row>
    <row r="175" spans="1:5" ht="15.75">
      <c r="A175" s="5" t="s">
        <v>163</v>
      </c>
      <c r="D175" s="84">
        <v>20</v>
      </c>
      <c r="E175" s="9" t="s">
        <v>111</v>
      </c>
    </row>
    <row r="178" ht="15">
      <c r="B178" s="9"/>
    </row>
    <row r="180" ht="15">
      <c r="B180" s="9"/>
    </row>
    <row r="182" ht="15">
      <c r="B182" s="9"/>
    </row>
    <row r="184" ht="15">
      <c r="B184" s="9"/>
    </row>
    <row r="188" ht="15">
      <c r="B188" s="9"/>
    </row>
    <row r="190" ht="15">
      <c r="B190" s="9"/>
    </row>
    <row r="191" ht="15">
      <c r="B191" s="9"/>
    </row>
    <row r="192" ht="15">
      <c r="B192" s="9"/>
    </row>
    <row r="193" ht="15">
      <c r="B193" s="9"/>
    </row>
    <row r="194" ht="15">
      <c r="B194" s="9"/>
    </row>
    <row r="195" ht="15">
      <c r="B195" s="9"/>
    </row>
    <row r="198" ht="15">
      <c r="B198" s="9"/>
    </row>
    <row r="200" ht="15">
      <c r="B200" s="9"/>
    </row>
    <row r="201" spans="2:9" ht="15">
      <c r="B201" s="9"/>
      <c r="I201" s="5" t="s">
        <v>0</v>
      </c>
    </row>
    <row r="203" ht="15">
      <c r="B203" s="9"/>
    </row>
    <row r="204" ht="15">
      <c r="B204" s="9"/>
    </row>
    <row r="205" ht="15">
      <c r="B205" s="9"/>
    </row>
    <row r="206" ht="15">
      <c r="G206" s="5" t="s">
        <v>0</v>
      </c>
    </row>
    <row r="539" ht="15">
      <c r="A539" s="5" t="s">
        <v>0</v>
      </c>
    </row>
    <row r="540" ht="15">
      <c r="A540" s="5" t="s">
        <v>0</v>
      </c>
    </row>
  </sheetData>
  <sheetProtection password="C6A6" sheet="1"/>
  <mergeCells count="4">
    <mergeCell ref="C27:D27"/>
    <mergeCell ref="E27:H27"/>
    <mergeCell ref="A12:H12"/>
    <mergeCell ref="A1:I1"/>
  </mergeCells>
  <printOptions horizontalCentered="1"/>
  <pageMargins left="0.7480314960629921" right="0.7480314960629921" top="0.984251968503937" bottom="0.984251968503937" header="0.5118110236220472" footer="0.5118110236220472"/>
  <pageSetup firstPageNumber="4" useFirstPageNumber="1" fitToHeight="4" horizontalDpi="600" verticalDpi="600" orientation="portrait" scale="89" r:id="rId3"/>
  <headerFooter alignWithMargins="0">
    <oddHeader>&amp;L&amp;9Guidelines: Bison Cow-Calf Production Costs&amp;R&amp;P</oddHeader>
    <oddFooter>&amp;R&amp;9Manitoba Agriculture</oddFooter>
  </headerFooter>
  <rowBreaks count="3" manualBreakCount="3">
    <brk id="46" max="9" man="1"/>
    <brk id="85" max="9" man="1"/>
    <brk id="131" max="9" man="1"/>
  </rowBreaks>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P64"/>
  <sheetViews>
    <sheetView workbookViewId="0" topLeftCell="A1">
      <selection activeCell="A1" sqref="A1:H1"/>
    </sheetView>
  </sheetViews>
  <sheetFormatPr defaultColWidth="8.88671875" defaultRowHeight="15"/>
  <cols>
    <col min="1" max="1" width="4.5546875" style="188" customWidth="1"/>
    <col min="2" max="2" width="25.21484375" style="188" customWidth="1"/>
    <col min="3" max="7" width="10.77734375" style="188" customWidth="1"/>
    <col min="8" max="15" width="4.88671875" style="188" customWidth="1"/>
    <col min="16" max="16" width="6.88671875" style="188" customWidth="1"/>
    <col min="17" max="17" width="4.88671875" style="188" customWidth="1"/>
    <col min="18" max="16384" width="8.88671875" style="188" customWidth="1"/>
  </cols>
  <sheetData>
    <row r="1" spans="1:16" s="111" customFormat="1" ht="21" customHeight="1">
      <c r="A1" s="444" t="s">
        <v>283</v>
      </c>
      <c r="B1" s="444"/>
      <c r="C1" s="444"/>
      <c r="D1" s="444"/>
      <c r="E1" s="444"/>
      <c r="F1" s="444"/>
      <c r="G1" s="444"/>
      <c r="H1" s="444"/>
      <c r="I1" s="110"/>
      <c r="J1" s="110"/>
      <c r="K1" s="110"/>
      <c r="L1" s="110"/>
      <c r="M1" s="110"/>
      <c r="N1" s="110"/>
      <c r="O1" s="110"/>
      <c r="P1" s="110"/>
    </row>
    <row r="2" spans="2:16" s="112" customFormat="1" ht="15">
      <c r="B2" s="92"/>
      <c r="C2" s="113"/>
      <c r="D2" s="113"/>
      <c r="E2" s="113"/>
      <c r="F2" s="113"/>
      <c r="G2" s="113"/>
      <c r="H2" s="113"/>
      <c r="I2" s="113"/>
      <c r="J2" s="113"/>
      <c r="K2" s="113"/>
      <c r="L2" s="113"/>
      <c r="M2" s="113"/>
      <c r="N2" s="113"/>
      <c r="O2" s="113"/>
      <c r="P2" s="113"/>
    </row>
    <row r="3" spans="1:7" s="112" customFormat="1" ht="15.75">
      <c r="A3" s="112" t="s">
        <v>284</v>
      </c>
      <c r="C3" s="114">
        <f>Input!G42</f>
        <v>30</v>
      </c>
      <c r="E3" s="393" t="s">
        <v>483</v>
      </c>
      <c r="F3" s="421">
        <f>Input!E128</f>
        <v>9250</v>
      </c>
      <c r="G3" s="112" t="s">
        <v>468</v>
      </c>
    </row>
    <row r="4" spans="1:7" s="112" customFormat="1" ht="15.75">
      <c r="A4" s="112" t="s">
        <v>285</v>
      </c>
      <c r="C4" s="114">
        <f>Input!E13</f>
        <v>100</v>
      </c>
      <c r="E4" s="394" t="s">
        <v>469</v>
      </c>
      <c r="F4" s="146">
        <v>20</v>
      </c>
      <c r="G4" s="112" t="s">
        <v>147</v>
      </c>
    </row>
    <row r="5" spans="1:3" s="112" customFormat="1" ht="15">
      <c r="A5" s="112" t="s">
        <v>286</v>
      </c>
      <c r="C5" s="115">
        <f>SUM(C3*C4)</f>
        <v>3000</v>
      </c>
    </row>
    <row r="6" s="112" customFormat="1" ht="15">
      <c r="C6" s="115"/>
    </row>
    <row r="7" spans="1:7" s="112" customFormat="1" ht="15">
      <c r="A7" s="116"/>
      <c r="B7" s="116"/>
      <c r="C7" s="116"/>
      <c r="D7" s="116"/>
      <c r="E7" s="116"/>
      <c r="F7" s="116"/>
      <c r="G7" s="116"/>
    </row>
    <row r="8" spans="1:16" s="112" customFormat="1" ht="31.5">
      <c r="A8" s="117"/>
      <c r="B8" s="118"/>
      <c r="C8" s="119" t="s">
        <v>287</v>
      </c>
      <c r="D8" s="119" t="s">
        <v>288</v>
      </c>
      <c r="E8" s="120" t="s">
        <v>289</v>
      </c>
      <c r="F8" s="119" t="s">
        <v>290</v>
      </c>
      <c r="G8" s="121" t="s">
        <v>291</v>
      </c>
      <c r="H8" s="122"/>
      <c r="I8" s="113"/>
      <c r="J8" s="113"/>
      <c r="K8" s="113"/>
      <c r="L8" s="113"/>
      <c r="M8" s="113"/>
      <c r="N8" s="113"/>
      <c r="O8" s="113"/>
      <c r="P8" s="113"/>
    </row>
    <row r="9" spans="1:16" s="112" customFormat="1" ht="7.5" customHeight="1">
      <c r="A9" s="123"/>
      <c r="B9" s="124"/>
      <c r="C9" s="125"/>
      <c r="D9" s="125"/>
      <c r="E9" s="126"/>
      <c r="F9" s="125"/>
      <c r="G9" s="127"/>
      <c r="H9" s="128"/>
      <c r="I9" s="113"/>
      <c r="J9" s="113"/>
      <c r="K9" s="113"/>
      <c r="L9" s="113"/>
      <c r="M9" s="113"/>
      <c r="N9" s="113"/>
      <c r="O9" s="113"/>
      <c r="P9" s="113"/>
    </row>
    <row r="10" spans="1:16" s="112" customFormat="1" ht="15.75">
      <c r="A10" s="129" t="s">
        <v>292</v>
      </c>
      <c r="B10" s="130"/>
      <c r="C10" s="131">
        <v>0</v>
      </c>
      <c r="D10" s="131">
        <v>100</v>
      </c>
      <c r="E10" s="131">
        <v>0</v>
      </c>
      <c r="F10" s="131">
        <v>0</v>
      </c>
      <c r="G10" s="132">
        <f>IF(C3=0,0,IF(SUM(C10:F10)=100,SUM(C10:F10),"ERROR"))</f>
        <v>100</v>
      </c>
      <c r="H10" s="133"/>
      <c r="I10" s="113"/>
      <c r="J10" s="134"/>
      <c r="K10" s="134"/>
      <c r="L10" s="134"/>
      <c r="M10" s="134"/>
      <c r="N10" s="134"/>
      <c r="O10" s="134"/>
      <c r="P10" s="134"/>
    </row>
    <row r="11" spans="1:16" s="112" customFormat="1" ht="15">
      <c r="A11" s="123"/>
      <c r="B11" s="135"/>
      <c r="C11" s="136"/>
      <c r="D11" s="136"/>
      <c r="E11" s="136"/>
      <c r="F11" s="136"/>
      <c r="G11" s="137" t="s">
        <v>293</v>
      </c>
      <c r="H11" s="133"/>
      <c r="I11" s="113"/>
      <c r="J11" s="113"/>
      <c r="K11" s="113"/>
      <c r="L11" s="113"/>
      <c r="M11" s="113"/>
      <c r="N11" s="113"/>
      <c r="O11" s="113"/>
      <c r="P11" s="113"/>
    </row>
    <row r="12" spans="1:16" s="112" customFormat="1" ht="7.5" customHeight="1">
      <c r="A12" s="123"/>
      <c r="B12" s="138"/>
      <c r="C12" s="136"/>
      <c r="D12" s="136"/>
      <c r="E12" s="136"/>
      <c r="F12" s="136"/>
      <c r="G12" s="133"/>
      <c r="H12" s="133"/>
      <c r="I12" s="113"/>
      <c r="J12" s="113"/>
      <c r="K12" s="113"/>
      <c r="L12" s="113"/>
      <c r="M12" s="113"/>
      <c r="N12" s="113"/>
      <c r="O12" s="113"/>
      <c r="P12" s="113"/>
    </row>
    <row r="13" spans="1:16" s="112" customFormat="1" ht="7.5" customHeight="1">
      <c r="A13" s="139"/>
      <c r="B13" s="140"/>
      <c r="C13" s="141"/>
      <c r="D13" s="141"/>
      <c r="E13" s="141"/>
      <c r="F13" s="141"/>
      <c r="G13" s="142"/>
      <c r="H13" s="142"/>
      <c r="I13" s="113"/>
      <c r="J13" s="113"/>
      <c r="K13" s="113"/>
      <c r="L13" s="113"/>
      <c r="M13" s="113"/>
      <c r="N13" s="113"/>
      <c r="O13" s="113"/>
      <c r="P13" s="113"/>
    </row>
    <row r="14" spans="1:16" s="112" customFormat="1" ht="15.75">
      <c r="A14" s="143" t="s">
        <v>294</v>
      </c>
      <c r="B14" s="116"/>
      <c r="C14" s="144">
        <v>12</v>
      </c>
      <c r="D14" s="144">
        <v>1</v>
      </c>
      <c r="E14" s="144">
        <v>6</v>
      </c>
      <c r="F14" s="144">
        <v>0.25</v>
      </c>
      <c r="G14" s="145"/>
      <c r="H14" s="113"/>
      <c r="I14" s="113"/>
      <c r="J14" s="113"/>
      <c r="K14" s="113"/>
      <c r="L14" s="113"/>
      <c r="M14" s="113"/>
      <c r="N14" s="113"/>
      <c r="O14" s="113"/>
      <c r="P14" s="113"/>
    </row>
    <row r="15" spans="1:16" s="112" customFormat="1" ht="15.75">
      <c r="A15" s="143" t="s">
        <v>295</v>
      </c>
      <c r="B15" s="116"/>
      <c r="C15" s="146">
        <v>65</v>
      </c>
      <c r="D15" s="146">
        <v>10</v>
      </c>
      <c r="E15" s="146">
        <v>65</v>
      </c>
      <c r="F15" s="146">
        <v>8</v>
      </c>
      <c r="G15" s="145"/>
      <c r="H15" s="113"/>
      <c r="I15" s="113"/>
      <c r="J15" s="113"/>
      <c r="K15" s="113"/>
      <c r="L15" s="113"/>
      <c r="M15" s="113"/>
      <c r="N15" s="113"/>
      <c r="O15" s="113"/>
      <c r="P15" s="113"/>
    </row>
    <row r="16" spans="1:16" s="112" customFormat="1" ht="15">
      <c r="A16" s="116"/>
      <c r="B16" s="147" t="s">
        <v>296</v>
      </c>
      <c r="C16" s="148">
        <f>SUM(1-(C15/100))*C14</f>
        <v>4.199999999999999</v>
      </c>
      <c r="D16" s="148">
        <f>SUM(1-(D15/100))*D14</f>
        <v>0.9</v>
      </c>
      <c r="E16" s="148">
        <f>SUM(1-(E15/100))*E14</f>
        <v>2.0999999999999996</v>
      </c>
      <c r="F16" s="148">
        <f>SUM(1-(F15/100))*F14</f>
        <v>0.23</v>
      </c>
      <c r="G16" s="145"/>
      <c r="H16" s="113"/>
      <c r="I16" s="113"/>
      <c r="J16" s="113"/>
      <c r="K16" s="113"/>
      <c r="L16" s="113"/>
      <c r="M16" s="113"/>
      <c r="N16" s="113"/>
      <c r="O16" s="113"/>
      <c r="P16" s="113"/>
    </row>
    <row r="17" spans="1:16" s="112" customFormat="1" ht="15">
      <c r="A17" s="116"/>
      <c r="B17" s="147" t="s">
        <v>297</v>
      </c>
      <c r="C17" s="149">
        <f>SUM(C16*2000)/30</f>
        <v>279.99999999999994</v>
      </c>
      <c r="D17" s="149">
        <f>SUM(D16*2000)/30</f>
        <v>60</v>
      </c>
      <c r="E17" s="149">
        <f>SUM(E16*2000)/30</f>
        <v>139.99999999999997</v>
      </c>
      <c r="F17" s="149">
        <f>SUM(F16*2000)/30</f>
        <v>15.333333333333334</v>
      </c>
      <c r="G17" s="145"/>
      <c r="H17" s="113"/>
      <c r="I17" s="113"/>
      <c r="J17" s="113"/>
      <c r="K17" s="113"/>
      <c r="L17" s="113"/>
      <c r="M17" s="113"/>
      <c r="N17" s="113"/>
      <c r="O17" s="113"/>
      <c r="P17" s="113"/>
    </row>
    <row r="18" spans="1:16" s="112" customFormat="1" ht="15.75">
      <c r="A18" s="116"/>
      <c r="B18" s="150" t="s">
        <v>298</v>
      </c>
      <c r="C18" s="151">
        <f>ROUND($C$5/C17,0)</f>
        <v>11</v>
      </c>
      <c r="D18" s="151">
        <f>ROUND($C$5/D17,0)</f>
        <v>50</v>
      </c>
      <c r="E18" s="151">
        <f>ROUND($C$5/E17,0)</f>
        <v>21</v>
      </c>
      <c r="F18" s="151">
        <f>ROUND($C$5/F17,0)</f>
        <v>196</v>
      </c>
      <c r="G18" s="145"/>
      <c r="H18" s="113"/>
      <c r="I18" s="113"/>
      <c r="J18" s="113"/>
      <c r="K18" s="113"/>
      <c r="L18" s="113"/>
      <c r="M18" s="113"/>
      <c r="N18" s="113"/>
      <c r="O18" s="113"/>
      <c r="P18" s="113"/>
    </row>
    <row r="19" spans="1:16" s="112" customFormat="1" ht="7.5" customHeight="1">
      <c r="A19" s="152"/>
      <c r="B19" s="153"/>
      <c r="C19" s="154"/>
      <c r="D19" s="154"/>
      <c r="E19" s="154"/>
      <c r="F19" s="154"/>
      <c r="G19" s="155"/>
      <c r="H19" s="155"/>
      <c r="I19" s="113"/>
      <c r="J19" s="113"/>
      <c r="K19" s="113"/>
      <c r="L19" s="113"/>
      <c r="M19" s="113"/>
      <c r="N19" s="113"/>
      <c r="O19" s="113"/>
      <c r="P19" s="113"/>
    </row>
    <row r="20" spans="1:16" s="112" customFormat="1" ht="7.5" customHeight="1">
      <c r="A20" s="116"/>
      <c r="B20" s="150"/>
      <c r="C20" s="151"/>
      <c r="D20" s="151"/>
      <c r="E20" s="151"/>
      <c r="F20" s="151"/>
      <c r="G20" s="145"/>
      <c r="H20" s="145"/>
      <c r="I20" s="113"/>
      <c r="J20" s="113"/>
      <c r="K20" s="113"/>
      <c r="L20" s="113"/>
      <c r="M20" s="113"/>
      <c r="N20" s="113"/>
      <c r="O20" s="113"/>
      <c r="P20" s="113"/>
    </row>
    <row r="21" spans="1:16" s="112" customFormat="1" ht="15.75">
      <c r="A21" s="143" t="s">
        <v>299</v>
      </c>
      <c r="B21" s="116"/>
      <c r="C21" s="156">
        <f>ROUND(C18*(C10/100),0)</f>
        <v>0</v>
      </c>
      <c r="D21" s="156">
        <f>ROUND(D18*(D10/100),0)</f>
        <v>50</v>
      </c>
      <c r="E21" s="156">
        <f>ROUND(E18*(E10/100),0)</f>
        <v>0</v>
      </c>
      <c r="F21" s="156">
        <f>ROUND(F18*(F10/100),0)</f>
        <v>0</v>
      </c>
      <c r="G21" s="145"/>
      <c r="H21" s="113"/>
      <c r="I21" s="113"/>
      <c r="J21" s="113"/>
      <c r="K21" s="113"/>
      <c r="L21" s="113"/>
      <c r="M21" s="113"/>
      <c r="N21" s="113"/>
      <c r="O21" s="113"/>
      <c r="P21" s="113"/>
    </row>
    <row r="22" spans="1:16" s="112" customFormat="1" ht="7.5" customHeight="1">
      <c r="A22" s="157"/>
      <c r="B22" s="152"/>
      <c r="C22" s="158"/>
      <c r="D22" s="158"/>
      <c r="E22" s="158"/>
      <c r="F22" s="158"/>
      <c r="G22" s="155"/>
      <c r="H22" s="155"/>
      <c r="I22" s="113"/>
      <c r="J22" s="113"/>
      <c r="K22" s="113"/>
      <c r="L22" s="113"/>
      <c r="M22" s="113"/>
      <c r="N22" s="113"/>
      <c r="O22" s="113"/>
      <c r="P22" s="113"/>
    </row>
    <row r="23" spans="1:16" s="112" customFormat="1" ht="7.5" customHeight="1">
      <c r="A23" s="116"/>
      <c r="B23" s="150"/>
      <c r="C23" s="159"/>
      <c r="D23" s="159"/>
      <c r="E23" s="159"/>
      <c r="F23" s="159"/>
      <c r="G23" s="145"/>
      <c r="H23" s="113"/>
      <c r="I23" s="113"/>
      <c r="J23" s="113"/>
      <c r="K23" s="113"/>
      <c r="L23" s="113"/>
      <c r="M23" s="113"/>
      <c r="N23" s="113"/>
      <c r="O23" s="113"/>
      <c r="P23" s="113"/>
    </row>
    <row r="24" spans="1:16" s="112" customFormat="1" ht="15.75">
      <c r="A24" s="160" t="s">
        <v>300</v>
      </c>
      <c r="B24" s="161"/>
      <c r="C24" s="162" t="s">
        <v>301</v>
      </c>
      <c r="D24" s="162" t="s">
        <v>302</v>
      </c>
      <c r="E24" s="162" t="s">
        <v>301</v>
      </c>
      <c r="F24" s="162" t="s">
        <v>302</v>
      </c>
      <c r="G24" s="145"/>
      <c r="H24" s="113"/>
      <c r="I24" s="113"/>
      <c r="J24" s="113"/>
      <c r="K24" s="113"/>
      <c r="L24" s="113"/>
      <c r="M24" s="113"/>
      <c r="N24" s="113"/>
      <c r="O24" s="113"/>
      <c r="P24" s="113"/>
    </row>
    <row r="25" spans="1:16" s="112" customFormat="1" ht="7.5" customHeight="1">
      <c r="A25" s="160"/>
      <c r="B25" s="161"/>
      <c r="C25" s="162"/>
      <c r="D25" s="162"/>
      <c r="E25" s="162"/>
      <c r="F25" s="162"/>
      <c r="G25" s="145"/>
      <c r="H25" s="113"/>
      <c r="I25" s="113"/>
      <c r="J25" s="113"/>
      <c r="K25" s="113"/>
      <c r="L25" s="113"/>
      <c r="M25" s="113"/>
      <c r="N25" s="113"/>
      <c r="O25" s="113"/>
      <c r="P25" s="113"/>
    </row>
    <row r="26" spans="1:16" s="112" customFormat="1" ht="15.75">
      <c r="A26" s="143" t="s">
        <v>303</v>
      </c>
      <c r="B26" s="116"/>
      <c r="C26" s="156" t="s">
        <v>4</v>
      </c>
      <c r="D26" s="163">
        <v>0.02</v>
      </c>
      <c r="E26" s="156" t="s">
        <v>4</v>
      </c>
      <c r="F26" s="164">
        <v>0.005</v>
      </c>
      <c r="G26" s="145"/>
      <c r="H26" s="113"/>
      <c r="I26" s="113"/>
      <c r="J26" s="113"/>
      <c r="K26" s="113"/>
      <c r="L26" s="113"/>
      <c r="M26" s="113"/>
      <c r="N26" s="113"/>
      <c r="O26" s="113"/>
      <c r="P26" s="113"/>
    </row>
    <row r="27" spans="1:16" s="112" customFormat="1" ht="7.5" customHeight="1">
      <c r="A27" s="143"/>
      <c r="B27" s="116"/>
      <c r="C27" s="156"/>
      <c r="D27" s="163"/>
      <c r="E27" s="156"/>
      <c r="F27" s="164"/>
      <c r="G27" s="145"/>
      <c r="H27" s="113"/>
      <c r="I27" s="113"/>
      <c r="J27" s="113"/>
      <c r="K27" s="113"/>
      <c r="L27" s="113"/>
      <c r="M27" s="113"/>
      <c r="N27" s="113"/>
      <c r="O27" s="113"/>
      <c r="P27" s="113"/>
    </row>
    <row r="28" spans="1:16" s="112" customFormat="1" ht="15.75">
      <c r="A28" s="165" t="s">
        <v>304</v>
      </c>
      <c r="C28" s="162"/>
      <c r="D28" s="116"/>
      <c r="F28" s="116"/>
      <c r="G28" s="145"/>
      <c r="H28" s="113"/>
      <c r="I28" s="113"/>
      <c r="J28" s="113"/>
      <c r="K28" s="113"/>
      <c r="L28" s="113"/>
      <c r="M28" s="113"/>
      <c r="N28" s="113"/>
      <c r="O28" s="113"/>
      <c r="P28" s="113"/>
    </row>
    <row r="29" spans="1:16" s="112" customFormat="1" ht="15.75">
      <c r="A29" s="116"/>
      <c r="B29" s="147" t="s">
        <v>305</v>
      </c>
      <c r="C29" s="166">
        <v>65</v>
      </c>
      <c r="D29" s="156"/>
      <c r="E29" s="166">
        <v>20.25</v>
      </c>
      <c r="F29" s="167"/>
      <c r="G29" s="145"/>
      <c r="H29" s="113"/>
      <c r="I29" s="113"/>
      <c r="J29" s="113"/>
      <c r="K29" s="113"/>
      <c r="L29" s="113"/>
      <c r="M29" s="113"/>
      <c r="N29" s="113"/>
      <c r="O29" s="113"/>
      <c r="P29" s="113"/>
    </row>
    <row r="30" spans="1:16" s="112" customFormat="1" ht="15.75">
      <c r="A30" s="116"/>
      <c r="B30" s="161" t="s">
        <v>306</v>
      </c>
      <c r="C30" s="166">
        <v>94.21</v>
      </c>
      <c r="D30" s="156"/>
      <c r="E30" s="166">
        <v>56.68</v>
      </c>
      <c r="F30" s="167"/>
      <c r="G30" s="145"/>
      <c r="H30" s="113"/>
      <c r="I30" s="113"/>
      <c r="J30" s="113"/>
      <c r="K30" s="113"/>
      <c r="L30" s="113"/>
      <c r="M30" s="113"/>
      <c r="N30" s="113"/>
      <c r="O30" s="113"/>
      <c r="P30" s="113"/>
    </row>
    <row r="31" spans="1:16" s="112" customFormat="1" ht="15.75">
      <c r="A31" s="116"/>
      <c r="B31" s="161" t="s">
        <v>307</v>
      </c>
      <c r="C31" s="166">
        <v>12</v>
      </c>
      <c r="D31" s="156"/>
      <c r="E31" s="166">
        <v>12</v>
      </c>
      <c r="F31" s="167"/>
      <c r="G31" s="145"/>
      <c r="H31" s="113"/>
      <c r="I31" s="113"/>
      <c r="J31" s="113"/>
      <c r="K31" s="113"/>
      <c r="L31" s="113"/>
      <c r="M31" s="113"/>
      <c r="N31" s="113"/>
      <c r="O31" s="113"/>
      <c r="P31" s="113"/>
    </row>
    <row r="32" spans="1:16" s="112" customFormat="1" ht="15.75">
      <c r="A32" s="116"/>
      <c r="B32" s="161" t="s">
        <v>308</v>
      </c>
      <c r="C32" s="166">
        <v>8</v>
      </c>
      <c r="D32" s="156"/>
      <c r="E32" s="166">
        <v>8</v>
      </c>
      <c r="F32" s="167"/>
      <c r="G32" s="145"/>
      <c r="H32" s="113"/>
      <c r="I32" s="113"/>
      <c r="J32" s="113"/>
      <c r="K32" s="113"/>
      <c r="L32" s="113"/>
      <c r="M32" s="113"/>
      <c r="N32" s="113"/>
      <c r="O32" s="113"/>
      <c r="P32" s="113"/>
    </row>
    <row r="33" spans="1:16" s="112" customFormat="1" ht="15.75">
      <c r="A33" s="116"/>
      <c r="B33" s="161" t="s">
        <v>309</v>
      </c>
      <c r="C33" s="166">
        <v>15</v>
      </c>
      <c r="D33" s="156"/>
      <c r="E33" s="166">
        <v>15</v>
      </c>
      <c r="F33" s="167"/>
      <c r="G33" s="145"/>
      <c r="H33" s="113"/>
      <c r="I33" s="113"/>
      <c r="J33" s="113"/>
      <c r="K33" s="113"/>
      <c r="L33" s="113"/>
      <c r="M33" s="113"/>
      <c r="N33" s="113"/>
      <c r="O33" s="113"/>
      <c r="P33" s="113"/>
    </row>
    <row r="34" spans="1:16" s="112" customFormat="1" ht="15.75">
      <c r="A34" s="116"/>
      <c r="B34" s="161" t="s">
        <v>310</v>
      </c>
      <c r="C34" s="166">
        <v>8</v>
      </c>
      <c r="D34" s="156"/>
      <c r="E34" s="166">
        <v>8</v>
      </c>
      <c r="F34" s="167"/>
      <c r="G34" s="145"/>
      <c r="H34" s="113"/>
      <c r="I34" s="113"/>
      <c r="J34" s="113"/>
      <c r="K34" s="113"/>
      <c r="L34" s="113"/>
      <c r="M34" s="113"/>
      <c r="N34" s="113"/>
      <c r="O34" s="113"/>
      <c r="P34" s="113"/>
    </row>
    <row r="35" spans="1:16" s="112" customFormat="1" ht="15.75">
      <c r="A35" s="116"/>
      <c r="B35" s="161" t="s">
        <v>311</v>
      </c>
      <c r="C35" s="166">
        <v>7.75</v>
      </c>
      <c r="D35" s="156"/>
      <c r="E35" s="166">
        <v>7.75</v>
      </c>
      <c r="F35" s="167"/>
      <c r="G35" s="145"/>
      <c r="H35" s="113"/>
      <c r="I35" s="113"/>
      <c r="J35" s="113"/>
      <c r="K35" s="113"/>
      <c r="L35" s="113"/>
      <c r="M35" s="113"/>
      <c r="N35" s="113"/>
      <c r="O35" s="113"/>
      <c r="P35" s="113"/>
    </row>
    <row r="36" spans="1:16" s="112" customFormat="1" ht="15.75">
      <c r="A36" s="116"/>
      <c r="B36" s="161" t="s">
        <v>312</v>
      </c>
      <c r="C36" s="166">
        <v>5.5</v>
      </c>
      <c r="D36" s="156"/>
      <c r="E36" s="166">
        <v>5.5</v>
      </c>
      <c r="F36" s="167"/>
      <c r="G36" s="145"/>
      <c r="H36" s="113"/>
      <c r="I36" s="113"/>
      <c r="J36" s="113"/>
      <c r="K36" s="113"/>
      <c r="L36" s="113"/>
      <c r="M36" s="113"/>
      <c r="N36" s="113"/>
      <c r="O36" s="113"/>
      <c r="P36" s="113"/>
    </row>
    <row r="37" spans="1:16" s="112" customFormat="1" ht="15.75">
      <c r="A37" s="116"/>
      <c r="B37" s="161" t="s">
        <v>313</v>
      </c>
      <c r="C37" s="168">
        <f>SUM(Input!E125*(Input!E106/100))</f>
        <v>14.0625</v>
      </c>
      <c r="D37" s="156"/>
      <c r="E37" s="168">
        <f>C37</f>
        <v>14.0625</v>
      </c>
      <c r="F37" s="169"/>
      <c r="G37" s="145"/>
      <c r="H37" s="113"/>
      <c r="I37" s="113"/>
      <c r="J37" s="113"/>
      <c r="K37" s="113"/>
      <c r="L37" s="113"/>
      <c r="M37" s="113"/>
      <c r="N37" s="113"/>
      <c r="O37" s="113"/>
      <c r="P37" s="113"/>
    </row>
    <row r="38" spans="1:16" s="112" customFormat="1" ht="15.75">
      <c r="A38" s="116"/>
      <c r="B38" s="170" t="s">
        <v>314</v>
      </c>
      <c r="C38" s="171">
        <f>SUM(0.5*Input!D175)</f>
        <v>10</v>
      </c>
      <c r="D38" s="156"/>
      <c r="E38" s="171">
        <f>C38</f>
        <v>10</v>
      </c>
      <c r="F38" s="169"/>
      <c r="G38" s="145"/>
      <c r="H38" s="113"/>
      <c r="I38" s="113"/>
      <c r="J38" s="113"/>
      <c r="K38" s="113"/>
      <c r="L38" s="113"/>
      <c r="M38" s="113"/>
      <c r="N38" s="113"/>
      <c r="O38" s="113"/>
      <c r="P38" s="113"/>
    </row>
    <row r="39" spans="1:16" s="112" customFormat="1" ht="15.75">
      <c r="A39" s="116"/>
      <c r="B39" s="143" t="s">
        <v>315</v>
      </c>
      <c r="C39" s="172">
        <f>SUM(C29:C38)</f>
        <v>239.52249999999998</v>
      </c>
      <c r="D39" s="156" t="s">
        <v>4</v>
      </c>
      <c r="E39" s="172">
        <f>SUM(E29:E38)</f>
        <v>157.2425</v>
      </c>
      <c r="F39" s="156" t="s">
        <v>4</v>
      </c>
      <c r="G39" s="145"/>
      <c r="H39" s="113"/>
      <c r="I39" s="113"/>
      <c r="J39" s="113"/>
      <c r="K39" s="113"/>
      <c r="L39" s="113"/>
      <c r="M39" s="113"/>
      <c r="N39" s="113"/>
      <c r="O39" s="113"/>
      <c r="P39" s="113"/>
    </row>
    <row r="40" spans="1:16" s="112" customFormat="1" ht="7.5" customHeight="1">
      <c r="A40" s="116"/>
      <c r="B40" s="161"/>
      <c r="C40" s="172"/>
      <c r="D40" s="172"/>
      <c r="E40" s="172"/>
      <c r="F40" s="172"/>
      <c r="G40" s="145"/>
      <c r="H40" s="145"/>
      <c r="I40" s="113"/>
      <c r="J40" s="113"/>
      <c r="K40" s="113"/>
      <c r="L40" s="113"/>
      <c r="M40" s="113"/>
      <c r="N40" s="113"/>
      <c r="O40" s="113"/>
      <c r="P40" s="113"/>
    </row>
    <row r="41" spans="1:16" s="112" customFormat="1" ht="15" customHeight="1">
      <c r="A41" s="165" t="s">
        <v>316</v>
      </c>
      <c r="B41" s="161"/>
      <c r="C41" s="172"/>
      <c r="D41" s="172"/>
      <c r="E41" s="172"/>
      <c r="F41" s="172"/>
      <c r="G41" s="145"/>
      <c r="H41" s="145"/>
      <c r="I41" s="113"/>
      <c r="J41" s="113"/>
      <c r="K41" s="113"/>
      <c r="L41" s="113"/>
      <c r="M41" s="113"/>
      <c r="N41" s="113"/>
      <c r="O41" s="113"/>
      <c r="P41" s="113"/>
    </row>
    <row r="42" spans="1:16" s="112" customFormat="1" ht="15">
      <c r="A42" s="116"/>
      <c r="B42" s="173" t="s">
        <v>317</v>
      </c>
      <c r="C42" s="174">
        <f>SUM(C21/80)</f>
        <v>0</v>
      </c>
      <c r="D42" s="174">
        <f>SUM(D21/80)</f>
        <v>0.625</v>
      </c>
      <c r="E42" s="174">
        <f>SUM(E21/80)</f>
        <v>0</v>
      </c>
      <c r="F42" s="174">
        <f>SUM(F21/80)</f>
        <v>0</v>
      </c>
      <c r="G42" s="145"/>
      <c r="H42" s="113"/>
      <c r="I42" s="113"/>
      <c r="J42" s="113"/>
      <c r="K42" s="113"/>
      <c r="L42" s="113"/>
      <c r="M42" s="113"/>
      <c r="N42" s="113"/>
      <c r="O42" s="113"/>
      <c r="P42" s="113"/>
    </row>
    <row r="43" spans="1:16" s="112" customFormat="1" ht="15">
      <c r="A43" s="116"/>
      <c r="B43" s="173" t="s">
        <v>318</v>
      </c>
      <c r="C43" s="395">
        <f>IF(C21=0,0,SUM(C42*$F$3*(Input!$E$106/100))/C21)</f>
        <v>0</v>
      </c>
      <c r="D43" s="395">
        <f>IF(D21=0,0,SUM(D42*$F$3*(Input!$E$106/100))/D21)</f>
        <v>2.6015625</v>
      </c>
      <c r="E43" s="395">
        <f>IF(E21=0,0,SUM(E42*$F$3*(Input!$E$106/100))/E21)</f>
        <v>0</v>
      </c>
      <c r="F43" s="395">
        <f>IF(F21=0,0,SUM(F42*$F$3*(Input!$E$106/100))/F21)</f>
        <v>0</v>
      </c>
      <c r="G43" s="145"/>
      <c r="H43" s="113"/>
      <c r="I43" s="113"/>
      <c r="J43" s="113"/>
      <c r="K43" s="113"/>
      <c r="L43" s="113"/>
      <c r="M43" s="113"/>
      <c r="N43" s="113"/>
      <c r="O43" s="113"/>
      <c r="P43" s="113"/>
    </row>
    <row r="44" spans="1:16" s="112" customFormat="1" ht="15">
      <c r="A44" s="116"/>
      <c r="B44" s="173" t="s">
        <v>319</v>
      </c>
      <c r="C44" s="395">
        <f>IF(C21=0,0,SUM((C42*$F$3)/$F$4)/C21)</f>
        <v>0</v>
      </c>
      <c r="D44" s="395">
        <f>IF(D21=0,0,SUM((D42*$F$3)/$F$4)/D21)</f>
        <v>5.78125</v>
      </c>
      <c r="E44" s="395">
        <f>IF(E21=0,0,SUM((E42*$F$3)/$F$4)/E21)</f>
        <v>0</v>
      </c>
      <c r="F44" s="395">
        <f>IF(F21=0,0,SUM((F42*$F$3)/$F$4)/F21)</f>
        <v>0</v>
      </c>
      <c r="G44" s="145"/>
      <c r="H44" s="113"/>
      <c r="I44" s="113"/>
      <c r="J44" s="113"/>
      <c r="K44" s="113"/>
      <c r="L44" s="113"/>
      <c r="M44" s="113"/>
      <c r="N44" s="113"/>
      <c r="O44" s="113"/>
      <c r="P44" s="113"/>
    </row>
    <row r="45" spans="1:16" s="112" customFormat="1" ht="15">
      <c r="A45" s="116"/>
      <c r="B45" s="173"/>
      <c r="C45" s="175"/>
      <c r="D45" s="175"/>
      <c r="E45" s="175"/>
      <c r="F45" s="175"/>
      <c r="G45" s="145"/>
      <c r="H45" s="113"/>
      <c r="I45" s="113"/>
      <c r="J45" s="113"/>
      <c r="K45" s="113"/>
      <c r="L45" s="113"/>
      <c r="M45" s="113"/>
      <c r="N45" s="113"/>
      <c r="O45" s="113"/>
      <c r="P45" s="113"/>
    </row>
    <row r="46" spans="1:16" s="112" customFormat="1" ht="15">
      <c r="A46" s="116"/>
      <c r="B46" s="173"/>
      <c r="C46" s="175"/>
      <c r="D46" s="175"/>
      <c r="E46" s="175"/>
      <c r="F46" s="175"/>
      <c r="G46" s="145"/>
      <c r="H46" s="113"/>
      <c r="I46" s="113"/>
      <c r="J46" s="113"/>
      <c r="K46" s="113"/>
      <c r="L46" s="113"/>
      <c r="M46" s="113"/>
      <c r="N46" s="113"/>
      <c r="O46" s="113"/>
      <c r="P46" s="113"/>
    </row>
    <row r="47" spans="1:16" s="112" customFormat="1" ht="15.75">
      <c r="A47" s="150" t="s">
        <v>320</v>
      </c>
      <c r="C47" s="176">
        <f>IF(C10=0,0,SUM(C44+C43+C39))</f>
        <v>0</v>
      </c>
      <c r="D47" s="176">
        <f>IF(D10=0,0,SUM(D44+D43+(D14*2000*D26)))</f>
        <v>48.3828125</v>
      </c>
      <c r="E47" s="177">
        <f>IF(E10=0,0,SUM(E44+E43+E39))</f>
        <v>0</v>
      </c>
      <c r="F47" s="177">
        <f>IF(F10=0,0,SUM(F44+F43+(F14*2000*F26)))</f>
        <v>0</v>
      </c>
      <c r="G47" s="145"/>
      <c r="H47" s="113"/>
      <c r="I47" s="113"/>
      <c r="J47" s="113"/>
      <c r="K47" s="113"/>
      <c r="L47" s="113"/>
      <c r="M47" s="113"/>
      <c r="N47" s="113"/>
      <c r="O47" s="113"/>
      <c r="P47" s="113"/>
    </row>
    <row r="48" spans="1:16" s="112" customFormat="1" ht="7.5" customHeight="1">
      <c r="A48" s="153"/>
      <c r="B48" s="152"/>
      <c r="C48" s="178"/>
      <c r="D48" s="178"/>
      <c r="E48" s="179"/>
      <c r="F48" s="179"/>
      <c r="G48" s="155"/>
      <c r="H48" s="155"/>
      <c r="I48" s="113"/>
      <c r="J48" s="113"/>
      <c r="K48" s="113"/>
      <c r="L48" s="113"/>
      <c r="M48" s="113"/>
      <c r="N48" s="113"/>
      <c r="O48" s="113"/>
      <c r="P48" s="113"/>
    </row>
    <row r="49" spans="1:16" s="112" customFormat="1" ht="7.5" customHeight="1">
      <c r="A49" s="150"/>
      <c r="C49" s="176"/>
      <c r="D49" s="176"/>
      <c r="E49" s="177"/>
      <c r="F49" s="177"/>
      <c r="G49" s="145"/>
      <c r="H49" s="113"/>
      <c r="I49" s="113"/>
      <c r="J49" s="113"/>
      <c r="K49" s="113"/>
      <c r="L49" s="113"/>
      <c r="M49" s="113"/>
      <c r="N49" s="113"/>
      <c r="O49" s="113"/>
      <c r="P49" s="113"/>
    </row>
    <row r="50" spans="1:16" s="112" customFormat="1" ht="15.75">
      <c r="A50" s="150" t="s">
        <v>321</v>
      </c>
      <c r="C50" s="176">
        <f>SUM(C47*C21)</f>
        <v>0</v>
      </c>
      <c r="D50" s="176">
        <f>SUM(D47*D21)</f>
        <v>2419.140625</v>
      </c>
      <c r="E50" s="176">
        <f>SUM(E47*E21)</f>
        <v>0</v>
      </c>
      <c r="F50" s="176">
        <f>SUM(F47*F21)</f>
        <v>0</v>
      </c>
      <c r="G50" s="145"/>
      <c r="H50" s="113"/>
      <c r="I50" s="113"/>
      <c r="J50" s="113"/>
      <c r="K50" s="113"/>
      <c r="L50" s="113"/>
      <c r="M50" s="113"/>
      <c r="N50" s="113"/>
      <c r="O50" s="113"/>
      <c r="P50" s="113"/>
    </row>
    <row r="51" spans="1:16" s="112" customFormat="1" ht="15.75">
      <c r="A51" s="116"/>
      <c r="B51" s="150"/>
      <c r="C51" s="176"/>
      <c r="D51" s="176"/>
      <c r="E51" s="176"/>
      <c r="F51" s="176"/>
      <c r="G51" s="145"/>
      <c r="H51" s="113"/>
      <c r="I51" s="113"/>
      <c r="J51" s="113"/>
      <c r="K51" s="113"/>
      <c r="L51" s="113"/>
      <c r="M51" s="113"/>
      <c r="N51" s="113"/>
      <c r="O51" s="113"/>
      <c r="P51" s="113"/>
    </row>
    <row r="52" spans="1:16" s="112" customFormat="1" ht="15.75">
      <c r="A52" s="445" t="s">
        <v>322</v>
      </c>
      <c r="B52" s="445"/>
      <c r="C52" s="445"/>
      <c r="D52" s="445"/>
      <c r="E52" s="445"/>
      <c r="F52" s="445"/>
      <c r="G52" s="445"/>
      <c r="H52" s="445"/>
      <c r="I52" s="113"/>
      <c r="J52" s="113"/>
      <c r="K52" s="113"/>
      <c r="L52" s="113"/>
      <c r="M52" s="113"/>
      <c r="N52" s="113"/>
      <c r="O52" s="113"/>
      <c r="P52" s="113"/>
    </row>
    <row r="53" spans="1:16" s="112" customFormat="1" ht="7.5" customHeight="1">
      <c r="A53" s="116"/>
      <c r="B53" s="161"/>
      <c r="C53" s="145"/>
      <c r="D53" s="145"/>
      <c r="E53" s="145"/>
      <c r="F53" s="145"/>
      <c r="G53" s="145"/>
      <c r="H53" s="113"/>
      <c r="I53" s="113"/>
      <c r="J53" s="113"/>
      <c r="K53" s="113"/>
      <c r="L53" s="113"/>
      <c r="M53" s="113"/>
      <c r="N53" s="113"/>
      <c r="O53" s="113"/>
      <c r="P53" s="113"/>
    </row>
    <row r="54" spans="1:16" s="112" customFormat="1" ht="31.5">
      <c r="A54" s="116"/>
      <c r="B54" s="161"/>
      <c r="C54" s="180" t="s">
        <v>287</v>
      </c>
      <c r="D54" s="180" t="s">
        <v>288</v>
      </c>
      <c r="E54" s="181" t="s">
        <v>289</v>
      </c>
      <c r="F54" s="180" t="s">
        <v>290</v>
      </c>
      <c r="G54" s="182" t="s">
        <v>323</v>
      </c>
      <c r="H54" s="113"/>
      <c r="I54" s="113"/>
      <c r="J54" s="113"/>
      <c r="K54" s="113"/>
      <c r="L54" s="113"/>
      <c r="M54" s="113"/>
      <c r="N54" s="113"/>
      <c r="O54" s="113"/>
      <c r="P54" s="113"/>
    </row>
    <row r="55" spans="1:16" s="112" customFormat="1" ht="7.5" customHeight="1">
      <c r="A55" s="116"/>
      <c r="B55" s="161"/>
      <c r="C55" s="145"/>
      <c r="D55" s="145"/>
      <c r="E55" s="145"/>
      <c r="F55" s="145"/>
      <c r="G55" s="145"/>
      <c r="H55" s="113"/>
      <c r="I55" s="113"/>
      <c r="J55" s="113"/>
      <c r="K55" s="113"/>
      <c r="L55" s="113"/>
      <c r="M55" s="113"/>
      <c r="N55" s="113"/>
      <c r="O55" s="113"/>
      <c r="P55" s="113"/>
    </row>
    <row r="56" spans="1:16" s="112" customFormat="1" ht="15.75">
      <c r="A56" s="143" t="s">
        <v>324</v>
      </c>
      <c r="B56" s="116"/>
      <c r="C56" s="176">
        <f>SUM(C50/Input!E13)</f>
        <v>0</v>
      </c>
      <c r="D56" s="176">
        <f>SUM(D50/Input!E13)</f>
        <v>24.19140625</v>
      </c>
      <c r="E56" s="176">
        <f>SUM(E50/Input!E13)</f>
        <v>0</v>
      </c>
      <c r="F56" s="176">
        <f>SUM(F50/Input!E13)</f>
        <v>0</v>
      </c>
      <c r="G56" s="183">
        <f>IF(C3=0,0,IF(G10="ERROR","ERROR",SUM(C56:F56)))</f>
        <v>24.19140625</v>
      </c>
      <c r="H56" s="113"/>
      <c r="I56" s="113"/>
      <c r="J56" s="113"/>
      <c r="K56" s="113"/>
      <c r="L56" s="113"/>
      <c r="M56" s="113"/>
      <c r="N56" s="113"/>
      <c r="O56" s="113"/>
      <c r="P56" s="113"/>
    </row>
    <row r="57" spans="1:16" s="112" customFormat="1" ht="15.75">
      <c r="A57" s="143" t="s">
        <v>325</v>
      </c>
      <c r="B57" s="116"/>
      <c r="C57" s="184">
        <f>IF($C$3=0,"",IF(C10=0,"",SUM(C10/100*$C$3)))</f>
      </c>
      <c r="D57" s="184">
        <f>IF($C$3=0,"",IF(D10=0,"",SUM(D10/100*$C$3)))</f>
        <v>30</v>
      </c>
      <c r="E57" s="184">
        <f>IF($C$3=0,"",IF(E10=0,"",SUM(E10/100*$C$3)))</f>
      </c>
      <c r="F57" s="184">
        <f>IF($C$3=0,"",IF(F10=0,"",SUM(F10/100*$C$3)))</f>
      </c>
      <c r="G57" s="176"/>
      <c r="H57" s="113"/>
      <c r="I57" s="113"/>
      <c r="J57" s="113"/>
      <c r="K57" s="113"/>
      <c r="L57" s="113"/>
      <c r="M57" s="113"/>
      <c r="N57" s="113"/>
      <c r="O57" s="113"/>
      <c r="P57" s="113"/>
    </row>
    <row r="58" spans="1:16" s="112" customFormat="1" ht="15.75">
      <c r="A58" s="143" t="s">
        <v>326</v>
      </c>
      <c r="B58" s="116"/>
      <c r="C58" s="176">
        <f>IF($C$3=0,"",IF(C10=0,"",C56/C57))</f>
      </c>
      <c r="D58" s="176">
        <f>IF($C$3=0,"",IF(D10=0,"",D56/D57))</f>
        <v>0.8063802083333333</v>
      </c>
      <c r="E58" s="176">
        <f>IF($C$3=0,"",IF(E10=0,"",E56/E57))</f>
      </c>
      <c r="F58" s="176">
        <f>IF($C$3=0,"",IF(F10=0,"",F56/F57))</f>
      </c>
      <c r="G58" s="183">
        <f>IF(G56="ERROR","",IF(G56=0,"",SUM(G56/C3)))</f>
        <v>0.8063802083333333</v>
      </c>
      <c r="H58" s="113"/>
      <c r="I58" s="113"/>
      <c r="J58" s="113"/>
      <c r="K58" s="113"/>
      <c r="L58" s="113"/>
      <c r="M58" s="113"/>
      <c r="N58" s="113"/>
      <c r="O58" s="113"/>
      <c r="P58" s="113"/>
    </row>
    <row r="59" spans="1:16" s="112" customFormat="1" ht="15">
      <c r="A59" s="152"/>
      <c r="B59" s="185"/>
      <c r="C59" s="155"/>
      <c r="D59" s="155"/>
      <c r="E59" s="155"/>
      <c r="F59" s="155"/>
      <c r="G59" s="155"/>
      <c r="H59" s="155"/>
      <c r="I59" s="113"/>
      <c r="J59" s="113"/>
      <c r="K59" s="113"/>
      <c r="L59" s="113"/>
      <c r="M59" s="113"/>
      <c r="N59" s="113"/>
      <c r="O59" s="113"/>
      <c r="P59" s="113"/>
    </row>
    <row r="60" spans="6:16" ht="15.75" customHeight="1">
      <c r="F60" s="5"/>
      <c r="G60" s="5"/>
      <c r="H60" s="5"/>
      <c r="I60" s="5"/>
      <c r="J60" s="5"/>
      <c r="K60" s="5"/>
      <c r="L60" s="5"/>
      <c r="M60" s="5"/>
      <c r="N60" s="5"/>
      <c r="O60" s="5"/>
      <c r="P60" s="5"/>
    </row>
    <row r="61" spans="6:16" ht="15.75" customHeight="1">
      <c r="F61" s="5"/>
      <c r="G61" s="5"/>
      <c r="H61" s="5"/>
      <c r="I61" s="5"/>
      <c r="J61" s="5"/>
      <c r="K61" s="5"/>
      <c r="L61" s="5"/>
      <c r="M61" s="5"/>
      <c r="N61" s="5"/>
      <c r="O61" s="5"/>
      <c r="P61" s="5"/>
    </row>
    <row r="62" spans="1:16" ht="15.75" customHeight="1">
      <c r="A62" s="437" t="s">
        <v>327</v>
      </c>
      <c r="B62" s="437"/>
      <c r="C62" s="437"/>
      <c r="D62" s="437"/>
      <c r="E62" s="437"/>
      <c r="F62" s="437"/>
      <c r="G62" s="437"/>
      <c r="H62" s="437"/>
      <c r="I62" s="186"/>
      <c r="J62" s="186"/>
      <c r="K62" s="5"/>
      <c r="L62" s="5"/>
      <c r="M62" s="5"/>
      <c r="N62" s="5"/>
      <c r="O62" s="5"/>
      <c r="P62" s="5"/>
    </row>
    <row r="63" spans="1:16" ht="15.75" customHeight="1">
      <c r="A63" s="437"/>
      <c r="B63" s="437"/>
      <c r="C63" s="437"/>
      <c r="D63" s="437"/>
      <c r="E63" s="437"/>
      <c r="F63" s="437"/>
      <c r="G63" s="437"/>
      <c r="H63" s="437"/>
      <c r="I63" s="186"/>
      <c r="J63" s="186"/>
      <c r="K63" s="187"/>
      <c r="L63" s="187"/>
      <c r="M63" s="187"/>
      <c r="N63" s="187"/>
      <c r="O63" s="187"/>
      <c r="P63" s="187"/>
    </row>
    <row r="64" spans="2:16" ht="15.75" customHeight="1">
      <c r="B64" s="187"/>
      <c r="C64" s="187"/>
      <c r="D64" s="187"/>
      <c r="E64" s="187"/>
      <c r="F64" s="187"/>
      <c r="G64" s="187"/>
      <c r="H64" s="187"/>
      <c r="I64" s="187"/>
      <c r="J64" s="187"/>
      <c r="K64" s="187"/>
      <c r="L64" s="187"/>
      <c r="M64" s="187"/>
      <c r="N64" s="187"/>
      <c r="O64" s="187"/>
      <c r="P64" s="187"/>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sheetData>
  <sheetProtection password="C6A6" sheet="1"/>
  <mergeCells count="3">
    <mergeCell ref="A1:H1"/>
    <mergeCell ref="A52:H52"/>
    <mergeCell ref="A62:H63"/>
  </mergeCells>
  <printOptions horizontalCentered="1"/>
  <pageMargins left="0.31496062992125984" right="0.31496062992125984" top="0.984251968503937" bottom="0.984251968503937" header="0.31496062992125984" footer="0.31496062992125984"/>
  <pageSetup firstPageNumber="8" useFirstPageNumber="1" fitToHeight="1" fitToWidth="1" horizontalDpi="600" verticalDpi="600" orientation="portrait" scale="71" r:id="rId1"/>
  <headerFooter alignWithMargins="0">
    <oddHeader>&amp;L&amp;11Guidelines: Bison Cow-calf Production Costs&amp;R&amp;11&amp;P</oddHeader>
    <oddFooter>&amp;R&amp;10Manitoba Agriculture</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Q404"/>
  <sheetViews>
    <sheetView showGridLines="0" zoomScaleSheetLayoutView="70" workbookViewId="0" topLeftCell="A1">
      <selection activeCell="A1" sqref="A1:I1"/>
    </sheetView>
  </sheetViews>
  <sheetFormatPr defaultColWidth="8.88671875" defaultRowHeight="15"/>
  <cols>
    <col min="1" max="1" width="8.88671875" style="5" customWidth="1"/>
    <col min="2" max="2" width="13.5546875" style="5" customWidth="1"/>
    <col min="3" max="3" width="3.10546875" style="21" customWidth="1"/>
    <col min="4" max="4" width="14.21484375" style="5" customWidth="1"/>
    <col min="5" max="5" width="3.88671875" style="5" customWidth="1"/>
    <col min="6" max="6" width="10.88671875" style="5" customWidth="1"/>
    <col min="7" max="7" width="8.88671875" style="5" customWidth="1"/>
    <col min="8" max="8" width="11.21484375" style="5" customWidth="1"/>
    <col min="9" max="16384" width="8.88671875" style="5" customWidth="1"/>
  </cols>
  <sheetData>
    <row r="1" spans="1:9" s="210" customFormat="1" ht="18" customHeight="1">
      <c r="A1" s="444" t="s">
        <v>113</v>
      </c>
      <c r="B1" s="444"/>
      <c r="C1" s="446"/>
      <c r="D1" s="446"/>
      <c r="E1" s="446"/>
      <c r="F1" s="446"/>
      <c r="G1" s="446"/>
      <c r="H1" s="446"/>
      <c r="I1" s="446"/>
    </row>
    <row r="2" spans="1:8" ht="15">
      <c r="A2" s="448" t="s">
        <v>243</v>
      </c>
      <c r="B2" s="448"/>
      <c r="C2" s="448"/>
      <c r="D2" s="448"/>
      <c r="E2" s="448"/>
      <c r="F2" s="448"/>
      <c r="G2" s="448"/>
      <c r="H2" s="448"/>
    </row>
    <row r="3" spans="1:8" ht="15">
      <c r="A3" s="87"/>
      <c r="B3" s="87"/>
      <c r="C3" s="87"/>
      <c r="D3" s="87"/>
      <c r="E3" s="87"/>
      <c r="F3" s="87"/>
      <c r="G3" s="87"/>
      <c r="H3" s="87"/>
    </row>
    <row r="4" spans="1:8" ht="15">
      <c r="A4" s="448" t="s">
        <v>242</v>
      </c>
      <c r="B4" s="448"/>
      <c r="C4" s="448"/>
      <c r="D4" s="448"/>
      <c r="E4" s="448"/>
      <c r="F4" s="448"/>
      <c r="G4" s="448"/>
      <c r="H4" s="448"/>
    </row>
    <row r="5" spans="1:8" ht="15">
      <c r="A5" s="448"/>
      <c r="B5" s="448"/>
      <c r="C5" s="448"/>
      <c r="D5" s="448"/>
      <c r="E5" s="448"/>
      <c r="F5" s="448"/>
      <c r="G5" s="448"/>
      <c r="H5" s="448"/>
    </row>
    <row r="6" spans="1:8" ht="15">
      <c r="A6" s="87"/>
      <c r="B6" s="87"/>
      <c r="C6" s="87"/>
      <c r="D6" s="87"/>
      <c r="E6" s="87"/>
      <c r="F6" s="87"/>
      <c r="G6" s="87"/>
      <c r="H6" s="87"/>
    </row>
    <row r="7" spans="1:8" ht="15">
      <c r="A7" s="448" t="s">
        <v>244</v>
      </c>
      <c r="B7" s="448"/>
      <c r="C7" s="448"/>
      <c r="D7" s="448"/>
      <c r="E7" s="448"/>
      <c r="F7" s="448"/>
      <c r="G7" s="448"/>
      <c r="H7" s="448"/>
    </row>
    <row r="8" spans="1:8" ht="15">
      <c r="A8" s="448"/>
      <c r="B8" s="448"/>
      <c r="C8" s="448"/>
      <c r="D8" s="448"/>
      <c r="E8" s="448"/>
      <c r="F8" s="448"/>
      <c r="G8" s="448"/>
      <c r="H8" s="448"/>
    </row>
    <row r="9" spans="1:8" ht="15">
      <c r="A9" s="87"/>
      <c r="B9" s="87"/>
      <c r="C9" s="87"/>
      <c r="D9" s="87"/>
      <c r="E9" s="87"/>
      <c r="F9" s="87"/>
      <c r="G9" s="87"/>
      <c r="H9" s="87"/>
    </row>
    <row r="10" spans="1:8" ht="15">
      <c r="A10" s="5" t="s">
        <v>245</v>
      </c>
      <c r="B10" s="21"/>
      <c r="D10" s="21"/>
      <c r="E10" s="21"/>
      <c r="F10" s="21"/>
      <c r="G10" s="21"/>
      <c r="H10" s="21"/>
    </row>
    <row r="11" spans="2:8" ht="15">
      <c r="B11" s="21"/>
      <c r="D11" s="21"/>
      <c r="E11" s="21"/>
      <c r="F11" s="21"/>
      <c r="G11" s="21"/>
      <c r="H11" s="21"/>
    </row>
    <row r="12" ht="14.25" customHeight="1">
      <c r="A12" s="5" t="str">
        <f>"5. The budget assumes an average weaning weight of "&amp;Input!E20&amp;" lbs."</f>
        <v>5. The budget assumes an average weaning weight of 463 lbs.</v>
      </c>
    </row>
    <row r="13" ht="14.25" customHeight="1">
      <c r="A13" s="5" t="str">
        <f>"6. This budget is based on "&amp;Input!G41+Input!G42&amp;" days grazing and "&amp;Input!G43&amp;" days winter feeding."</f>
        <v>6. This budget is based on 200 days grazing and 165 days winter feeding.</v>
      </c>
    </row>
    <row r="14" ht="14.25" customHeight="1"/>
    <row r="15" spans="1:9" ht="18">
      <c r="A15" s="451" t="s">
        <v>180</v>
      </c>
      <c r="B15" s="451"/>
      <c r="C15" s="451"/>
      <c r="D15" s="451"/>
      <c r="E15" s="451"/>
      <c r="F15" s="451"/>
      <c r="G15" s="451"/>
      <c r="H15" s="451"/>
      <c r="I15" s="451"/>
    </row>
    <row r="16" spans="1:8" ht="7.5" customHeight="1">
      <c r="A16" s="20"/>
      <c r="B16" s="21"/>
      <c r="D16" s="21"/>
      <c r="E16" s="21"/>
      <c r="F16" s="21"/>
      <c r="G16" s="21"/>
      <c r="H16" s="21"/>
    </row>
    <row r="17" ht="15.75">
      <c r="A17" s="16" t="s">
        <v>165</v>
      </c>
    </row>
    <row r="18" spans="1:8" ht="15.75">
      <c r="A18" s="16"/>
      <c r="H18" s="59" t="s">
        <v>167</v>
      </c>
    </row>
    <row r="19" ht="15.75">
      <c r="A19" s="16" t="s">
        <v>166</v>
      </c>
    </row>
    <row r="20" ht="15.75">
      <c r="A20" s="16" t="s">
        <v>224</v>
      </c>
    </row>
    <row r="21" spans="2:8" ht="15">
      <c r="B21" s="5" t="s">
        <v>52</v>
      </c>
      <c r="D21" s="91">
        <f>Input!E29</f>
        <v>4</v>
      </c>
      <c r="F21" s="5" t="s">
        <v>238</v>
      </c>
      <c r="H21" s="13"/>
    </row>
    <row r="22" spans="3:8" ht="15">
      <c r="C22" s="21" t="s">
        <v>53</v>
      </c>
      <c r="D22" s="12">
        <f>Input!E30</f>
        <v>60</v>
      </c>
      <c r="F22" s="5" t="s">
        <v>54</v>
      </c>
      <c r="H22" s="13"/>
    </row>
    <row r="23" spans="3:8" ht="15">
      <c r="C23" s="22" t="s">
        <v>53</v>
      </c>
      <c r="D23" s="89">
        <f>ROUND(Input!C29,2)</f>
        <v>0.1</v>
      </c>
      <c r="E23" s="14"/>
      <c r="F23" s="14" t="s">
        <v>67</v>
      </c>
      <c r="H23" s="13"/>
    </row>
    <row r="24" spans="3:8" ht="15">
      <c r="C24" s="22" t="s">
        <v>56</v>
      </c>
      <c r="D24" s="90">
        <f>ROUND((D21*D22)*D23,2)</f>
        <v>24</v>
      </c>
      <c r="E24" s="23"/>
      <c r="F24" s="23" t="s">
        <v>57</v>
      </c>
      <c r="H24" s="13"/>
    </row>
    <row r="25" spans="1:6" ht="15">
      <c r="A25" s="15"/>
      <c r="C25" s="22"/>
      <c r="D25" s="15"/>
      <c r="E25" s="15"/>
      <c r="F25" s="15"/>
    </row>
    <row r="26" spans="1:8" ht="15">
      <c r="A26" s="15"/>
      <c r="B26" s="15" t="s">
        <v>58</v>
      </c>
      <c r="D26" s="91">
        <f>Input!G29</f>
        <v>4</v>
      </c>
      <c r="F26" s="5" t="s">
        <v>239</v>
      </c>
      <c r="H26" s="13"/>
    </row>
    <row r="27" spans="1:8" ht="15">
      <c r="A27" s="15"/>
      <c r="B27" s="15"/>
      <c r="C27" s="21" t="s">
        <v>53</v>
      </c>
      <c r="D27" s="12">
        <f>Input!G30</f>
        <v>60</v>
      </c>
      <c r="F27" s="5" t="s">
        <v>8</v>
      </c>
      <c r="H27" s="13"/>
    </row>
    <row r="28" spans="1:8" ht="15">
      <c r="A28" s="15"/>
      <c r="B28" s="15"/>
      <c r="C28" s="21" t="s">
        <v>53</v>
      </c>
      <c r="D28" s="90">
        <f>ROUND(Input!C29,2)</f>
        <v>0.1</v>
      </c>
      <c r="F28" s="5" t="s">
        <v>67</v>
      </c>
      <c r="H28" s="13"/>
    </row>
    <row r="29" spans="1:8" ht="15">
      <c r="A29" s="15"/>
      <c r="B29" s="15"/>
      <c r="C29" s="21" t="s">
        <v>53</v>
      </c>
      <c r="D29" s="12">
        <f>Input!E14</f>
        <v>6</v>
      </c>
      <c r="F29" s="5" t="s">
        <v>59</v>
      </c>
      <c r="H29" s="13"/>
    </row>
    <row r="30" spans="1:8" ht="15">
      <c r="A30" s="15"/>
      <c r="B30" s="15"/>
      <c r="C30" s="22" t="s">
        <v>55</v>
      </c>
      <c r="D30" s="24">
        <f>Input!E13</f>
        <v>100</v>
      </c>
      <c r="E30" s="14"/>
      <c r="F30" s="14" t="s">
        <v>60</v>
      </c>
      <c r="H30" s="13"/>
    </row>
    <row r="31" spans="1:8" ht="15">
      <c r="A31" s="15"/>
      <c r="B31" s="15"/>
      <c r="C31" s="21" t="s">
        <v>56</v>
      </c>
      <c r="D31" s="90">
        <f>ROUND(((D26*D27)*(D28)*D29)/D30,2)</f>
        <v>1.44</v>
      </c>
      <c r="F31" s="5" t="s">
        <v>57</v>
      </c>
      <c r="H31" s="13"/>
    </row>
    <row r="32" spans="1:6" ht="15">
      <c r="A32" s="15"/>
      <c r="B32" s="15"/>
      <c r="C32" s="22"/>
      <c r="D32" s="15"/>
      <c r="E32" s="15"/>
      <c r="F32" s="15"/>
    </row>
    <row r="33" spans="1:8" ht="15.75">
      <c r="A33" s="15"/>
      <c r="B33" s="16" t="s">
        <v>61</v>
      </c>
      <c r="C33" s="22"/>
      <c r="D33" s="41">
        <f>D24+D31</f>
        <v>25.44</v>
      </c>
      <c r="E33" s="15"/>
      <c r="F33" s="6" t="s">
        <v>57</v>
      </c>
      <c r="H33" s="13"/>
    </row>
    <row r="34" spans="1:6" ht="15">
      <c r="A34" s="15"/>
      <c r="B34" s="15"/>
      <c r="C34" s="22"/>
      <c r="D34" s="15"/>
      <c r="E34" s="15"/>
      <c r="F34" s="15"/>
    </row>
    <row r="35" ht="15.75">
      <c r="A35" s="16" t="s">
        <v>62</v>
      </c>
    </row>
    <row r="36" spans="2:8" ht="15">
      <c r="B36" s="5" t="s">
        <v>52</v>
      </c>
      <c r="D36" s="11">
        <f>Input!E31</f>
        <v>3</v>
      </c>
      <c r="F36" s="5" t="s">
        <v>63</v>
      </c>
      <c r="H36" s="13"/>
    </row>
    <row r="37" spans="3:8" ht="15">
      <c r="C37" s="22" t="s">
        <v>53</v>
      </c>
      <c r="D37" s="44">
        <f>Input!C31</f>
        <v>70</v>
      </c>
      <c r="E37" s="25" t="s">
        <v>0</v>
      </c>
      <c r="F37" s="14" t="s">
        <v>64</v>
      </c>
      <c r="G37" s="18"/>
      <c r="H37" s="13"/>
    </row>
    <row r="38" spans="3:8" ht="15">
      <c r="C38" s="21" t="s">
        <v>56</v>
      </c>
      <c r="D38" s="45">
        <f>ROUND(D36*D37,2)</f>
        <v>210</v>
      </c>
      <c r="F38" s="5" t="s">
        <v>57</v>
      </c>
      <c r="G38" s="9"/>
      <c r="H38" s="13"/>
    </row>
    <row r="40" spans="2:8" ht="15">
      <c r="B40" s="5" t="s">
        <v>58</v>
      </c>
      <c r="D40" s="11">
        <f>Input!G31</f>
        <v>3.25</v>
      </c>
      <c r="F40" s="5" t="s">
        <v>63</v>
      </c>
      <c r="H40" s="13"/>
    </row>
    <row r="41" spans="3:8" ht="15">
      <c r="C41" s="21" t="s">
        <v>53</v>
      </c>
      <c r="D41" s="45">
        <f>Input!C31</f>
        <v>70</v>
      </c>
      <c r="E41" s="9" t="s">
        <v>0</v>
      </c>
      <c r="F41" s="5" t="s">
        <v>64</v>
      </c>
      <c r="H41" s="13"/>
    </row>
    <row r="42" spans="3:8" ht="15">
      <c r="C42" s="21" t="s">
        <v>53</v>
      </c>
      <c r="D42" s="12">
        <f>Input!E14</f>
        <v>6</v>
      </c>
      <c r="F42" s="5" t="s">
        <v>59</v>
      </c>
      <c r="H42" s="13"/>
    </row>
    <row r="43" spans="3:8" ht="15">
      <c r="C43" s="22" t="s">
        <v>55</v>
      </c>
      <c r="D43" s="24">
        <f>Input!E13</f>
        <v>100</v>
      </c>
      <c r="E43" s="14"/>
      <c r="F43" s="14" t="s">
        <v>60</v>
      </c>
      <c r="G43" s="14"/>
      <c r="H43" s="13"/>
    </row>
    <row r="44" spans="3:8" ht="15">
      <c r="C44" s="21" t="s">
        <v>56</v>
      </c>
      <c r="D44" s="45">
        <f>ROUND(((D40*D41)*D42)/D43,2)</f>
        <v>13.65</v>
      </c>
      <c r="F44" s="5" t="s">
        <v>57</v>
      </c>
      <c r="H44" s="13"/>
    </row>
    <row r="46" spans="1:8" ht="15.75">
      <c r="A46" s="15"/>
      <c r="B46" s="16" t="s">
        <v>61</v>
      </c>
      <c r="C46" s="26"/>
      <c r="D46" s="17">
        <f>D38+D44</f>
        <v>223.65</v>
      </c>
      <c r="E46" s="15"/>
      <c r="F46" s="6" t="s">
        <v>57</v>
      </c>
      <c r="G46" s="15"/>
      <c r="H46" s="13"/>
    </row>
    <row r="47" spans="1:7" ht="15">
      <c r="A47" s="15"/>
      <c r="B47" s="15"/>
      <c r="C47" s="22"/>
      <c r="D47" s="15"/>
      <c r="E47" s="15"/>
      <c r="F47" s="15"/>
      <c r="G47" s="15"/>
    </row>
    <row r="48" ht="15.75">
      <c r="A48" s="16" t="s">
        <v>65</v>
      </c>
    </row>
    <row r="49" spans="2:8" ht="15">
      <c r="B49" s="5" t="s">
        <v>52</v>
      </c>
      <c r="D49" s="12">
        <f>Input!E35</f>
        <v>16</v>
      </c>
      <c r="F49" s="5" t="s">
        <v>66</v>
      </c>
      <c r="H49" s="13"/>
    </row>
    <row r="50" spans="3:8" ht="15">
      <c r="C50" s="22" t="s">
        <v>53</v>
      </c>
      <c r="D50" s="44">
        <f>Input!C35</f>
        <v>0.14</v>
      </c>
      <c r="E50" s="14"/>
      <c r="F50" s="14" t="s">
        <v>67</v>
      </c>
      <c r="H50" s="13"/>
    </row>
    <row r="51" spans="3:8" ht="15">
      <c r="C51" s="21" t="s">
        <v>56</v>
      </c>
      <c r="D51" s="45">
        <f>ROUND(D49*D50,2)</f>
        <v>2.24</v>
      </c>
      <c r="F51" s="5" t="s">
        <v>57</v>
      </c>
      <c r="H51" s="13"/>
    </row>
    <row r="53" spans="4:8" ht="15">
      <c r="D53" s="12">
        <f>Input!E36</f>
        <v>42</v>
      </c>
      <c r="F53" s="5" t="s">
        <v>68</v>
      </c>
      <c r="H53" s="13"/>
    </row>
    <row r="54" spans="3:8" ht="15">
      <c r="C54" s="22" t="s">
        <v>53</v>
      </c>
      <c r="D54" s="44">
        <f>Input!C36</f>
        <v>0.51</v>
      </c>
      <c r="E54" s="14"/>
      <c r="F54" s="14" t="s">
        <v>67</v>
      </c>
      <c r="H54" s="13"/>
    </row>
    <row r="55" spans="3:8" ht="15">
      <c r="C55" s="21" t="s">
        <v>56</v>
      </c>
      <c r="D55" s="45">
        <f>ROUND(D53*D54,2)</f>
        <v>21.42</v>
      </c>
      <c r="F55" s="5" t="s">
        <v>57</v>
      </c>
      <c r="H55" s="13"/>
    </row>
    <row r="57" spans="1:8" ht="15">
      <c r="A57" s="15"/>
      <c r="B57" s="15" t="s">
        <v>58</v>
      </c>
      <c r="C57" s="22"/>
      <c r="D57" s="12">
        <f>Input!E35</f>
        <v>16</v>
      </c>
      <c r="E57" s="15"/>
      <c r="F57" s="5" t="s">
        <v>69</v>
      </c>
      <c r="G57" s="15"/>
      <c r="H57" s="13"/>
    </row>
    <row r="58" spans="1:8" ht="15">
      <c r="A58" s="15"/>
      <c r="B58" s="15"/>
      <c r="C58" s="21" t="s">
        <v>53</v>
      </c>
      <c r="D58" s="45">
        <f>Input!C35</f>
        <v>0.14</v>
      </c>
      <c r="E58" s="15"/>
      <c r="F58" s="14" t="s">
        <v>67</v>
      </c>
      <c r="G58" s="15"/>
      <c r="H58" s="13"/>
    </row>
    <row r="59" spans="1:8" ht="15">
      <c r="A59" s="15"/>
      <c r="B59" s="15"/>
      <c r="C59" s="21" t="s">
        <v>53</v>
      </c>
      <c r="D59" s="12">
        <f>Input!E14</f>
        <v>6</v>
      </c>
      <c r="E59" s="15"/>
      <c r="F59" s="5" t="s">
        <v>59</v>
      </c>
      <c r="H59" s="13"/>
    </row>
    <row r="60" spans="1:8" ht="15">
      <c r="A60" s="15"/>
      <c r="B60" s="15"/>
      <c r="C60" s="22" t="s">
        <v>55</v>
      </c>
      <c r="D60" s="24">
        <f>Input!E13</f>
        <v>100</v>
      </c>
      <c r="E60" s="14"/>
      <c r="F60" s="14" t="s">
        <v>60</v>
      </c>
      <c r="G60" s="15"/>
      <c r="H60" s="13"/>
    </row>
    <row r="61" spans="1:8" ht="15">
      <c r="A61" s="15"/>
      <c r="B61" s="15"/>
      <c r="C61" s="21" t="s">
        <v>56</v>
      </c>
      <c r="D61" s="45">
        <f>ROUND((D57*D58)*D59/D60,2)</f>
        <v>0.13</v>
      </c>
      <c r="E61" s="15"/>
      <c r="F61" s="5" t="s">
        <v>57</v>
      </c>
      <c r="G61" s="15"/>
      <c r="H61" s="13"/>
    </row>
    <row r="62" spans="1:7" ht="15">
      <c r="A62" s="15"/>
      <c r="B62" s="15"/>
      <c r="C62" s="22"/>
      <c r="D62" s="15"/>
      <c r="E62" s="15"/>
      <c r="F62" s="15"/>
      <c r="G62" s="15"/>
    </row>
    <row r="63" spans="1:8" ht="15">
      <c r="A63" s="15"/>
      <c r="B63" s="15"/>
      <c r="C63" s="22"/>
      <c r="D63" s="12">
        <f>Input!E36</f>
        <v>42</v>
      </c>
      <c r="E63" s="15"/>
      <c r="F63" s="5" t="s">
        <v>70</v>
      </c>
      <c r="G63" s="15"/>
      <c r="H63" s="13"/>
    </row>
    <row r="64" spans="1:8" ht="15">
      <c r="A64" s="15"/>
      <c r="B64" s="15"/>
      <c r="C64" s="21" t="s">
        <v>53</v>
      </c>
      <c r="D64" s="45">
        <f>Input!C36</f>
        <v>0.51</v>
      </c>
      <c r="E64" s="15"/>
      <c r="F64" s="14" t="s">
        <v>67</v>
      </c>
      <c r="G64" s="15"/>
      <c r="H64" s="13"/>
    </row>
    <row r="65" spans="1:8" ht="15">
      <c r="A65" s="15"/>
      <c r="B65" s="15"/>
      <c r="C65" s="21" t="s">
        <v>53</v>
      </c>
      <c r="D65" s="12">
        <f>Input!E14</f>
        <v>6</v>
      </c>
      <c r="E65" s="15"/>
      <c r="F65" s="5" t="s">
        <v>59</v>
      </c>
      <c r="G65" s="15"/>
      <c r="H65" s="13"/>
    </row>
    <row r="66" spans="1:8" ht="15">
      <c r="A66" s="15"/>
      <c r="B66" s="15"/>
      <c r="C66" s="22" t="s">
        <v>55</v>
      </c>
      <c r="D66" s="24">
        <f>Input!E13</f>
        <v>100</v>
      </c>
      <c r="E66" s="15"/>
      <c r="F66" s="14" t="s">
        <v>60</v>
      </c>
      <c r="G66" s="15"/>
      <c r="H66" s="13"/>
    </row>
    <row r="67" spans="1:8" ht="15">
      <c r="A67" s="15"/>
      <c r="B67" s="15"/>
      <c r="C67" s="21" t="s">
        <v>56</v>
      </c>
      <c r="D67" s="45">
        <f>ROUND((D63*D64)*D65/D66,2)</f>
        <v>1.29</v>
      </c>
      <c r="E67" s="15"/>
      <c r="F67" s="5" t="s">
        <v>57</v>
      </c>
      <c r="G67" s="15"/>
      <c r="H67" s="13"/>
    </row>
    <row r="68" spans="1:7" ht="15">
      <c r="A68" s="15"/>
      <c r="B68" s="15"/>
      <c r="C68" s="22"/>
      <c r="D68" s="15"/>
      <c r="E68" s="15"/>
      <c r="F68" s="15"/>
      <c r="G68" s="15"/>
    </row>
    <row r="69" spans="1:8" ht="15.75">
      <c r="A69" s="15"/>
      <c r="B69" s="16" t="s">
        <v>61</v>
      </c>
      <c r="C69" s="26"/>
      <c r="D69" s="41">
        <f>D51+D55+D61+D67</f>
        <v>25.080000000000002</v>
      </c>
      <c r="E69" s="16"/>
      <c r="F69" s="6" t="s">
        <v>57</v>
      </c>
      <c r="G69" s="15"/>
      <c r="H69" s="13"/>
    </row>
    <row r="70" spans="1:7" ht="15">
      <c r="A70" s="15"/>
      <c r="B70" s="15"/>
      <c r="C70" s="22"/>
      <c r="D70" s="15"/>
      <c r="E70" s="15"/>
      <c r="F70" s="15"/>
      <c r="G70" s="15"/>
    </row>
    <row r="71" spans="1:7" ht="15.75">
      <c r="A71" s="16" t="s">
        <v>71</v>
      </c>
      <c r="B71" s="15"/>
      <c r="C71" s="22"/>
      <c r="D71" s="15"/>
      <c r="E71" s="15"/>
      <c r="F71" s="15"/>
      <c r="G71" s="15"/>
    </row>
    <row r="72" spans="1:8" ht="15">
      <c r="A72" s="15"/>
      <c r="B72" s="15"/>
      <c r="C72" s="22"/>
      <c r="D72" s="12">
        <f>Input!E32</f>
        <v>0</v>
      </c>
      <c r="E72" s="15"/>
      <c r="F72" s="5" t="s">
        <v>183</v>
      </c>
      <c r="G72" s="15"/>
      <c r="H72" s="13"/>
    </row>
    <row r="73" spans="1:8" ht="15">
      <c r="A73" s="15"/>
      <c r="B73" s="15"/>
      <c r="C73" s="21" t="s">
        <v>53</v>
      </c>
      <c r="D73" s="12">
        <f>Input!E33</f>
        <v>60</v>
      </c>
      <c r="E73" s="15"/>
      <c r="F73" s="15" t="s">
        <v>8</v>
      </c>
      <c r="G73" s="15"/>
      <c r="H73" s="13"/>
    </row>
    <row r="74" spans="1:8" ht="15">
      <c r="A74" s="15"/>
      <c r="B74" s="15"/>
      <c r="C74" s="21" t="s">
        <v>53</v>
      </c>
      <c r="D74" s="45">
        <f>Input!C32</f>
        <v>0</v>
      </c>
      <c r="E74" s="15"/>
      <c r="F74" s="23" t="s">
        <v>67</v>
      </c>
      <c r="G74" s="15"/>
      <c r="H74" s="13"/>
    </row>
    <row r="75" spans="1:8" ht="15">
      <c r="A75" s="15"/>
      <c r="B75" s="15"/>
      <c r="C75" s="21" t="s">
        <v>53</v>
      </c>
      <c r="D75" s="46">
        <f>Input!E15</f>
        <v>88</v>
      </c>
      <c r="E75" s="15"/>
      <c r="F75" s="28" t="s">
        <v>72</v>
      </c>
      <c r="G75" s="15"/>
      <c r="H75" s="13"/>
    </row>
    <row r="76" spans="1:8" ht="15.75">
      <c r="A76" s="15"/>
      <c r="B76" s="15"/>
      <c r="C76" s="29" t="s">
        <v>56</v>
      </c>
      <c r="D76" s="41">
        <f>ROUND(((D72*D73)*D74)*D75/100,2)</f>
        <v>0</v>
      </c>
      <c r="E76" s="15"/>
      <c r="F76" s="6" t="s">
        <v>57</v>
      </c>
      <c r="G76" s="15"/>
      <c r="H76" s="13"/>
    </row>
    <row r="77" spans="1:7" ht="15">
      <c r="A77" s="15"/>
      <c r="B77" s="15"/>
      <c r="C77" s="22"/>
      <c r="D77" s="15"/>
      <c r="E77" s="15"/>
      <c r="F77" s="15"/>
      <c r="G77" s="15"/>
    </row>
    <row r="78" spans="1:10" s="210" customFormat="1" ht="15" customHeight="1">
      <c r="A78" s="16" t="s">
        <v>415</v>
      </c>
      <c r="D78" s="92"/>
      <c r="E78" s="92"/>
      <c r="F78" s="92"/>
      <c r="G78" s="92"/>
      <c r="H78" s="92"/>
      <c r="I78" s="92"/>
      <c r="J78" s="92"/>
    </row>
    <row r="79" spans="1:8" s="210" customFormat="1" ht="15" customHeight="1">
      <c r="A79" s="274"/>
      <c r="B79" s="92" t="str">
        <f>'Extended Grazing'!C8</f>
        <v>Corn Grazing</v>
      </c>
      <c r="C79" s="92"/>
      <c r="D79" s="330">
        <f>'Extended Grazing'!C56</f>
        <v>0</v>
      </c>
      <c r="E79" s="92"/>
      <c r="F79" s="31" t="s">
        <v>57</v>
      </c>
      <c r="G79" s="92"/>
      <c r="H79" s="185"/>
    </row>
    <row r="80" spans="1:8" s="210" customFormat="1" ht="15" customHeight="1">
      <c r="A80" s="274"/>
      <c r="B80" s="92"/>
      <c r="C80" s="7"/>
      <c r="D80" s="331"/>
      <c r="E80" s="92"/>
      <c r="F80" s="14"/>
      <c r="G80" s="92"/>
      <c r="H80" s="161"/>
    </row>
    <row r="81" spans="1:8" s="210" customFormat="1" ht="15" customHeight="1">
      <c r="A81" s="274"/>
      <c r="B81" s="92" t="str">
        <f>'Extended Grazing'!D8</f>
        <v>Stockpiled Forage</v>
      </c>
      <c r="C81" s="92"/>
      <c r="D81" s="330">
        <f>'Extended Grazing'!D56</f>
        <v>24.19140625</v>
      </c>
      <c r="E81" s="92"/>
      <c r="F81" s="31" t="s">
        <v>57</v>
      </c>
      <c r="G81" s="92"/>
      <c r="H81" s="185"/>
    </row>
    <row r="82" spans="1:8" s="210" customFormat="1" ht="15" customHeight="1">
      <c r="A82" s="274"/>
      <c r="B82" s="16"/>
      <c r="C82" s="16"/>
      <c r="D82" s="275"/>
      <c r="E82" s="92"/>
      <c r="F82" s="16"/>
      <c r="G82" s="92"/>
      <c r="H82" s="161"/>
    </row>
    <row r="83" spans="1:8" s="210" customFormat="1" ht="15" customHeight="1">
      <c r="A83" s="274"/>
      <c r="B83" s="92" t="str">
        <f>'Extended Grazing'!E8</f>
        <v>Swath Grazing</v>
      </c>
      <c r="C83" s="92"/>
      <c r="D83" s="330">
        <f>'Extended Grazing'!E56</f>
        <v>0</v>
      </c>
      <c r="E83" s="92"/>
      <c r="F83" s="31" t="s">
        <v>57</v>
      </c>
      <c r="G83" s="92"/>
      <c r="H83" s="185"/>
    </row>
    <row r="84" spans="1:8" s="210" customFormat="1" ht="15" customHeight="1">
      <c r="A84" s="274"/>
      <c r="B84" s="92"/>
      <c r="C84" s="92"/>
      <c r="D84" s="330"/>
      <c r="E84" s="92"/>
      <c r="F84" s="31"/>
      <c r="G84" s="92"/>
      <c r="H84" s="161"/>
    </row>
    <row r="85" spans="1:8" s="210" customFormat="1" ht="15" customHeight="1">
      <c r="A85" s="274"/>
      <c r="B85" s="92" t="str">
        <f>'Extended Grazing'!F8</f>
        <v>Crop Residue</v>
      </c>
      <c r="C85" s="92"/>
      <c r="D85" s="330">
        <f>'Extended Grazing'!F56</f>
        <v>0</v>
      </c>
      <c r="E85" s="92"/>
      <c r="F85" s="31" t="s">
        <v>57</v>
      </c>
      <c r="G85" s="92"/>
      <c r="H85" s="185"/>
    </row>
    <row r="86" spans="1:8" s="210" customFormat="1" ht="7.5" customHeight="1">
      <c r="A86" s="274"/>
      <c r="B86" s="92"/>
      <c r="C86" s="92"/>
      <c r="D86" s="330"/>
      <c r="E86" s="92"/>
      <c r="F86" s="31"/>
      <c r="G86" s="92"/>
      <c r="H86" s="161"/>
    </row>
    <row r="87" spans="1:8" s="210" customFormat="1" ht="15" customHeight="1">
      <c r="A87" s="274"/>
      <c r="B87" s="16" t="s">
        <v>61</v>
      </c>
      <c r="C87" s="16" t="s">
        <v>56</v>
      </c>
      <c r="D87" s="275">
        <f>D79+D81+D83+D85</f>
        <v>24.19140625</v>
      </c>
      <c r="E87" s="92"/>
      <c r="F87" s="16" t="s">
        <v>57</v>
      </c>
      <c r="G87" s="92"/>
      <c r="H87" s="185"/>
    </row>
    <row r="88" spans="1:8" s="210" customFormat="1" ht="15" customHeight="1">
      <c r="A88" s="274"/>
      <c r="B88" s="16"/>
      <c r="C88" s="16"/>
      <c r="D88" s="275"/>
      <c r="E88" s="92"/>
      <c r="F88" s="16"/>
      <c r="G88" s="92"/>
      <c r="H88" s="161"/>
    </row>
    <row r="89" ht="15.75">
      <c r="A89" s="16" t="s">
        <v>179</v>
      </c>
    </row>
    <row r="91" ht="15.75">
      <c r="A91" s="16" t="s">
        <v>73</v>
      </c>
    </row>
    <row r="93" ht="15">
      <c r="B93" s="5" t="s">
        <v>184</v>
      </c>
    </row>
    <row r="94" spans="4:8" ht="15">
      <c r="D94" s="45">
        <f>Input!E50</f>
        <v>0</v>
      </c>
      <c r="F94" s="5" t="s">
        <v>232</v>
      </c>
      <c r="H94" s="13"/>
    </row>
    <row r="95" spans="3:8" ht="15">
      <c r="C95" s="21" t="s">
        <v>74</v>
      </c>
      <c r="D95" s="45">
        <f>Input!E51</f>
        <v>0</v>
      </c>
      <c r="E95" s="30"/>
      <c r="F95" s="5" t="s">
        <v>233</v>
      </c>
      <c r="H95" s="13"/>
    </row>
    <row r="96" spans="3:8" ht="15">
      <c r="C96" s="21" t="s">
        <v>74</v>
      </c>
      <c r="D96" s="45">
        <f>Input!E52</f>
        <v>0</v>
      </c>
      <c r="E96" s="23"/>
      <c r="F96" s="15" t="s">
        <v>229</v>
      </c>
      <c r="H96" s="13"/>
    </row>
    <row r="97" spans="3:8" ht="15">
      <c r="C97" s="21" t="s">
        <v>56</v>
      </c>
      <c r="D97" s="45">
        <f>ROUND(D94+D95+D96,2)</f>
        <v>0</v>
      </c>
      <c r="F97" s="5" t="s">
        <v>109</v>
      </c>
      <c r="H97" s="13"/>
    </row>
    <row r="98" spans="3:8" ht="15">
      <c r="C98" s="22" t="s">
        <v>53</v>
      </c>
      <c r="D98" s="27">
        <f>Input!E15</f>
        <v>88</v>
      </c>
      <c r="E98" s="14"/>
      <c r="F98" s="14" t="s">
        <v>72</v>
      </c>
      <c r="H98" s="13"/>
    </row>
    <row r="99" spans="3:8" ht="15">
      <c r="C99" s="21" t="s">
        <v>56</v>
      </c>
      <c r="D99" s="45">
        <f>ROUND(D97*D98/100,2)</f>
        <v>0</v>
      </c>
      <c r="F99" s="5" t="s">
        <v>57</v>
      </c>
      <c r="H99" s="13"/>
    </row>
    <row r="100" ht="15">
      <c r="F100" s="5" t="s">
        <v>0</v>
      </c>
    </row>
    <row r="101" ht="15">
      <c r="B101" s="5" t="s">
        <v>185</v>
      </c>
    </row>
    <row r="102" spans="4:8" ht="15">
      <c r="D102" s="45">
        <f>Input!E54</f>
        <v>9.13</v>
      </c>
      <c r="F102" s="5" t="s">
        <v>229</v>
      </c>
      <c r="H102" s="13"/>
    </row>
    <row r="103" spans="3:8" ht="15">
      <c r="C103" s="21" t="s">
        <v>74</v>
      </c>
      <c r="D103" s="45">
        <f>Input!E55</f>
        <v>0</v>
      </c>
      <c r="F103" s="5" t="s">
        <v>231</v>
      </c>
      <c r="H103" s="13"/>
    </row>
    <row r="104" spans="3:8" ht="15">
      <c r="C104" s="21" t="s">
        <v>74</v>
      </c>
      <c r="D104" s="45">
        <f>Input!E56</f>
        <v>0</v>
      </c>
      <c r="F104" s="5" t="s">
        <v>230</v>
      </c>
      <c r="H104" s="13"/>
    </row>
    <row r="105" spans="3:8" ht="15">
      <c r="C105" s="22" t="s">
        <v>74</v>
      </c>
      <c r="D105" s="44">
        <f>Input!E58</f>
        <v>0</v>
      </c>
      <c r="E105" s="14"/>
      <c r="F105" s="14" t="s">
        <v>191</v>
      </c>
      <c r="H105" s="13"/>
    </row>
    <row r="106" spans="3:8" ht="15">
      <c r="C106" s="21" t="s">
        <v>56</v>
      </c>
      <c r="D106" s="45">
        <f>ROUND(SUM(D102+D103+D104+D105),2)</f>
        <v>9.13</v>
      </c>
      <c r="F106" s="5" t="s">
        <v>57</v>
      </c>
      <c r="H106" s="13"/>
    </row>
    <row r="108" ht="15">
      <c r="B108" s="5" t="s">
        <v>186</v>
      </c>
    </row>
    <row r="109" spans="4:8" ht="15">
      <c r="D109" s="45">
        <f>Input!E60</f>
        <v>17.25</v>
      </c>
      <c r="F109" s="5" t="s">
        <v>229</v>
      </c>
      <c r="H109" s="13"/>
    </row>
    <row r="110" spans="3:8" ht="15">
      <c r="C110" s="21" t="s">
        <v>74</v>
      </c>
      <c r="D110" s="45">
        <f>Input!E61</f>
        <v>60</v>
      </c>
      <c r="F110" s="15" t="s">
        <v>203</v>
      </c>
      <c r="G110" s="15"/>
      <c r="H110" s="13"/>
    </row>
    <row r="111" spans="3:8" ht="15">
      <c r="C111" s="22" t="s">
        <v>53</v>
      </c>
      <c r="D111" s="12">
        <f>Input!E14</f>
        <v>6</v>
      </c>
      <c r="F111" s="15" t="s">
        <v>59</v>
      </c>
      <c r="G111" s="15"/>
      <c r="H111" s="13"/>
    </row>
    <row r="112" spans="3:8" ht="15">
      <c r="C112" s="22" t="s">
        <v>55</v>
      </c>
      <c r="D112" s="24">
        <f>Input!E13</f>
        <v>100</v>
      </c>
      <c r="F112" s="30" t="s">
        <v>60</v>
      </c>
      <c r="H112" s="13"/>
    </row>
    <row r="113" spans="3:8" ht="15">
      <c r="C113" s="21" t="s">
        <v>56</v>
      </c>
      <c r="D113" s="45">
        <f>ROUND((D109+D110)*D111/D112,2)</f>
        <v>4.64</v>
      </c>
      <c r="F113" s="5" t="s">
        <v>57</v>
      </c>
      <c r="H113" s="13"/>
    </row>
    <row r="115" ht="15">
      <c r="B115" s="5" t="s">
        <v>187</v>
      </c>
    </row>
    <row r="116" spans="4:8" ht="15">
      <c r="D116" s="45">
        <f>Input!E66</f>
        <v>150</v>
      </c>
      <c r="F116" s="5" t="s">
        <v>75</v>
      </c>
      <c r="H116" s="13"/>
    </row>
    <row r="117" spans="3:8" ht="15">
      <c r="C117" s="22" t="s">
        <v>53</v>
      </c>
      <c r="D117" s="12">
        <f>Input!E65</f>
        <v>2</v>
      </c>
      <c r="E117" s="14"/>
      <c r="F117" s="31" t="s">
        <v>76</v>
      </c>
      <c r="H117" s="13"/>
    </row>
    <row r="118" spans="3:8" ht="15">
      <c r="C118" s="22" t="s">
        <v>55</v>
      </c>
      <c r="D118" s="24">
        <f>Input!E13</f>
        <v>100</v>
      </c>
      <c r="E118" s="14"/>
      <c r="F118" s="14" t="s">
        <v>60</v>
      </c>
      <c r="H118" s="13"/>
    </row>
    <row r="119" spans="3:8" ht="15">
      <c r="C119" s="21" t="s">
        <v>56</v>
      </c>
      <c r="D119" s="45">
        <f>ROUND(D116*D117/D118,2)</f>
        <v>3</v>
      </c>
      <c r="F119" s="5" t="s">
        <v>77</v>
      </c>
      <c r="H119" s="13"/>
    </row>
    <row r="120" ht="15">
      <c r="F120" s="5" t="s">
        <v>0</v>
      </c>
    </row>
    <row r="121" spans="2:4" ht="15">
      <c r="B121" s="5" t="s">
        <v>188</v>
      </c>
      <c r="D121" s="48"/>
    </row>
    <row r="122" spans="4:8" ht="15">
      <c r="D122" s="45">
        <f>Input!E70</f>
        <v>0.8</v>
      </c>
      <c r="F122" s="5" t="s">
        <v>78</v>
      </c>
      <c r="H122" s="13"/>
    </row>
    <row r="123" spans="3:8" ht="15">
      <c r="C123" s="21" t="s">
        <v>53</v>
      </c>
      <c r="D123" s="12">
        <f>Input!E69</f>
        <v>160</v>
      </c>
      <c r="F123" s="5" t="s">
        <v>79</v>
      </c>
      <c r="H123" s="13"/>
    </row>
    <row r="124" spans="3:8" ht="15">
      <c r="C124" s="21" t="s">
        <v>53</v>
      </c>
      <c r="D124" s="12">
        <f>Input!E71</f>
        <v>1</v>
      </c>
      <c r="F124" s="5" t="s">
        <v>80</v>
      </c>
      <c r="H124" s="13"/>
    </row>
    <row r="125" spans="3:8" ht="15">
      <c r="C125" s="22" t="s">
        <v>55</v>
      </c>
      <c r="D125" s="24">
        <f>Input!E13</f>
        <v>100</v>
      </c>
      <c r="F125" s="7" t="s">
        <v>60</v>
      </c>
      <c r="H125" s="13"/>
    </row>
    <row r="126" spans="3:8" ht="15">
      <c r="C126" s="21" t="s">
        <v>56</v>
      </c>
      <c r="D126" s="45">
        <f>ROUND(D122*D123*D124/D125,2)</f>
        <v>1.28</v>
      </c>
      <c r="F126" s="5" t="s">
        <v>57</v>
      </c>
      <c r="H126" s="13"/>
    </row>
    <row r="128" spans="2:8" ht="15.75">
      <c r="B128" s="16" t="s">
        <v>61</v>
      </c>
      <c r="C128" s="26" t="s">
        <v>56</v>
      </c>
      <c r="D128" s="41">
        <f>D99+D106+D113+D119+D126</f>
        <v>18.05</v>
      </c>
      <c r="E128" s="16"/>
      <c r="F128" s="16" t="s">
        <v>57</v>
      </c>
      <c r="G128" s="16"/>
      <c r="H128" s="13"/>
    </row>
    <row r="130" ht="15.75">
      <c r="A130" s="16" t="s">
        <v>81</v>
      </c>
    </row>
    <row r="131" spans="2:8" s="210" customFormat="1" ht="15" customHeight="1">
      <c r="B131" s="104" t="s">
        <v>417</v>
      </c>
      <c r="C131" s="104"/>
      <c r="D131" s="104"/>
      <c r="E131" s="104"/>
      <c r="F131" s="104"/>
      <c r="G131" s="104"/>
      <c r="H131" s="185"/>
    </row>
    <row r="132" spans="1:8" s="210" customFormat="1" ht="15" customHeight="1">
      <c r="A132" s="104"/>
      <c r="B132" s="104"/>
      <c r="C132" s="104"/>
      <c r="D132" s="104">
        <f>Input!E80</f>
        <v>120</v>
      </c>
      <c r="E132" s="104"/>
      <c r="F132" s="104" t="s">
        <v>418</v>
      </c>
      <c r="G132" s="104"/>
      <c r="H132" s="185"/>
    </row>
    <row r="133" spans="1:8" s="210" customFormat="1" ht="15" customHeight="1">
      <c r="A133" s="104"/>
      <c r="B133" s="104"/>
      <c r="C133" s="337" t="s">
        <v>55</v>
      </c>
      <c r="D133" s="338">
        <v>2.5</v>
      </c>
      <c r="E133" s="104"/>
      <c r="F133" s="104" t="s">
        <v>419</v>
      </c>
      <c r="G133" s="104"/>
      <c r="H133" s="185"/>
    </row>
    <row r="134" spans="1:8" s="210" customFormat="1" ht="15" customHeight="1">
      <c r="A134" s="104"/>
      <c r="B134" s="104"/>
      <c r="C134" s="104" t="s">
        <v>53</v>
      </c>
      <c r="D134" s="339">
        <v>0.1665576</v>
      </c>
      <c r="E134" s="104"/>
      <c r="F134" s="104" t="s">
        <v>420</v>
      </c>
      <c r="G134" s="104"/>
      <c r="H134" s="185"/>
    </row>
    <row r="135" spans="1:8" s="210" customFormat="1" ht="15" customHeight="1">
      <c r="A135" s="104"/>
      <c r="B135" s="104"/>
      <c r="C135" s="104" t="s">
        <v>53</v>
      </c>
      <c r="D135" s="338">
        <f>Input!E82</f>
        <v>1</v>
      </c>
      <c r="E135" s="104"/>
      <c r="F135" s="104" t="s">
        <v>421</v>
      </c>
      <c r="G135" s="104"/>
      <c r="H135" s="185"/>
    </row>
    <row r="136" spans="1:8" s="210" customFormat="1" ht="15" customHeight="1">
      <c r="A136" s="104"/>
      <c r="B136" s="104"/>
      <c r="C136" s="104" t="s">
        <v>53</v>
      </c>
      <c r="D136" s="340">
        <f>Input!E81</f>
        <v>0.85</v>
      </c>
      <c r="E136" s="104"/>
      <c r="F136" s="104" t="s">
        <v>422</v>
      </c>
      <c r="G136" s="104"/>
      <c r="H136" s="185"/>
    </row>
    <row r="137" spans="1:8" s="210" customFormat="1" ht="15" customHeight="1">
      <c r="A137" s="104"/>
      <c r="B137" s="104"/>
      <c r="C137" s="300" t="s">
        <v>53</v>
      </c>
      <c r="D137" s="341">
        <f>Input!E45</f>
        <v>165</v>
      </c>
      <c r="E137" s="104"/>
      <c r="F137" s="104" t="s">
        <v>423</v>
      </c>
      <c r="G137" s="104"/>
      <c r="H137" s="185"/>
    </row>
    <row r="138" spans="1:8" s="210" customFormat="1" ht="15" customHeight="1">
      <c r="A138" s="104"/>
      <c r="B138" s="104"/>
      <c r="C138" s="104"/>
      <c r="D138" s="340">
        <f>IF(D137="ERROR","ERROR",ROUND(((D132/D133)*D134*D135*D136*D137),2))</f>
        <v>1121.27</v>
      </c>
      <c r="E138" s="104"/>
      <c r="F138" s="104" t="s">
        <v>192</v>
      </c>
      <c r="G138" s="104"/>
      <c r="H138" s="185"/>
    </row>
    <row r="139" spans="1:8" s="210" customFormat="1" ht="15" customHeight="1">
      <c r="A139" s="104"/>
      <c r="B139" s="104"/>
      <c r="C139" s="333" t="s">
        <v>55</v>
      </c>
      <c r="D139" s="342">
        <f>Input!E13</f>
        <v>100</v>
      </c>
      <c r="E139" s="333"/>
      <c r="F139" s="333" t="s">
        <v>60</v>
      </c>
      <c r="G139" s="104"/>
      <c r="H139" s="185"/>
    </row>
    <row r="140" spans="1:8" s="210" customFormat="1" ht="15" customHeight="1">
      <c r="A140" s="104"/>
      <c r="B140" s="104"/>
      <c r="C140" s="104" t="s">
        <v>56</v>
      </c>
      <c r="D140" s="343">
        <f>IF(D137="ERROR","ERROR",SUM(D138/D139))</f>
        <v>11.2127</v>
      </c>
      <c r="E140" s="104"/>
      <c r="F140" s="104" t="s">
        <v>57</v>
      </c>
      <c r="G140" s="104"/>
      <c r="H140" s="185"/>
    </row>
    <row r="141" spans="2:8" s="210" customFormat="1" ht="15" customHeight="1">
      <c r="B141" s="104" t="s">
        <v>424</v>
      </c>
      <c r="C141" s="104"/>
      <c r="D141" s="340"/>
      <c r="E141" s="104"/>
      <c r="F141" s="104"/>
      <c r="G141" s="104"/>
      <c r="H141" s="104"/>
    </row>
    <row r="142" spans="1:8" s="210" customFormat="1" ht="15" customHeight="1">
      <c r="A142" s="104"/>
      <c r="B142" s="104"/>
      <c r="C142" s="104"/>
      <c r="D142" s="344">
        <f>Input!D158</f>
        <v>123000</v>
      </c>
      <c r="E142" s="104"/>
      <c r="F142" s="104" t="s">
        <v>425</v>
      </c>
      <c r="G142" s="104"/>
      <c r="H142" s="185"/>
    </row>
    <row r="143" spans="1:8" s="210" customFormat="1" ht="15" customHeight="1">
      <c r="A143" s="104"/>
      <c r="B143" s="104"/>
      <c r="C143" s="300" t="s">
        <v>53</v>
      </c>
      <c r="D143" s="345">
        <f>Input!E83</f>
        <v>1</v>
      </c>
      <c r="E143" s="104"/>
      <c r="F143" s="104" t="s">
        <v>426</v>
      </c>
      <c r="G143" s="104"/>
      <c r="H143" s="185"/>
    </row>
    <row r="144" spans="1:8" s="210" customFormat="1" ht="15" customHeight="1">
      <c r="A144" s="104"/>
      <c r="B144" s="104"/>
      <c r="C144" s="104" t="s">
        <v>56</v>
      </c>
      <c r="D144" s="340">
        <f>SUM(D142*(D143/100))</f>
        <v>1230</v>
      </c>
      <c r="E144" s="104"/>
      <c r="F144" s="104" t="s">
        <v>427</v>
      </c>
      <c r="G144" s="104"/>
      <c r="H144" s="185"/>
    </row>
    <row r="145" spans="1:8" s="210" customFormat="1" ht="15" customHeight="1">
      <c r="A145" s="104"/>
      <c r="B145" s="104"/>
      <c r="C145" s="333" t="s">
        <v>55</v>
      </c>
      <c r="D145" s="342">
        <f>Input!E13</f>
        <v>100</v>
      </c>
      <c r="E145" s="333"/>
      <c r="F145" s="333" t="s">
        <v>60</v>
      </c>
      <c r="G145" s="104"/>
      <c r="H145" s="185"/>
    </row>
    <row r="146" spans="1:8" s="210" customFormat="1" ht="15" customHeight="1">
      <c r="A146" s="104"/>
      <c r="B146" s="104"/>
      <c r="C146" s="104" t="s">
        <v>56</v>
      </c>
      <c r="D146" s="343">
        <f>SUM(D144/D145)</f>
        <v>12.3</v>
      </c>
      <c r="E146" s="104"/>
      <c r="F146" s="104" t="s">
        <v>57</v>
      </c>
      <c r="G146" s="104"/>
      <c r="H146" s="185"/>
    </row>
    <row r="147" spans="2:8" s="210" customFormat="1" ht="15" customHeight="1">
      <c r="B147" s="104" t="s">
        <v>430</v>
      </c>
      <c r="C147" s="104"/>
      <c r="D147" s="340"/>
      <c r="E147" s="104"/>
      <c r="F147" s="104"/>
      <c r="G147" s="104"/>
      <c r="H147" s="104"/>
    </row>
    <row r="148" spans="1:8" s="210" customFormat="1" ht="15" customHeight="1">
      <c r="A148" s="104"/>
      <c r="B148" s="104"/>
      <c r="C148" s="104"/>
      <c r="D148" s="344">
        <f>Input!D150+Input!D164</f>
        <v>126670</v>
      </c>
      <c r="E148" s="104"/>
      <c r="F148" s="104" t="s">
        <v>428</v>
      </c>
      <c r="G148" s="104"/>
      <c r="H148" s="185"/>
    </row>
    <row r="149" spans="1:8" s="210" customFormat="1" ht="15" customHeight="1">
      <c r="A149" s="104"/>
      <c r="B149" s="104"/>
      <c r="C149" s="300" t="s">
        <v>53</v>
      </c>
      <c r="D149" s="345">
        <f>Input!E84</f>
        <v>2</v>
      </c>
      <c r="E149" s="104"/>
      <c r="F149" s="104" t="s">
        <v>426</v>
      </c>
      <c r="G149" s="104"/>
      <c r="H149" s="185"/>
    </row>
    <row r="150" spans="1:8" s="210" customFormat="1" ht="15" customHeight="1">
      <c r="A150" s="104"/>
      <c r="B150" s="104"/>
      <c r="C150" s="104" t="s">
        <v>56</v>
      </c>
      <c r="D150" s="340">
        <f>SUM(D148*(D149/100))</f>
        <v>2533.4</v>
      </c>
      <c r="E150" s="104"/>
      <c r="F150" s="104" t="s">
        <v>427</v>
      </c>
      <c r="G150" s="104"/>
      <c r="H150" s="185"/>
    </row>
    <row r="151" spans="1:8" s="210" customFormat="1" ht="15" customHeight="1">
      <c r="A151" s="104"/>
      <c r="B151" s="104"/>
      <c r="C151" s="333" t="s">
        <v>55</v>
      </c>
      <c r="D151" s="342">
        <f>Input!E13</f>
        <v>100</v>
      </c>
      <c r="E151" s="333"/>
      <c r="F151" s="333" t="s">
        <v>60</v>
      </c>
      <c r="G151" s="104"/>
      <c r="H151" s="185"/>
    </row>
    <row r="152" spans="1:8" s="210" customFormat="1" ht="15" customHeight="1">
      <c r="A152" s="104"/>
      <c r="B152" s="104"/>
      <c r="C152" s="104" t="s">
        <v>56</v>
      </c>
      <c r="D152" s="343">
        <f>SUM(D150/D151)</f>
        <v>25.334</v>
      </c>
      <c r="E152" s="104"/>
      <c r="F152" s="104" t="s">
        <v>57</v>
      </c>
      <c r="G152" s="104"/>
      <c r="H152" s="185"/>
    </row>
    <row r="153" spans="1:8" s="210" customFormat="1" ht="15" customHeight="1">
      <c r="A153" s="104"/>
      <c r="B153" s="104"/>
      <c r="C153" s="104"/>
      <c r="D153" s="340"/>
      <c r="E153" s="104"/>
      <c r="F153" s="104"/>
      <c r="G153" s="104"/>
      <c r="H153" s="104"/>
    </row>
    <row r="154" spans="1:8" s="210" customFormat="1" ht="15" customHeight="1">
      <c r="A154" s="92"/>
      <c r="B154" s="16" t="s">
        <v>61</v>
      </c>
      <c r="C154" s="16" t="s">
        <v>56</v>
      </c>
      <c r="D154" s="275">
        <f>SUM(D152+D146+D140)</f>
        <v>48.8467</v>
      </c>
      <c r="E154" s="16"/>
      <c r="F154" s="16" t="s">
        <v>57</v>
      </c>
      <c r="G154" s="16"/>
      <c r="H154" s="185"/>
    </row>
    <row r="156" ht="15.75">
      <c r="A156" s="16" t="s">
        <v>82</v>
      </c>
    </row>
    <row r="157" spans="4:8" ht="15">
      <c r="D157" s="45">
        <f>SUM(Input!E91:E93)</f>
        <v>1076.5929999999998</v>
      </c>
      <c r="F157" s="5" t="s">
        <v>193</v>
      </c>
      <c r="H157" s="13"/>
    </row>
    <row r="158" spans="3:8" ht="15">
      <c r="C158" s="22" t="s">
        <v>55</v>
      </c>
      <c r="D158" s="24">
        <f>Input!E13</f>
        <v>100</v>
      </c>
      <c r="E158" s="14"/>
      <c r="F158" s="14" t="s">
        <v>60</v>
      </c>
      <c r="H158" s="13"/>
    </row>
    <row r="159" spans="3:8" ht="15.75">
      <c r="C159" s="26" t="s">
        <v>56</v>
      </c>
      <c r="D159" s="41">
        <f>ROUND(D157/D158,2)</f>
        <v>10.77</v>
      </c>
      <c r="E159" s="16"/>
      <c r="F159" s="16" t="s">
        <v>57</v>
      </c>
      <c r="H159" s="13"/>
    </row>
    <row r="161" ht="15.75">
      <c r="A161" s="16" t="s">
        <v>225</v>
      </c>
    </row>
    <row r="162" spans="1:8" s="210" customFormat="1" ht="15" customHeight="1">
      <c r="A162" s="92" t="s">
        <v>452</v>
      </c>
      <c r="C162" s="92"/>
      <c r="D162" s="92"/>
      <c r="E162" s="92"/>
      <c r="F162" s="92"/>
      <c r="G162" s="92"/>
      <c r="H162" s="92"/>
    </row>
    <row r="163" spans="1:8" s="210" customFormat="1" ht="15" customHeight="1">
      <c r="A163" s="92"/>
      <c r="B163" s="92" t="s">
        <v>436</v>
      </c>
      <c r="C163" s="92"/>
      <c r="D163" s="353">
        <f>ROUND(Input!E13*Input!E15/100,0)</f>
        <v>88</v>
      </c>
      <c r="E163" s="92"/>
      <c r="F163" s="92" t="s">
        <v>437</v>
      </c>
      <c r="G163" s="92"/>
      <c r="H163" s="185"/>
    </row>
    <row r="164" spans="1:8" s="210" customFormat="1" ht="15" customHeight="1">
      <c r="A164" s="92"/>
      <c r="B164" s="92"/>
      <c r="C164" s="92" t="s">
        <v>53</v>
      </c>
      <c r="D164" s="354">
        <f>Input!E20</f>
        <v>463</v>
      </c>
      <c r="E164" s="92"/>
      <c r="F164" s="92" t="s">
        <v>438</v>
      </c>
      <c r="G164" s="92"/>
      <c r="H164" s="185"/>
    </row>
    <row r="165" spans="1:8" s="210" customFormat="1" ht="15" customHeight="1">
      <c r="A165" s="92"/>
      <c r="B165" s="92"/>
      <c r="C165" s="92" t="s">
        <v>53</v>
      </c>
      <c r="D165" s="355">
        <f>Input!E100</f>
        <v>1.7</v>
      </c>
      <c r="E165" s="92"/>
      <c r="F165" s="92" t="s">
        <v>439</v>
      </c>
      <c r="G165" s="92"/>
      <c r="H165" s="185"/>
    </row>
    <row r="166" spans="1:8" s="210" customFormat="1" ht="15" customHeight="1">
      <c r="A166" s="92"/>
      <c r="B166" s="92"/>
      <c r="C166" s="92" t="s">
        <v>55</v>
      </c>
      <c r="D166" s="354">
        <v>100</v>
      </c>
      <c r="E166" s="92"/>
      <c r="F166" s="92" t="s">
        <v>440</v>
      </c>
      <c r="G166" s="92"/>
      <c r="H166" s="185"/>
    </row>
    <row r="167" spans="1:8" s="210" customFormat="1" ht="15" customHeight="1">
      <c r="A167" s="92"/>
      <c r="B167" s="92"/>
      <c r="C167" s="14" t="s">
        <v>55</v>
      </c>
      <c r="D167" s="356">
        <f>Input!E13</f>
        <v>100</v>
      </c>
      <c r="E167" s="14"/>
      <c r="F167" s="14" t="s">
        <v>60</v>
      </c>
      <c r="G167" s="92"/>
      <c r="H167" s="185"/>
    </row>
    <row r="168" spans="1:8" s="210" customFormat="1" ht="15" customHeight="1">
      <c r="A168" s="92"/>
      <c r="B168" s="92"/>
      <c r="C168" s="92" t="s">
        <v>56</v>
      </c>
      <c r="D168" s="355">
        <f>ROUND(((D163*D164)*D165/D166)/D167,2)</f>
        <v>6.93</v>
      </c>
      <c r="E168" s="92"/>
      <c r="F168" s="92" t="s">
        <v>57</v>
      </c>
      <c r="G168" s="92"/>
      <c r="H168" s="185"/>
    </row>
    <row r="169" spans="1:8" s="210" customFormat="1" ht="15" customHeight="1">
      <c r="A169" s="92"/>
      <c r="C169" s="92"/>
      <c r="D169" s="92"/>
      <c r="E169" s="92"/>
      <c r="F169" s="92"/>
      <c r="G169" s="92"/>
      <c r="H169" s="92"/>
    </row>
    <row r="170" spans="1:8" s="210" customFormat="1" ht="15" customHeight="1">
      <c r="A170" s="92"/>
      <c r="B170" s="92" t="s">
        <v>441</v>
      </c>
      <c r="C170" s="92"/>
      <c r="D170" s="354">
        <f>Input!E13*Input!E22/100</f>
        <v>5</v>
      </c>
      <c r="E170" s="92"/>
      <c r="F170" s="92" t="s">
        <v>442</v>
      </c>
      <c r="G170" s="92"/>
      <c r="H170" s="185"/>
    </row>
    <row r="171" spans="1:8" s="210" customFormat="1" ht="15" customHeight="1">
      <c r="A171" s="92"/>
      <c r="B171" s="92"/>
      <c r="C171" s="92" t="s">
        <v>90</v>
      </c>
      <c r="D171" s="354">
        <f>ROUND(Input!E13*Input!E24/100,0)</f>
        <v>2</v>
      </c>
      <c r="E171" s="92"/>
      <c r="F171" s="92" t="s">
        <v>443</v>
      </c>
      <c r="G171" s="92"/>
      <c r="H171" s="185"/>
    </row>
    <row r="172" spans="1:8" s="210" customFormat="1" ht="15" customHeight="1">
      <c r="A172" s="92"/>
      <c r="B172" s="92"/>
      <c r="C172" s="92" t="s">
        <v>53</v>
      </c>
      <c r="D172" s="354">
        <f>Input!E98</f>
        <v>925</v>
      </c>
      <c r="E172" s="92"/>
      <c r="F172" s="92" t="s">
        <v>444</v>
      </c>
      <c r="G172" s="92"/>
      <c r="H172" s="185"/>
    </row>
    <row r="173" spans="1:8" s="210" customFormat="1" ht="15" customHeight="1">
      <c r="A173" s="92"/>
      <c r="B173" s="92"/>
      <c r="C173" s="92" t="s">
        <v>53</v>
      </c>
      <c r="D173" s="355">
        <f>Input!E100</f>
        <v>1.7</v>
      </c>
      <c r="E173" s="92"/>
      <c r="F173" s="92" t="s">
        <v>439</v>
      </c>
      <c r="G173" s="92"/>
      <c r="H173" s="185"/>
    </row>
    <row r="174" spans="1:8" s="210" customFormat="1" ht="15" customHeight="1">
      <c r="A174" s="92"/>
      <c r="B174" s="92"/>
      <c r="C174" s="92" t="s">
        <v>55</v>
      </c>
      <c r="D174" s="354">
        <v>100</v>
      </c>
      <c r="E174" s="92"/>
      <c r="F174" s="92" t="s">
        <v>440</v>
      </c>
      <c r="G174" s="92"/>
      <c r="H174" s="185"/>
    </row>
    <row r="175" spans="1:8" s="210" customFormat="1" ht="15" customHeight="1">
      <c r="A175" s="92"/>
      <c r="B175" s="92"/>
      <c r="C175" s="14" t="s">
        <v>55</v>
      </c>
      <c r="D175" s="356">
        <f>Input!E13</f>
        <v>100</v>
      </c>
      <c r="E175" s="14"/>
      <c r="F175" s="14" t="s">
        <v>60</v>
      </c>
      <c r="G175" s="92"/>
      <c r="H175" s="185"/>
    </row>
    <row r="176" spans="1:8" s="210" customFormat="1" ht="15" customHeight="1">
      <c r="A176" s="92"/>
      <c r="B176" s="92"/>
      <c r="C176" s="92" t="s">
        <v>56</v>
      </c>
      <c r="D176" s="355">
        <f>ROUND((((D170-D171)*D172*D173)/D174)/D175,2)</f>
        <v>0.47</v>
      </c>
      <c r="E176" s="92"/>
      <c r="F176" s="92" t="s">
        <v>57</v>
      </c>
      <c r="G176" s="92"/>
      <c r="H176" s="185"/>
    </row>
    <row r="177" spans="1:8" s="210" customFormat="1" ht="15" customHeight="1">
      <c r="A177" s="92"/>
      <c r="B177" s="92"/>
      <c r="C177" s="92"/>
      <c r="D177" s="355"/>
      <c r="E177" s="92"/>
      <c r="F177" s="92"/>
      <c r="G177" s="92"/>
      <c r="H177" s="185"/>
    </row>
    <row r="178" spans="1:8" s="210" customFormat="1" ht="15" customHeight="1">
      <c r="A178" s="92"/>
      <c r="B178" s="92" t="s">
        <v>475</v>
      </c>
      <c r="C178" s="92"/>
      <c r="D178" s="354">
        <f>Input!E14*Input!E23/100</f>
        <v>0.6</v>
      </c>
      <c r="E178" s="92"/>
      <c r="F178" s="92" t="s">
        <v>476</v>
      </c>
      <c r="G178" s="92"/>
      <c r="H178" s="185"/>
    </row>
    <row r="179" spans="1:8" s="210" customFormat="1" ht="15" customHeight="1">
      <c r="A179" s="92"/>
      <c r="B179" s="92"/>
      <c r="C179" s="92" t="s">
        <v>53</v>
      </c>
      <c r="D179" s="354">
        <f>Input!E99</f>
        <v>1350</v>
      </c>
      <c r="E179" s="92"/>
      <c r="F179" s="92" t="s">
        <v>477</v>
      </c>
      <c r="G179" s="92"/>
      <c r="H179" s="185"/>
    </row>
    <row r="180" spans="1:8" s="210" customFormat="1" ht="15" customHeight="1">
      <c r="A180" s="92"/>
      <c r="B180" s="92"/>
      <c r="C180" s="92" t="s">
        <v>53</v>
      </c>
      <c r="D180" s="355">
        <f>Input!E100</f>
        <v>1.7</v>
      </c>
      <c r="E180" s="92"/>
      <c r="F180" s="92" t="s">
        <v>439</v>
      </c>
      <c r="G180" s="92"/>
      <c r="H180" s="185"/>
    </row>
    <row r="181" spans="1:8" s="210" customFormat="1" ht="15" customHeight="1">
      <c r="A181" s="92"/>
      <c r="B181" s="92"/>
      <c r="C181" s="92" t="s">
        <v>55</v>
      </c>
      <c r="D181" s="354">
        <v>100</v>
      </c>
      <c r="E181" s="92"/>
      <c r="F181" s="92" t="s">
        <v>440</v>
      </c>
      <c r="G181" s="92"/>
      <c r="H181" s="185"/>
    </row>
    <row r="182" spans="1:8" s="210" customFormat="1" ht="15" customHeight="1">
      <c r="A182" s="92"/>
      <c r="B182" s="92"/>
      <c r="C182" s="14" t="s">
        <v>55</v>
      </c>
      <c r="D182" s="356">
        <f>Input!E13</f>
        <v>100</v>
      </c>
      <c r="E182" s="14"/>
      <c r="F182" s="14" t="s">
        <v>60</v>
      </c>
      <c r="G182" s="92"/>
      <c r="H182" s="185"/>
    </row>
    <row r="183" spans="1:8" s="210" customFormat="1" ht="15" customHeight="1">
      <c r="A183" s="92"/>
      <c r="B183" s="92"/>
      <c r="C183" s="92" t="s">
        <v>56</v>
      </c>
      <c r="D183" s="355">
        <f>ROUND((((D178)*D179*D180)/D181)/D182,2)</f>
        <v>0.14</v>
      </c>
      <c r="E183" s="92"/>
      <c r="F183" s="92" t="s">
        <v>57</v>
      </c>
      <c r="G183" s="92"/>
      <c r="H183" s="185"/>
    </row>
    <row r="184" spans="1:8" s="210" customFormat="1" ht="15" customHeight="1">
      <c r="A184" s="92"/>
      <c r="B184" s="92"/>
      <c r="C184" s="92"/>
      <c r="D184" s="92"/>
      <c r="E184" s="92"/>
      <c r="F184" s="92"/>
      <c r="G184" s="92"/>
      <c r="H184" s="92"/>
    </row>
    <row r="185" spans="1:8" s="210" customFormat="1" ht="15" customHeight="1">
      <c r="A185" s="92" t="s">
        <v>453</v>
      </c>
      <c r="B185" s="92"/>
      <c r="C185" s="92"/>
      <c r="D185" s="92"/>
      <c r="E185" s="92"/>
      <c r="F185" s="92"/>
      <c r="G185" s="92"/>
      <c r="H185" s="92"/>
    </row>
    <row r="186" spans="1:8" s="210" customFormat="1" ht="15" customHeight="1">
      <c r="A186" s="92"/>
      <c r="B186" s="92" t="s">
        <v>436</v>
      </c>
      <c r="C186" s="92"/>
      <c r="D186" s="357">
        <f>Input!E104</f>
        <v>16</v>
      </c>
      <c r="E186" s="108"/>
      <c r="F186" s="108" t="s">
        <v>445</v>
      </c>
      <c r="G186" s="92"/>
      <c r="H186" s="185"/>
    </row>
    <row r="187" spans="1:8" s="210" customFormat="1" ht="15" customHeight="1">
      <c r="A187" s="92"/>
      <c r="B187" s="92"/>
      <c r="C187" s="92" t="s">
        <v>53</v>
      </c>
      <c r="D187" s="353">
        <f>D163</f>
        <v>88</v>
      </c>
      <c r="E187" s="92"/>
      <c r="F187" s="92" t="s">
        <v>437</v>
      </c>
      <c r="G187" s="92"/>
      <c r="H187" s="185"/>
    </row>
    <row r="188" spans="1:8" s="210" customFormat="1" ht="15" customHeight="1">
      <c r="A188" s="92"/>
      <c r="B188" s="92"/>
      <c r="C188" s="14" t="s">
        <v>55</v>
      </c>
      <c r="D188" s="356">
        <f>Input!E13</f>
        <v>100</v>
      </c>
      <c r="E188" s="170"/>
      <c r="F188" s="170" t="s">
        <v>60</v>
      </c>
      <c r="G188" s="92"/>
      <c r="H188" s="185"/>
    </row>
    <row r="189" spans="1:8" s="210" customFormat="1" ht="15" customHeight="1">
      <c r="A189" s="92"/>
      <c r="B189" s="92"/>
      <c r="C189" s="92" t="s">
        <v>56</v>
      </c>
      <c r="D189" s="355">
        <f>((D186)*D187)/D188</f>
        <v>14.08</v>
      </c>
      <c r="E189" s="92"/>
      <c r="F189" s="92" t="s">
        <v>57</v>
      </c>
      <c r="G189" s="92"/>
      <c r="H189" s="185"/>
    </row>
    <row r="190" spans="1:8" s="210" customFormat="1" ht="15" customHeight="1">
      <c r="A190" s="92"/>
      <c r="B190" s="92"/>
      <c r="C190" s="92"/>
      <c r="D190" s="92"/>
      <c r="E190" s="92"/>
      <c r="F190" s="92"/>
      <c r="G190" s="92"/>
      <c r="H190" s="92"/>
    </row>
    <row r="191" spans="1:8" s="210" customFormat="1" ht="15" customHeight="1">
      <c r="A191" s="92"/>
      <c r="B191" s="92" t="s">
        <v>441</v>
      </c>
      <c r="C191" s="92"/>
      <c r="D191" s="355">
        <f>Input!E102+Input!E103</f>
        <v>19.75</v>
      </c>
      <c r="E191" s="92"/>
      <c r="F191" s="108" t="s">
        <v>445</v>
      </c>
      <c r="G191" s="92"/>
      <c r="H191" s="185"/>
    </row>
    <row r="192" spans="1:8" s="210" customFormat="1" ht="15" customHeight="1">
      <c r="A192" s="92"/>
      <c r="B192" s="92"/>
      <c r="C192" s="92" t="s">
        <v>53</v>
      </c>
      <c r="D192" s="358">
        <f>D170</f>
        <v>5</v>
      </c>
      <c r="E192" s="92"/>
      <c r="F192" s="92" t="s">
        <v>442</v>
      </c>
      <c r="G192" s="92"/>
      <c r="H192" s="185"/>
    </row>
    <row r="193" spans="1:8" s="210" customFormat="1" ht="15" customHeight="1">
      <c r="A193" s="92"/>
      <c r="B193" s="92"/>
      <c r="C193" s="14" t="s">
        <v>55</v>
      </c>
      <c r="D193" s="356">
        <f>Input!E13</f>
        <v>100</v>
      </c>
      <c r="E193" s="14"/>
      <c r="F193" s="14" t="s">
        <v>60</v>
      </c>
      <c r="G193" s="92"/>
      <c r="H193" s="185"/>
    </row>
    <row r="194" spans="1:8" s="210" customFormat="1" ht="15" customHeight="1">
      <c r="A194" s="92"/>
      <c r="B194" s="92"/>
      <c r="C194" s="92" t="s">
        <v>56</v>
      </c>
      <c r="D194" s="355">
        <f>((D191)*D192)/D193</f>
        <v>0.9875</v>
      </c>
      <c r="E194" s="92"/>
      <c r="F194" s="92" t="s">
        <v>57</v>
      </c>
      <c r="G194" s="92"/>
      <c r="H194" s="185"/>
    </row>
    <row r="195" spans="1:8" s="210" customFormat="1" ht="15" customHeight="1">
      <c r="A195" s="92"/>
      <c r="B195" s="92"/>
      <c r="C195" s="92"/>
      <c r="D195" s="355"/>
      <c r="E195" s="92"/>
      <c r="F195" s="92"/>
      <c r="G195" s="92"/>
      <c r="H195" s="161"/>
    </row>
    <row r="196" spans="2:8" s="309" customFormat="1" ht="15.75">
      <c r="B196" s="361"/>
      <c r="C196" s="362" t="s">
        <v>56</v>
      </c>
      <c r="D196" s="363">
        <f>ROUND(D194+D189+D176+D183+D168,2)</f>
        <v>22.61</v>
      </c>
      <c r="E196" s="361"/>
      <c r="F196" s="364" t="s">
        <v>57</v>
      </c>
      <c r="G196" s="361"/>
      <c r="H196" s="365"/>
    </row>
    <row r="197" spans="1:7" ht="15">
      <c r="A197" s="15"/>
      <c r="B197" s="15"/>
      <c r="C197" s="22"/>
      <c r="D197" s="15"/>
      <c r="E197" s="15"/>
      <c r="F197" s="15"/>
      <c r="G197" s="15"/>
    </row>
    <row r="198" ht="15.75">
      <c r="A198" s="16" t="s">
        <v>83</v>
      </c>
    </row>
    <row r="199" spans="2:8" ht="15">
      <c r="B199" s="5" t="s">
        <v>52</v>
      </c>
      <c r="D199" s="49">
        <f>Input!E119</f>
        <v>3800</v>
      </c>
      <c r="F199" s="5" t="s">
        <v>57</v>
      </c>
      <c r="H199" s="13"/>
    </row>
    <row r="200" spans="2:8" ht="15">
      <c r="B200" s="14"/>
      <c r="C200" s="22" t="s">
        <v>53</v>
      </c>
      <c r="D200" s="27">
        <f>Input!E24</f>
        <v>2</v>
      </c>
      <c r="E200" s="14"/>
      <c r="F200" s="5" t="s">
        <v>194</v>
      </c>
      <c r="G200" s="14"/>
      <c r="H200" s="13"/>
    </row>
    <row r="201" spans="3:8" ht="15">
      <c r="C201" s="22" t="s">
        <v>56</v>
      </c>
      <c r="D201" s="45">
        <f>ROUND(D199*D200/100,2)</f>
        <v>76</v>
      </c>
      <c r="E201" s="23"/>
      <c r="F201" s="23" t="s">
        <v>57</v>
      </c>
      <c r="H201" s="13"/>
    </row>
    <row r="203" spans="1:8" ht="15">
      <c r="A203" s="15"/>
      <c r="B203" s="5" t="s">
        <v>58</v>
      </c>
      <c r="C203" s="22"/>
      <c r="D203" s="49">
        <f>Input!E75</f>
        <v>7400</v>
      </c>
      <c r="E203" s="15"/>
      <c r="F203" s="5" t="s">
        <v>84</v>
      </c>
      <c r="G203" s="15"/>
      <c r="H203" s="13"/>
    </row>
    <row r="204" spans="1:8" ht="15">
      <c r="A204" s="15"/>
      <c r="B204" s="15"/>
      <c r="C204" s="21" t="s">
        <v>53</v>
      </c>
      <c r="D204" s="11">
        <f>Input!E24</f>
        <v>2</v>
      </c>
      <c r="E204" s="15"/>
      <c r="F204" s="5" t="s">
        <v>194</v>
      </c>
      <c r="G204" s="15"/>
      <c r="H204" s="13"/>
    </row>
    <row r="205" spans="1:8" ht="15">
      <c r="A205" s="15"/>
      <c r="B205" s="15"/>
      <c r="C205" s="21" t="s">
        <v>53</v>
      </c>
      <c r="D205" s="12">
        <f>Input!E14</f>
        <v>6</v>
      </c>
      <c r="E205" s="15"/>
      <c r="F205" s="15" t="s">
        <v>59</v>
      </c>
      <c r="G205" s="15"/>
      <c r="H205" s="13"/>
    </row>
    <row r="206" spans="1:8" ht="15">
      <c r="A206" s="15"/>
      <c r="B206" s="15"/>
      <c r="C206" s="22" t="s">
        <v>55</v>
      </c>
      <c r="D206" s="24">
        <f>Input!E13</f>
        <v>100</v>
      </c>
      <c r="E206" s="15"/>
      <c r="F206" s="14" t="s">
        <v>60</v>
      </c>
      <c r="G206" s="15"/>
      <c r="H206" s="13"/>
    </row>
    <row r="207" spans="1:8" ht="15.75">
      <c r="A207" s="15"/>
      <c r="B207" s="15"/>
      <c r="C207" s="22" t="s">
        <v>56</v>
      </c>
      <c r="D207" s="45">
        <f>ROUND(((D203*D204/100)*D205)/D206,2)</f>
        <v>8.88</v>
      </c>
      <c r="E207" s="15"/>
      <c r="F207" s="16" t="s">
        <v>57</v>
      </c>
      <c r="G207" s="15"/>
      <c r="H207" s="13"/>
    </row>
    <row r="208" spans="1:7" ht="15">
      <c r="A208" s="15"/>
      <c r="B208" s="15"/>
      <c r="C208" s="22"/>
      <c r="D208" s="15"/>
      <c r="E208" s="15"/>
      <c r="F208" s="15"/>
      <c r="G208" s="15"/>
    </row>
    <row r="209" spans="1:8" ht="15.75">
      <c r="A209" s="15"/>
      <c r="B209" s="16" t="s">
        <v>61</v>
      </c>
      <c r="C209" s="26"/>
      <c r="D209" s="41">
        <f>D201+D207</f>
        <v>84.88</v>
      </c>
      <c r="E209" s="15"/>
      <c r="F209" s="16" t="s">
        <v>57</v>
      </c>
      <c r="G209" s="15"/>
      <c r="H209" s="13"/>
    </row>
    <row r="210" spans="1:7" ht="15">
      <c r="A210" s="15"/>
      <c r="B210" s="15"/>
      <c r="C210" s="22"/>
      <c r="D210" s="15"/>
      <c r="E210" s="15"/>
      <c r="F210" s="15"/>
      <c r="G210" s="15"/>
    </row>
    <row r="211" ht="15.75">
      <c r="A211" s="16" t="s">
        <v>85</v>
      </c>
    </row>
    <row r="212" spans="4:8" ht="15">
      <c r="D212" s="49">
        <f>Input!D150</f>
        <v>63250</v>
      </c>
      <c r="F212" s="5" t="s">
        <v>240</v>
      </c>
      <c r="H212" s="13"/>
    </row>
    <row r="213" spans="3:8" ht="15">
      <c r="C213" s="21" t="s">
        <v>53</v>
      </c>
      <c r="D213" s="45">
        <f>Input!E112</f>
        <v>0.4</v>
      </c>
      <c r="F213" s="5" t="s">
        <v>195</v>
      </c>
      <c r="H213" s="13"/>
    </row>
    <row r="214" spans="3:8" ht="15">
      <c r="C214" s="21" t="s">
        <v>55</v>
      </c>
      <c r="D214" s="49">
        <v>100</v>
      </c>
      <c r="F214" s="5" t="s">
        <v>86</v>
      </c>
      <c r="H214" s="13"/>
    </row>
    <row r="215" spans="3:8" ht="15">
      <c r="C215" s="22" t="s">
        <v>55</v>
      </c>
      <c r="D215" s="24">
        <f>Input!E13</f>
        <v>100</v>
      </c>
      <c r="E215" s="14"/>
      <c r="F215" s="14" t="s">
        <v>60</v>
      </c>
      <c r="G215" s="14"/>
      <c r="H215" s="13"/>
    </row>
    <row r="216" spans="3:8" ht="15">
      <c r="C216" s="21" t="s">
        <v>56</v>
      </c>
      <c r="D216" s="45">
        <f>ROUND(D212*(D213/D214)/D215,2)</f>
        <v>2.53</v>
      </c>
      <c r="F216" s="5" t="s">
        <v>57</v>
      </c>
      <c r="H216" s="13"/>
    </row>
    <row r="218" spans="4:8" ht="15">
      <c r="D218" s="49">
        <f>Input!D169</f>
        <v>419400</v>
      </c>
      <c r="F218" s="5" t="s">
        <v>87</v>
      </c>
      <c r="H218" s="13"/>
    </row>
    <row r="219" spans="3:8" ht="15">
      <c r="C219" s="21" t="s">
        <v>55</v>
      </c>
      <c r="D219" s="49">
        <v>100</v>
      </c>
      <c r="F219" s="5" t="s">
        <v>86</v>
      </c>
      <c r="H219" s="13"/>
    </row>
    <row r="220" spans="3:8" ht="15">
      <c r="C220" s="21" t="s">
        <v>53</v>
      </c>
      <c r="D220" s="45">
        <f>Input!E111</f>
        <v>0.45</v>
      </c>
      <c r="F220" s="5" t="s">
        <v>88</v>
      </c>
      <c r="H220" s="13"/>
    </row>
    <row r="221" spans="3:8" ht="15">
      <c r="C221" s="21" t="s">
        <v>55</v>
      </c>
      <c r="D221" s="24">
        <f>Input!E13</f>
        <v>100</v>
      </c>
      <c r="F221" s="14" t="s">
        <v>60</v>
      </c>
      <c r="H221" s="13"/>
    </row>
    <row r="222" spans="3:8" ht="15">
      <c r="C222" s="21" t="s">
        <v>56</v>
      </c>
      <c r="D222" s="45">
        <f>((D218/D219)*D220)/D221</f>
        <v>18.873</v>
      </c>
      <c r="F222" s="5" t="s">
        <v>57</v>
      </c>
      <c r="H222" s="13"/>
    </row>
    <row r="224" spans="4:8" ht="15">
      <c r="D224" s="45">
        <f>Input!E113</f>
        <v>49</v>
      </c>
      <c r="F224" s="5" t="s">
        <v>241</v>
      </c>
      <c r="H224" s="13"/>
    </row>
    <row r="225" spans="3:8" ht="15">
      <c r="C225" s="22" t="s">
        <v>55</v>
      </c>
      <c r="D225" s="24">
        <f>Input!E13</f>
        <v>100</v>
      </c>
      <c r="E225" s="14"/>
      <c r="F225" s="14" t="s">
        <v>60</v>
      </c>
      <c r="H225" s="13"/>
    </row>
    <row r="226" spans="3:8" ht="15">
      <c r="C226" s="21" t="s">
        <v>56</v>
      </c>
      <c r="D226" s="45">
        <f>ROUND(D224/D225,2)</f>
        <v>0.49</v>
      </c>
      <c r="F226" s="5" t="s">
        <v>57</v>
      </c>
      <c r="H226" s="13"/>
    </row>
    <row r="227" ht="15">
      <c r="H227" s="13"/>
    </row>
    <row r="228" spans="2:8" ht="15.75">
      <c r="B228" s="16" t="s">
        <v>61</v>
      </c>
      <c r="C228" s="26" t="s">
        <v>56</v>
      </c>
      <c r="D228" s="41">
        <f>ROUND(D216+D222+D226,2)</f>
        <v>21.89</v>
      </c>
      <c r="E228" s="16"/>
      <c r="F228" s="16" t="s">
        <v>57</v>
      </c>
      <c r="H228" s="13"/>
    </row>
    <row r="230" ht="15.75">
      <c r="A230" s="16" t="s">
        <v>89</v>
      </c>
    </row>
    <row r="231" spans="2:8" ht="15">
      <c r="B231" s="5" t="s">
        <v>52</v>
      </c>
      <c r="D231" s="49">
        <f>Input!E119</f>
        <v>3800</v>
      </c>
      <c r="F231" s="5" t="s">
        <v>227</v>
      </c>
      <c r="H231" s="13"/>
    </row>
    <row r="232" spans="3:8" ht="15">
      <c r="C232" s="21" t="s">
        <v>90</v>
      </c>
      <c r="D232" s="49">
        <f>Input!E121</f>
        <v>2500</v>
      </c>
      <c r="F232" s="5" t="s">
        <v>91</v>
      </c>
      <c r="H232" s="13"/>
    </row>
    <row r="233" spans="2:8" ht="15">
      <c r="B233" s="14"/>
      <c r="C233" s="22" t="s">
        <v>53</v>
      </c>
      <c r="D233" s="27">
        <f>Input!E22</f>
        <v>5</v>
      </c>
      <c r="E233" s="14"/>
      <c r="F233" s="14" t="s">
        <v>92</v>
      </c>
      <c r="G233" s="14"/>
      <c r="H233" s="13"/>
    </row>
    <row r="234" spans="3:8" ht="15">
      <c r="C234" s="22" t="s">
        <v>56</v>
      </c>
      <c r="D234" s="45">
        <f>ROUND((D231-D232)*(D233/100),2)</f>
        <v>65</v>
      </c>
      <c r="E234" s="23"/>
      <c r="F234" s="23" t="s">
        <v>57</v>
      </c>
      <c r="H234" s="13"/>
    </row>
    <row r="236" spans="1:8" ht="15">
      <c r="A236" s="15"/>
      <c r="B236" s="15" t="s">
        <v>58</v>
      </c>
      <c r="C236" s="22"/>
      <c r="D236" s="49">
        <f>Input!E75</f>
        <v>7400</v>
      </c>
      <c r="E236" s="15"/>
      <c r="F236" s="15" t="s">
        <v>93</v>
      </c>
      <c r="G236" s="15"/>
      <c r="H236" s="13"/>
    </row>
    <row r="237" spans="1:8" ht="15">
      <c r="A237" s="15"/>
      <c r="B237" s="15"/>
      <c r="C237" s="21" t="s">
        <v>90</v>
      </c>
      <c r="D237" s="49">
        <f>Input!E76</f>
        <v>3860</v>
      </c>
      <c r="E237" s="15"/>
      <c r="F237" s="15" t="s">
        <v>94</v>
      </c>
      <c r="G237" s="15"/>
      <c r="H237" s="13"/>
    </row>
    <row r="238" spans="1:8" ht="15">
      <c r="A238" s="15"/>
      <c r="B238" s="15"/>
      <c r="C238" s="21" t="s">
        <v>53</v>
      </c>
      <c r="D238" s="11">
        <f>Input!E23</f>
        <v>10</v>
      </c>
      <c r="E238" s="15"/>
      <c r="F238" s="15" t="s">
        <v>92</v>
      </c>
      <c r="G238" s="15"/>
      <c r="H238" s="13"/>
    </row>
    <row r="239" spans="1:8" ht="15">
      <c r="A239" s="15"/>
      <c r="B239" s="15"/>
      <c r="C239" s="21" t="s">
        <v>53</v>
      </c>
      <c r="D239" s="12">
        <f>Input!E14</f>
        <v>6</v>
      </c>
      <c r="E239" s="15"/>
      <c r="F239" s="15" t="s">
        <v>95</v>
      </c>
      <c r="G239" s="15"/>
      <c r="H239" s="13"/>
    </row>
    <row r="240" spans="1:8" ht="15">
      <c r="A240" s="15"/>
      <c r="B240" s="15"/>
      <c r="C240" s="22" t="s">
        <v>55</v>
      </c>
      <c r="D240" s="24">
        <f>Input!E13</f>
        <v>100</v>
      </c>
      <c r="E240" s="15"/>
      <c r="F240" s="14" t="s">
        <v>60</v>
      </c>
      <c r="G240" s="15"/>
      <c r="H240" s="13"/>
    </row>
    <row r="241" spans="1:8" ht="15">
      <c r="A241" s="15"/>
      <c r="B241" s="15"/>
      <c r="C241" s="22" t="s">
        <v>56</v>
      </c>
      <c r="D241" s="45">
        <f>ROUND((((D236-D237)*(D238/100)*D239)/D240),2)</f>
        <v>21.24</v>
      </c>
      <c r="E241" s="15"/>
      <c r="F241" s="23" t="s">
        <v>57</v>
      </c>
      <c r="G241" s="15"/>
      <c r="H241" s="13"/>
    </row>
    <row r="242" spans="1:7" ht="15">
      <c r="A242" s="15"/>
      <c r="B242" s="15"/>
      <c r="C242" s="22"/>
      <c r="D242" s="15"/>
      <c r="E242" s="15"/>
      <c r="F242" s="15"/>
      <c r="G242" s="15"/>
    </row>
    <row r="243" spans="1:8" ht="15.75">
      <c r="A243" s="15"/>
      <c r="B243" s="16" t="s">
        <v>61</v>
      </c>
      <c r="C243" s="26"/>
      <c r="D243" s="41">
        <f>D234+D241</f>
        <v>86.24</v>
      </c>
      <c r="E243" s="16"/>
      <c r="F243" s="16" t="s">
        <v>57</v>
      </c>
      <c r="G243" s="15"/>
      <c r="H243" s="13"/>
    </row>
    <row r="244" spans="1:7" ht="15">
      <c r="A244" s="15"/>
      <c r="B244" s="15"/>
      <c r="C244" s="22"/>
      <c r="D244" s="15"/>
      <c r="E244" s="15"/>
      <c r="F244" s="15"/>
      <c r="G244" s="15"/>
    </row>
    <row r="245" ht="15.75">
      <c r="A245" s="16" t="s">
        <v>96</v>
      </c>
    </row>
    <row r="246" spans="4:8" ht="15">
      <c r="D246" s="50">
        <f>Input!E116</f>
        <v>900</v>
      </c>
      <c r="F246" s="5" t="s">
        <v>196</v>
      </c>
      <c r="H246" s="13"/>
    </row>
    <row r="247" spans="3:8" ht="15">
      <c r="C247" s="22" t="s">
        <v>55</v>
      </c>
      <c r="D247" s="24">
        <f>Input!E13</f>
        <v>100</v>
      </c>
      <c r="E247" s="14"/>
      <c r="F247" s="14" t="s">
        <v>60</v>
      </c>
      <c r="H247" s="13"/>
    </row>
    <row r="248" spans="3:8" ht="15.75">
      <c r="C248" s="26" t="s">
        <v>56</v>
      </c>
      <c r="D248" s="41">
        <f>ROUND(D246/D247,2)</f>
        <v>9</v>
      </c>
      <c r="E248" s="16"/>
      <c r="F248" s="16" t="s">
        <v>57</v>
      </c>
      <c r="H248" s="13"/>
    </row>
    <row r="250" ht="15.75">
      <c r="A250" s="16" t="s">
        <v>463</v>
      </c>
    </row>
    <row r="251" spans="4:8" ht="15">
      <c r="D251" s="12">
        <f>Input!E124</f>
        <v>5</v>
      </c>
      <c r="F251" s="5" t="s">
        <v>164</v>
      </c>
      <c r="H251" s="13"/>
    </row>
    <row r="252" spans="2:8" ht="15">
      <c r="B252" s="14"/>
      <c r="C252" s="22" t="s">
        <v>53</v>
      </c>
      <c r="D252" s="44">
        <f>Input!E126</f>
        <v>3.5</v>
      </c>
      <c r="E252" s="14"/>
      <c r="F252" s="34" t="s">
        <v>105</v>
      </c>
      <c r="G252" s="14"/>
      <c r="H252" s="13"/>
    </row>
    <row r="253" spans="3:8" ht="15.75">
      <c r="C253" s="377" t="s">
        <v>56</v>
      </c>
      <c r="D253" s="109">
        <f>D251*D252</f>
        <v>17.5</v>
      </c>
      <c r="E253" s="6"/>
      <c r="F253" s="6" t="s">
        <v>57</v>
      </c>
      <c r="H253" s="13"/>
    </row>
    <row r="255" ht="15.75">
      <c r="A255" s="16" t="s">
        <v>462</v>
      </c>
    </row>
    <row r="256" ht="15">
      <c r="A256" s="5" t="s">
        <v>226</v>
      </c>
    </row>
    <row r="257" spans="4:8" ht="15">
      <c r="D257" s="45">
        <f>Summary!F22</f>
        <v>618.14810625</v>
      </c>
      <c r="F257" s="5" t="s">
        <v>197</v>
      </c>
      <c r="H257" s="13"/>
    </row>
    <row r="258" spans="3:8" ht="15">
      <c r="C258" s="21" t="s">
        <v>55</v>
      </c>
      <c r="D258" s="12">
        <v>2</v>
      </c>
      <c r="F258" s="5" t="s">
        <v>97</v>
      </c>
      <c r="H258" s="13"/>
    </row>
    <row r="259" spans="3:8" ht="15">
      <c r="C259" s="22" t="s">
        <v>53</v>
      </c>
      <c r="D259" s="46">
        <f>Input!E107</f>
        <v>4.5</v>
      </c>
      <c r="E259" s="14"/>
      <c r="F259" s="14" t="s">
        <v>198</v>
      </c>
      <c r="H259" s="13"/>
    </row>
    <row r="260" spans="3:8" ht="15.75">
      <c r="C260" s="26" t="s">
        <v>56</v>
      </c>
      <c r="D260" s="41">
        <f>ROUND((D257/D258)*(D259/100),2)</f>
        <v>13.91</v>
      </c>
      <c r="E260" s="16"/>
      <c r="F260" s="16" t="s">
        <v>57</v>
      </c>
      <c r="H260" s="13"/>
    </row>
    <row r="262" spans="1:9" s="210" customFormat="1" ht="18.75" customHeight="1">
      <c r="A262" s="427" t="s">
        <v>145</v>
      </c>
      <c r="B262" s="447"/>
      <c r="C262" s="447"/>
      <c r="D262" s="447"/>
      <c r="E262" s="447"/>
      <c r="F262" s="447"/>
      <c r="G262" s="447"/>
      <c r="H262" s="447"/>
      <c r="I262" s="447"/>
    </row>
    <row r="264" spans="1:5" ht="15.75">
      <c r="A264" s="6" t="s">
        <v>29</v>
      </c>
      <c r="E264" s="370"/>
    </row>
    <row r="265" spans="1:8" ht="15.75">
      <c r="A265" s="101" t="s">
        <v>271</v>
      </c>
      <c r="C265" s="5"/>
      <c r="E265" s="371"/>
      <c r="F265" s="38">
        <f>Input!D137</f>
        <v>6000</v>
      </c>
      <c r="H265" s="13"/>
    </row>
    <row r="266" spans="1:8" ht="15.75">
      <c r="A266" s="101" t="s">
        <v>274</v>
      </c>
      <c r="C266" s="5"/>
      <c r="E266" s="371"/>
      <c r="F266" s="38">
        <f>Input!D138</f>
        <v>15000</v>
      </c>
      <c r="H266" s="13"/>
    </row>
    <row r="267" spans="1:8" ht="15.75">
      <c r="A267" s="5" t="s">
        <v>263</v>
      </c>
      <c r="C267" s="5"/>
      <c r="E267" s="368"/>
      <c r="F267" s="38">
        <f>Input!D139</f>
        <v>4000</v>
      </c>
      <c r="H267" s="13"/>
    </row>
    <row r="268" spans="1:8" ht="15.75">
      <c r="A268" s="5" t="s">
        <v>267</v>
      </c>
      <c r="C268" s="5"/>
      <c r="E268" s="368"/>
      <c r="F268" s="38">
        <f>Input!D140</f>
        <v>2400</v>
      </c>
      <c r="H268" s="13"/>
    </row>
    <row r="269" spans="1:8" ht="15.75">
      <c r="A269" s="101" t="s">
        <v>272</v>
      </c>
      <c r="C269" s="5"/>
      <c r="E269" s="371"/>
      <c r="F269" s="38">
        <f>Input!D141</f>
        <v>2500</v>
      </c>
      <c r="H269" s="13"/>
    </row>
    <row r="270" spans="1:8" ht="15.75">
      <c r="A270" s="101" t="s">
        <v>275</v>
      </c>
      <c r="C270" s="5"/>
      <c r="E270" s="371"/>
      <c r="F270" s="38">
        <f>Input!D142</f>
        <v>6000</v>
      </c>
      <c r="H270" s="13"/>
    </row>
    <row r="271" spans="1:8" ht="15.75">
      <c r="A271" s="101" t="s">
        <v>276</v>
      </c>
      <c r="C271" s="5"/>
      <c r="E271" s="371"/>
      <c r="F271" s="38">
        <f>Input!D143</f>
        <v>6000</v>
      </c>
      <c r="H271" s="13"/>
    </row>
    <row r="272" spans="1:6" ht="15.75">
      <c r="A272" s="5" t="s">
        <v>264</v>
      </c>
      <c r="C272" s="5"/>
      <c r="E272" s="368"/>
      <c r="F272" s="38">
        <f>Input!D144</f>
        <v>4000</v>
      </c>
    </row>
    <row r="273" spans="1:6" ht="15.75">
      <c r="A273" s="5" t="s">
        <v>265</v>
      </c>
      <c r="C273" s="5"/>
      <c r="E273" s="368"/>
      <c r="F273" s="38">
        <f>Input!D145</f>
        <v>3000</v>
      </c>
    </row>
    <row r="274" spans="1:8" ht="15.75">
      <c r="A274" s="5" t="s">
        <v>266</v>
      </c>
      <c r="C274" s="5"/>
      <c r="E274" s="368"/>
      <c r="F274" s="38">
        <f>Input!D146</f>
        <v>1450</v>
      </c>
      <c r="H274" s="13"/>
    </row>
    <row r="275" spans="1:8" ht="15.75">
      <c r="A275" s="5" t="s">
        <v>268</v>
      </c>
      <c r="C275" s="5"/>
      <c r="E275" s="368"/>
      <c r="F275" s="38">
        <f>Input!D147</f>
        <v>8000</v>
      </c>
      <c r="H275" s="13"/>
    </row>
    <row r="276" spans="1:8" ht="15.75">
      <c r="A276" s="5" t="s">
        <v>269</v>
      </c>
      <c r="C276" s="5"/>
      <c r="E276" s="368"/>
      <c r="F276" s="38">
        <f>Input!D148</f>
        <v>2400</v>
      </c>
      <c r="H276" s="13"/>
    </row>
    <row r="277" spans="1:6" ht="15.75">
      <c r="A277" s="5" t="s">
        <v>270</v>
      </c>
      <c r="C277" s="5"/>
      <c r="E277" s="369"/>
      <c r="F277" s="254">
        <f>Input!D149</f>
        <v>2500</v>
      </c>
    </row>
    <row r="278" spans="1:8" ht="15.75">
      <c r="A278" s="6" t="s">
        <v>148</v>
      </c>
      <c r="C278" s="5"/>
      <c r="E278" s="372"/>
      <c r="F278" s="367">
        <f>Input!D150</f>
        <v>63250</v>
      </c>
      <c r="H278" s="13"/>
    </row>
    <row r="279" spans="3:6" ht="15">
      <c r="C279" s="5"/>
      <c r="E279" s="370"/>
      <c r="F279" s="38"/>
    </row>
    <row r="280" spans="1:8" ht="15.75">
      <c r="A280" s="6" t="s">
        <v>30</v>
      </c>
      <c r="C280" s="5"/>
      <c r="E280" s="370"/>
      <c r="F280" s="38"/>
      <c r="H280" s="13"/>
    </row>
    <row r="281" spans="1:8" ht="15.75">
      <c r="A281" s="92" t="s">
        <v>277</v>
      </c>
      <c r="C281" s="5"/>
      <c r="E281" s="371"/>
      <c r="F281" s="38">
        <f>Input!D153</f>
        <v>36000</v>
      </c>
      <c r="H281" s="13"/>
    </row>
    <row r="282" spans="1:8" ht="15.75">
      <c r="A282" s="5" t="s">
        <v>259</v>
      </c>
      <c r="C282" s="5"/>
      <c r="E282" s="368"/>
      <c r="F282" s="38">
        <f>Input!D154</f>
        <v>10000</v>
      </c>
      <c r="H282" s="13"/>
    </row>
    <row r="283" spans="1:6" ht="15.75">
      <c r="A283" s="5" t="s">
        <v>260</v>
      </c>
      <c r="C283" s="5"/>
      <c r="E283" s="368"/>
      <c r="F283" s="38">
        <f>Input!D155</f>
        <v>22000</v>
      </c>
    </row>
    <row r="284" spans="1:6" ht="15.75">
      <c r="A284" s="5" t="s">
        <v>261</v>
      </c>
      <c r="C284" s="5"/>
      <c r="E284" s="368"/>
      <c r="F284" s="38">
        <f>Input!D156</f>
        <v>25000</v>
      </c>
    </row>
    <row r="285" spans="1:8" ht="15.75">
      <c r="A285" s="92" t="s">
        <v>262</v>
      </c>
      <c r="C285" s="5"/>
      <c r="E285" s="369"/>
      <c r="F285" s="254">
        <f>Input!D157</f>
        <v>30000</v>
      </c>
      <c r="H285" s="13"/>
    </row>
    <row r="286" spans="1:8" ht="15.75">
      <c r="A286" s="6" t="s">
        <v>149</v>
      </c>
      <c r="C286" s="5"/>
      <c r="E286" s="372"/>
      <c r="F286" s="367">
        <f>Input!D158</f>
        <v>123000</v>
      </c>
      <c r="H286" s="13"/>
    </row>
    <row r="287" spans="3:6" ht="15.75">
      <c r="C287" s="5"/>
      <c r="E287" s="373"/>
      <c r="F287" s="38"/>
    </row>
    <row r="288" spans="1:8" ht="15.75">
      <c r="A288" s="6" t="s">
        <v>206</v>
      </c>
      <c r="C288" s="5"/>
      <c r="E288" s="372"/>
      <c r="F288" s="367">
        <f>Input!D160</f>
        <v>312500</v>
      </c>
      <c r="H288" s="13"/>
    </row>
    <row r="289" spans="1:6" ht="15.75">
      <c r="A289" s="6" t="s">
        <v>204</v>
      </c>
      <c r="C289" s="5"/>
      <c r="E289" s="370"/>
      <c r="F289" s="38"/>
    </row>
    <row r="290" spans="1:6" ht="15">
      <c r="A290" s="5" t="s">
        <v>213</v>
      </c>
      <c r="C290" s="5"/>
      <c r="E290" s="374"/>
      <c r="F290" s="38">
        <f>Input!D162</f>
        <v>55500</v>
      </c>
    </row>
    <row r="291" spans="1:6" ht="15">
      <c r="A291" s="5" t="s">
        <v>214</v>
      </c>
      <c r="C291" s="5"/>
      <c r="E291" s="374"/>
      <c r="F291" s="254">
        <f>Input!D163</f>
        <v>7920</v>
      </c>
    </row>
    <row r="292" spans="1:6" ht="15.75">
      <c r="A292" s="6" t="s">
        <v>149</v>
      </c>
      <c r="C292" s="5"/>
      <c r="E292" s="372"/>
      <c r="F292" s="367">
        <f>Input!D164</f>
        <v>63420</v>
      </c>
    </row>
    <row r="293" spans="3:6" ht="15">
      <c r="C293" s="5"/>
      <c r="E293" s="370"/>
      <c r="F293" s="38"/>
    </row>
    <row r="294" spans="1:6" ht="15.75">
      <c r="A294" s="6" t="s">
        <v>150</v>
      </c>
      <c r="C294" s="5"/>
      <c r="E294" s="370"/>
      <c r="F294" s="38"/>
    </row>
    <row r="295" spans="1:6" ht="15">
      <c r="A295" s="5" t="s">
        <v>151</v>
      </c>
      <c r="C295" s="5"/>
      <c r="E295" s="375"/>
      <c r="F295" s="38">
        <f>Input!D167</f>
        <v>375000</v>
      </c>
    </row>
    <row r="296" spans="1:6" ht="15">
      <c r="A296" s="5" t="s">
        <v>152</v>
      </c>
      <c r="C296" s="5"/>
      <c r="E296" s="375"/>
      <c r="F296" s="254">
        <f>Input!D168</f>
        <v>44400</v>
      </c>
    </row>
    <row r="297" spans="1:6" ht="15.75">
      <c r="A297" s="6" t="s">
        <v>149</v>
      </c>
      <c r="C297" s="5"/>
      <c r="E297" s="372"/>
      <c r="F297" s="367">
        <f>Input!D169</f>
        <v>419400</v>
      </c>
    </row>
    <row r="298" spans="3:6" ht="15">
      <c r="C298" s="5"/>
      <c r="F298" s="38"/>
    </row>
    <row r="299" spans="1:6" ht="15.75">
      <c r="A299" s="19" t="s">
        <v>216</v>
      </c>
      <c r="C299" s="5"/>
      <c r="E299" s="75"/>
      <c r="F299" s="367">
        <f>Input!D171</f>
        <v>981570</v>
      </c>
    </row>
    <row r="301" ht="15.75">
      <c r="A301" s="16" t="s">
        <v>173</v>
      </c>
    </row>
    <row r="302" spans="1:6" ht="15.75">
      <c r="A302" s="16"/>
      <c r="D302" s="52"/>
      <c r="E302" s="53" t="s">
        <v>234</v>
      </c>
      <c r="F302" s="53"/>
    </row>
    <row r="303" spans="1:6" ht="15.75">
      <c r="A303" s="16"/>
      <c r="D303" s="52"/>
      <c r="E303" s="54" t="s">
        <v>235</v>
      </c>
      <c r="F303" s="54"/>
    </row>
    <row r="304" ht="15.75">
      <c r="A304" s="16"/>
    </row>
    <row r="305" ht="15.75">
      <c r="A305" s="16" t="s">
        <v>41</v>
      </c>
    </row>
    <row r="306" ht="15.75">
      <c r="A306" s="16" t="s">
        <v>98</v>
      </c>
    </row>
    <row r="307" spans="4:8" ht="15">
      <c r="D307" s="49">
        <f>Input!D150</f>
        <v>63250</v>
      </c>
      <c r="F307" s="5" t="s">
        <v>200</v>
      </c>
      <c r="H307" s="13"/>
    </row>
    <row r="308" spans="3:8" ht="15">
      <c r="C308" s="21" t="s">
        <v>90</v>
      </c>
      <c r="D308" s="49">
        <f>(Input!E137/100)*Input!D137</f>
        <v>0</v>
      </c>
      <c r="F308" s="5" t="s">
        <v>199</v>
      </c>
      <c r="H308" s="13"/>
    </row>
    <row r="309" spans="3:8" ht="15">
      <c r="C309" s="21" t="s">
        <v>55</v>
      </c>
      <c r="D309" s="12">
        <f>Input!G137</f>
        <v>20</v>
      </c>
      <c r="F309" s="5" t="s">
        <v>99</v>
      </c>
      <c r="H309" s="13"/>
    </row>
    <row r="310" spans="3:8" ht="15">
      <c r="C310" s="22" t="s">
        <v>55</v>
      </c>
      <c r="D310" s="24">
        <f>Input!E13</f>
        <v>100</v>
      </c>
      <c r="E310" s="14"/>
      <c r="F310" s="14" t="s">
        <v>60</v>
      </c>
      <c r="H310" s="13"/>
    </row>
    <row r="311" spans="3:8" ht="15.75">
      <c r="C311" s="26" t="s">
        <v>56</v>
      </c>
      <c r="D311" s="41">
        <f>ROUND(((D307-D308)/D309)/D310,2)</f>
        <v>31.63</v>
      </c>
      <c r="E311" s="16"/>
      <c r="F311" s="16" t="s">
        <v>57</v>
      </c>
      <c r="H311" s="13"/>
    </row>
    <row r="313" ht="15.75">
      <c r="A313" s="16" t="s">
        <v>100</v>
      </c>
    </row>
    <row r="314" spans="4:8" ht="15">
      <c r="D314" s="49">
        <f>Input!D158</f>
        <v>123000</v>
      </c>
      <c r="F314" s="5" t="s">
        <v>200</v>
      </c>
      <c r="H314" s="13"/>
    </row>
    <row r="315" spans="3:8" ht="15">
      <c r="C315" s="21" t="s">
        <v>90</v>
      </c>
      <c r="D315" s="49">
        <f>(Input!E153/100)*D314</f>
        <v>24600</v>
      </c>
      <c r="F315" s="5" t="s">
        <v>199</v>
      </c>
      <c r="H315" s="13"/>
    </row>
    <row r="316" spans="3:8" ht="15">
      <c r="C316" s="21" t="s">
        <v>55</v>
      </c>
      <c r="D316" s="12">
        <f>Input!G153</f>
        <v>10</v>
      </c>
      <c r="F316" s="5" t="s">
        <v>99</v>
      </c>
      <c r="H316" s="13"/>
    </row>
    <row r="317" spans="3:8" ht="15">
      <c r="C317" s="22" t="s">
        <v>55</v>
      </c>
      <c r="D317" s="24">
        <f>Input!E13</f>
        <v>100</v>
      </c>
      <c r="E317" s="14"/>
      <c r="F317" s="14" t="s">
        <v>60</v>
      </c>
      <c r="H317" s="13"/>
    </row>
    <row r="318" spans="3:8" ht="15.75">
      <c r="C318" s="377" t="s">
        <v>56</v>
      </c>
      <c r="D318" s="109">
        <f>ROUND((D314-D315)/D316/D317,2)</f>
        <v>98.4</v>
      </c>
      <c r="F318" s="6" t="s">
        <v>57</v>
      </c>
      <c r="H318" s="13"/>
    </row>
    <row r="320" ht="15.75">
      <c r="A320" s="16" t="s">
        <v>459</v>
      </c>
    </row>
    <row r="321" spans="4:8" ht="15">
      <c r="D321" s="49">
        <f>Input!D162</f>
        <v>55500</v>
      </c>
      <c r="F321" s="5" t="s">
        <v>106</v>
      </c>
      <c r="H321" s="13"/>
    </row>
    <row r="322" spans="3:8" ht="15">
      <c r="C322" s="21" t="s">
        <v>74</v>
      </c>
      <c r="D322" s="49">
        <f>Input!D163</f>
        <v>7920</v>
      </c>
      <c r="F322" s="5" t="s">
        <v>107</v>
      </c>
      <c r="H322" s="13"/>
    </row>
    <row r="323" spans="3:8" ht="15">
      <c r="C323" s="21" t="s">
        <v>56</v>
      </c>
      <c r="D323" s="49">
        <f>D321+D322</f>
        <v>63420</v>
      </c>
      <c r="F323" s="5" t="s">
        <v>108</v>
      </c>
      <c r="H323" s="13"/>
    </row>
    <row r="324" spans="3:8" ht="15">
      <c r="C324" s="21" t="s">
        <v>90</v>
      </c>
      <c r="D324" s="32">
        <f>D323*Input!E162/100</f>
        <v>0</v>
      </c>
      <c r="F324" s="5" t="s">
        <v>199</v>
      </c>
      <c r="H324" s="13"/>
    </row>
    <row r="325" spans="3:8" ht="15">
      <c r="C325" s="21" t="s">
        <v>55</v>
      </c>
      <c r="D325" s="12">
        <f>Input!G162</f>
        <v>20</v>
      </c>
      <c r="F325" s="5" t="s">
        <v>99</v>
      </c>
      <c r="H325" s="13"/>
    </row>
    <row r="326" spans="3:8" ht="15">
      <c r="C326" s="22" t="s">
        <v>55</v>
      </c>
      <c r="D326" s="24">
        <f>Input!E13</f>
        <v>100</v>
      </c>
      <c r="E326" s="14"/>
      <c r="F326" s="14" t="s">
        <v>60</v>
      </c>
      <c r="G326" s="14"/>
      <c r="H326" s="13"/>
    </row>
    <row r="327" spans="3:8" ht="15.75">
      <c r="C327" s="377" t="s">
        <v>56</v>
      </c>
      <c r="D327" s="380">
        <f>IF(ISERR(D328),0,ROUND(((D323-D324)/D325)/D326,2))</f>
        <v>31.71</v>
      </c>
      <c r="E327" s="6"/>
      <c r="F327" s="6" t="s">
        <v>57</v>
      </c>
      <c r="H327" s="13"/>
    </row>
    <row r="328" ht="15">
      <c r="D328" s="9"/>
    </row>
    <row r="329" ht="15.75">
      <c r="A329" s="16" t="s">
        <v>101</v>
      </c>
    </row>
    <row r="330" spans="1:7" ht="15.75">
      <c r="A330" s="16"/>
      <c r="D330" s="55" t="s">
        <v>236</v>
      </c>
      <c r="E330" s="56"/>
      <c r="F330" s="56"/>
      <c r="G330" s="56" t="s">
        <v>237</v>
      </c>
    </row>
    <row r="331" spans="1:8" ht="15.75">
      <c r="A331" s="16"/>
      <c r="D331" s="52"/>
      <c r="E331" s="57">
        <v>2</v>
      </c>
      <c r="F331" s="58"/>
      <c r="G331" s="58"/>
      <c r="H331" s="58"/>
    </row>
    <row r="332" ht="15.75">
      <c r="A332" s="16"/>
    </row>
    <row r="333" ht="15.75">
      <c r="A333" s="16" t="s">
        <v>205</v>
      </c>
    </row>
    <row r="334" spans="4:8" ht="15">
      <c r="D334" s="49">
        <f>D307</f>
        <v>63250</v>
      </c>
      <c r="F334" s="5" t="s">
        <v>201</v>
      </c>
      <c r="H334" s="13"/>
    </row>
    <row r="335" spans="3:8" ht="15">
      <c r="C335" s="21" t="s">
        <v>74</v>
      </c>
      <c r="D335" s="32">
        <f>D308</f>
        <v>0</v>
      </c>
      <c r="F335" s="5" t="s">
        <v>199</v>
      </c>
      <c r="H335" s="13"/>
    </row>
    <row r="336" spans="3:8" ht="15">
      <c r="C336" s="21" t="s">
        <v>55</v>
      </c>
      <c r="D336" s="12">
        <v>2</v>
      </c>
      <c r="F336" s="5" t="s">
        <v>97</v>
      </c>
      <c r="H336" s="13"/>
    </row>
    <row r="337" spans="3:8" ht="15">
      <c r="C337" s="21" t="s">
        <v>53</v>
      </c>
      <c r="D337" s="11">
        <f>Input!E106</f>
        <v>2.25</v>
      </c>
      <c r="F337" s="5" t="s">
        <v>202</v>
      </c>
      <c r="H337" s="13"/>
    </row>
    <row r="338" spans="3:8" ht="15">
      <c r="C338" s="22" t="s">
        <v>55</v>
      </c>
      <c r="D338" s="24">
        <f>Input!E13</f>
        <v>100</v>
      </c>
      <c r="E338" s="14"/>
      <c r="F338" s="14" t="s">
        <v>60</v>
      </c>
      <c r="H338" s="13"/>
    </row>
    <row r="339" spans="3:8" ht="15.75">
      <c r="C339" s="26" t="s">
        <v>56</v>
      </c>
      <c r="D339" s="41">
        <f>ROUND(((D334+D335)/D336*(D337/100))/D338,2)</f>
        <v>7.12</v>
      </c>
      <c r="E339" s="16"/>
      <c r="F339" s="16" t="s">
        <v>57</v>
      </c>
      <c r="H339" s="13"/>
    </row>
    <row r="341" ht="15.75">
      <c r="A341" s="16" t="s">
        <v>102</v>
      </c>
    </row>
    <row r="342" spans="4:8" ht="15">
      <c r="D342" s="49">
        <f>D314</f>
        <v>123000</v>
      </c>
      <c r="F342" s="5" t="s">
        <v>200</v>
      </c>
      <c r="H342" s="13"/>
    </row>
    <row r="343" spans="3:8" ht="15">
      <c r="C343" s="21" t="s">
        <v>74</v>
      </c>
      <c r="D343" s="49">
        <f>(Input!E153/100)*D342</f>
        <v>24600</v>
      </c>
      <c r="F343" s="5" t="s">
        <v>199</v>
      </c>
      <c r="H343" s="13"/>
    </row>
    <row r="344" spans="3:8" ht="15">
      <c r="C344" s="21" t="s">
        <v>55</v>
      </c>
      <c r="D344" s="12">
        <v>2</v>
      </c>
      <c r="F344" s="5" t="s">
        <v>97</v>
      </c>
      <c r="H344" s="13"/>
    </row>
    <row r="345" spans="3:8" ht="15">
      <c r="C345" s="21" t="s">
        <v>53</v>
      </c>
      <c r="D345" s="11">
        <f>Input!E106</f>
        <v>2.25</v>
      </c>
      <c r="F345" s="5" t="s">
        <v>202</v>
      </c>
      <c r="H345" s="13"/>
    </row>
    <row r="346" spans="3:8" ht="15">
      <c r="C346" s="22" t="s">
        <v>55</v>
      </c>
      <c r="D346" s="24">
        <f>Input!E13</f>
        <v>100</v>
      </c>
      <c r="E346" s="14"/>
      <c r="F346" s="14" t="s">
        <v>60</v>
      </c>
      <c r="H346" s="13"/>
    </row>
    <row r="347" spans="3:8" ht="15.75">
      <c r="C347" s="377" t="s">
        <v>56</v>
      </c>
      <c r="D347" s="378">
        <f>ROUND((((D342+D343)/D344)*(D345/100))/D346,2)</f>
        <v>16.61</v>
      </c>
      <c r="F347" s="6" t="s">
        <v>57</v>
      </c>
      <c r="H347" s="13"/>
    </row>
    <row r="349" ht="15.75">
      <c r="A349" s="16" t="s">
        <v>103</v>
      </c>
    </row>
    <row r="350" spans="2:8" ht="15">
      <c r="B350" s="5" t="s">
        <v>52</v>
      </c>
      <c r="D350" s="49">
        <f>Input!E120</f>
        <v>3750</v>
      </c>
      <c r="F350" s="5" t="s">
        <v>57</v>
      </c>
      <c r="H350" s="13"/>
    </row>
    <row r="351" spans="3:8" ht="15">
      <c r="C351" s="22" t="s">
        <v>53</v>
      </c>
      <c r="D351" s="27">
        <f>Input!E106</f>
        <v>2.25</v>
      </c>
      <c r="E351" s="14"/>
      <c r="F351" s="33" t="s">
        <v>202</v>
      </c>
      <c r="H351" s="13"/>
    </row>
    <row r="352" spans="3:8" ht="15">
      <c r="C352" s="22" t="s">
        <v>56</v>
      </c>
      <c r="D352" s="45">
        <f>ROUND(D350*(D351/100),2)</f>
        <v>84.38</v>
      </c>
      <c r="E352" s="23"/>
      <c r="F352" s="23" t="s">
        <v>57</v>
      </c>
      <c r="H352" s="13"/>
    </row>
    <row r="354" spans="1:8" ht="15">
      <c r="A354" s="15"/>
      <c r="B354" s="15" t="s">
        <v>58</v>
      </c>
      <c r="C354" s="22"/>
      <c r="D354" s="49">
        <f>Input!E75</f>
        <v>7400</v>
      </c>
      <c r="E354" s="15"/>
      <c r="F354" s="15" t="s">
        <v>93</v>
      </c>
      <c r="G354" s="15"/>
      <c r="H354" s="13"/>
    </row>
    <row r="355" spans="1:8" ht="15">
      <c r="A355" s="15"/>
      <c r="B355" s="15"/>
      <c r="C355" s="22" t="s">
        <v>53</v>
      </c>
      <c r="D355" s="11">
        <f>Input!E106</f>
        <v>2.25</v>
      </c>
      <c r="E355" s="15"/>
      <c r="F355" s="5" t="s">
        <v>202</v>
      </c>
      <c r="G355" s="15"/>
      <c r="H355" s="13"/>
    </row>
    <row r="356" spans="1:8" ht="15">
      <c r="A356" s="15"/>
      <c r="B356" s="15"/>
      <c r="C356" s="22" t="s">
        <v>53</v>
      </c>
      <c r="D356" s="12">
        <f>Input!E14</f>
        <v>6</v>
      </c>
      <c r="E356" s="15"/>
      <c r="F356" s="15" t="s">
        <v>59</v>
      </c>
      <c r="G356" s="15"/>
      <c r="H356" s="13"/>
    </row>
    <row r="357" spans="1:8" ht="15">
      <c r="A357" s="15"/>
      <c r="B357" s="15"/>
      <c r="C357" s="22" t="s">
        <v>55</v>
      </c>
      <c r="D357" s="24">
        <f>Input!E13</f>
        <v>100</v>
      </c>
      <c r="E357" s="15"/>
      <c r="F357" s="14" t="s">
        <v>60</v>
      </c>
      <c r="G357" s="15"/>
      <c r="H357" s="13"/>
    </row>
    <row r="358" spans="1:8" ht="15">
      <c r="A358" s="15"/>
      <c r="B358" s="15"/>
      <c r="C358" s="22" t="s">
        <v>56</v>
      </c>
      <c r="D358" s="45">
        <f>ROUND(((D354*D355/100)*D356)/D357,2)</f>
        <v>9.99</v>
      </c>
      <c r="E358" s="15"/>
      <c r="F358" s="23" t="s">
        <v>57</v>
      </c>
      <c r="G358" s="15"/>
      <c r="H358" s="13"/>
    </row>
    <row r="359" spans="1:7" ht="15">
      <c r="A359" s="15"/>
      <c r="B359" s="15"/>
      <c r="C359" s="22"/>
      <c r="D359" s="15"/>
      <c r="E359" s="15"/>
      <c r="F359" s="15"/>
      <c r="G359" s="15"/>
    </row>
    <row r="360" spans="1:8" ht="15.75">
      <c r="A360" s="15"/>
      <c r="B360" s="16" t="s">
        <v>61</v>
      </c>
      <c r="C360" s="26" t="s">
        <v>56</v>
      </c>
      <c r="D360" s="41">
        <f>D352+D358</f>
        <v>94.36999999999999</v>
      </c>
      <c r="E360" s="16"/>
      <c r="F360" s="16" t="s">
        <v>57</v>
      </c>
      <c r="G360" s="15"/>
      <c r="H360" s="13"/>
    </row>
    <row r="361" spans="1:7" ht="15">
      <c r="A361" s="15"/>
      <c r="B361" s="15"/>
      <c r="C361" s="22"/>
      <c r="D361" s="15"/>
      <c r="E361" s="15"/>
      <c r="F361" s="15"/>
      <c r="G361" s="15"/>
    </row>
    <row r="362" ht="15.75">
      <c r="A362" s="16" t="s">
        <v>104</v>
      </c>
    </row>
    <row r="363" ht="15">
      <c r="B363" s="5" t="s">
        <v>189</v>
      </c>
    </row>
    <row r="364" spans="4:8" ht="15">
      <c r="D364" s="12">
        <f>Input!E124*Input!E13</f>
        <v>500</v>
      </c>
      <c r="F364" s="92" t="s">
        <v>454</v>
      </c>
      <c r="H364" s="13"/>
    </row>
    <row r="365" spans="3:8" ht="15">
      <c r="C365" s="21" t="s">
        <v>53</v>
      </c>
      <c r="D365" s="45">
        <f>Input!E125</f>
        <v>625</v>
      </c>
      <c r="F365" s="5" t="s">
        <v>105</v>
      </c>
      <c r="H365" s="13"/>
    </row>
    <row r="366" spans="3:8" ht="15">
      <c r="C366" s="22" t="s">
        <v>53</v>
      </c>
      <c r="D366" s="379">
        <f>Input!E106</f>
        <v>2.25</v>
      </c>
      <c r="E366" s="31"/>
      <c r="F366" s="92" t="s">
        <v>202</v>
      </c>
      <c r="G366" s="14"/>
      <c r="H366" s="13"/>
    </row>
    <row r="367" spans="1:8" ht="15">
      <c r="A367" s="15"/>
      <c r="B367" s="15"/>
      <c r="C367" s="22" t="s">
        <v>55</v>
      </c>
      <c r="D367" s="24">
        <f>Input!E13</f>
        <v>100</v>
      </c>
      <c r="E367" s="15"/>
      <c r="F367" s="14" t="s">
        <v>60</v>
      </c>
      <c r="G367" s="15"/>
      <c r="H367" s="13"/>
    </row>
    <row r="368" spans="3:8" ht="15">
      <c r="C368" s="21" t="s">
        <v>56</v>
      </c>
      <c r="D368" s="51">
        <f>(D364*D365*(D366/100))/D367</f>
        <v>70.3125</v>
      </c>
      <c r="F368" s="5" t="s">
        <v>57</v>
      </c>
      <c r="H368" s="13"/>
    </row>
    <row r="369" ht="15">
      <c r="D369" s="9"/>
    </row>
    <row r="370" ht="15">
      <c r="B370" s="5" t="s">
        <v>190</v>
      </c>
    </row>
    <row r="371" spans="4:8" ht="15">
      <c r="D371" s="49">
        <f>D323</f>
        <v>63420</v>
      </c>
      <c r="F371" s="5" t="s">
        <v>108</v>
      </c>
      <c r="H371" s="13"/>
    </row>
    <row r="372" spans="3:8" ht="15">
      <c r="C372" s="21" t="s">
        <v>74</v>
      </c>
      <c r="D372" s="32">
        <f>D323*Input!E162/100</f>
        <v>0</v>
      </c>
      <c r="F372" s="5" t="s">
        <v>199</v>
      </c>
      <c r="H372" s="13"/>
    </row>
    <row r="373" spans="3:8" ht="15">
      <c r="C373" s="21" t="s">
        <v>56</v>
      </c>
      <c r="D373" s="49">
        <f>D371+D372</f>
        <v>63420</v>
      </c>
      <c r="F373" s="5" t="s">
        <v>109</v>
      </c>
      <c r="H373" s="13"/>
    </row>
    <row r="374" spans="3:8" ht="15">
      <c r="C374" s="21" t="s">
        <v>55</v>
      </c>
      <c r="D374" s="12">
        <v>2</v>
      </c>
      <c r="F374" s="5" t="s">
        <v>97</v>
      </c>
      <c r="H374" s="13"/>
    </row>
    <row r="375" spans="3:8" ht="15">
      <c r="C375" s="21" t="s">
        <v>53</v>
      </c>
      <c r="D375" s="11">
        <f>Input!E106</f>
        <v>2.25</v>
      </c>
      <c r="F375" s="5" t="s">
        <v>202</v>
      </c>
      <c r="H375" s="13"/>
    </row>
    <row r="376" spans="3:8" ht="15">
      <c r="C376" s="22" t="s">
        <v>55</v>
      </c>
      <c r="D376" s="24">
        <f>Input!E13</f>
        <v>100</v>
      </c>
      <c r="E376" s="14"/>
      <c r="F376" s="14" t="s">
        <v>60</v>
      </c>
      <c r="H376" s="13"/>
    </row>
    <row r="377" spans="3:8" ht="15">
      <c r="C377" s="21" t="s">
        <v>56</v>
      </c>
      <c r="D377" s="45">
        <f>IF(ISERR(D378),0,ROUND(((D373/D374)*(D375/100))/D376,2))</f>
        <v>7.13</v>
      </c>
      <c r="F377" s="5" t="s">
        <v>57</v>
      </c>
      <c r="H377" s="13"/>
    </row>
    <row r="378" ht="15">
      <c r="D378" s="9"/>
    </row>
    <row r="379" spans="2:8" ht="15.75">
      <c r="B379" s="16" t="s">
        <v>61</v>
      </c>
      <c r="C379" s="26" t="s">
        <v>56</v>
      </c>
      <c r="D379" s="41">
        <f>D368+D377</f>
        <v>77.4425</v>
      </c>
      <c r="F379" s="16" t="s">
        <v>57</v>
      </c>
      <c r="H379" s="13"/>
    </row>
    <row r="381" ht="15.75">
      <c r="A381" s="16" t="s">
        <v>49</v>
      </c>
    </row>
    <row r="382" spans="4:8" ht="15">
      <c r="D382" s="35">
        <f>Input!D174</f>
        <v>4</v>
      </c>
      <c r="F382" s="5" t="s">
        <v>110</v>
      </c>
      <c r="H382" s="13"/>
    </row>
    <row r="383" spans="3:8" ht="15">
      <c r="C383" s="22" t="s">
        <v>53</v>
      </c>
      <c r="D383" s="44">
        <f>Input!D175</f>
        <v>20</v>
      </c>
      <c r="E383" s="14"/>
      <c r="F383" s="14" t="s">
        <v>111</v>
      </c>
      <c r="H383" s="13"/>
    </row>
    <row r="384" spans="3:8" ht="15.75">
      <c r="C384" s="26" t="s">
        <v>56</v>
      </c>
      <c r="D384" s="41">
        <f>ROUND(D382*D383,2)</f>
        <v>80</v>
      </c>
      <c r="E384" s="16"/>
      <c r="F384" s="16" t="s">
        <v>57</v>
      </c>
      <c r="G384" s="16"/>
      <c r="H384" s="13"/>
    </row>
    <row r="385" spans="1:8" ht="15">
      <c r="A385" s="13"/>
      <c r="B385" s="13"/>
      <c r="C385" s="36"/>
      <c r="D385" s="13"/>
      <c r="E385" s="13"/>
      <c r="F385" s="13"/>
      <c r="G385" s="13"/>
      <c r="H385" s="13"/>
    </row>
    <row r="386" spans="1:9" s="210" customFormat="1" ht="15" customHeight="1">
      <c r="A386" s="445" t="s">
        <v>383</v>
      </c>
      <c r="B386" s="445"/>
      <c r="C386" s="445"/>
      <c r="D386" s="445"/>
      <c r="E386" s="445"/>
      <c r="F386" s="445"/>
      <c r="G386" s="445"/>
      <c r="H386" s="445"/>
      <c r="I386" s="445"/>
    </row>
    <row r="387" spans="1:9" s="210" customFormat="1" ht="18" customHeight="1">
      <c r="A387" s="396" t="str">
        <f>"Gross Revenue =  calf weight cwt x $/cwt x % calf crop (eg. "&amp;Input!E20/100&amp;" x $"&amp;Input!E21&amp;"/cwt x "&amp;Input!E15&amp;"% = $"&amp;TEXT(Summary!F48,"0.00")&amp;")"</f>
        <v>Gross Revenue =  calf weight cwt x $/cwt x % calf crop (eg. 4.63 x $532.07/cwt x 88% = $2167.87)</v>
      </c>
      <c r="B387" s="397"/>
      <c r="C387" s="397"/>
      <c r="D387" s="397"/>
      <c r="E387" s="397"/>
      <c r="F387" s="397"/>
      <c r="G387" s="397"/>
      <c r="H387" s="397"/>
      <c r="I387" s="397"/>
    </row>
    <row r="388" spans="1:9" s="210" customFormat="1" ht="18" customHeight="1">
      <c r="A388" s="449" t="str">
        <f>"Operating Expense Ratio =  (operating  cost ÷ gross revenue) x 100 (eg. ($"&amp;TEXT(Summary!F24,"0.00")&amp;" ÷ $"&amp;TEXT(Summary!F48,"0.00")&amp;" ) x 100 = "&amp;TEXT(Summary!F55*100,"0.0")&amp;"%)"</f>
        <v>Operating Expense Ratio =  (operating  cost ÷ gross revenue) x 100 (eg. ($632.06 ÷ $2167.87 ) x 100 = 29.2%)</v>
      </c>
      <c r="B388" s="449"/>
      <c r="C388" s="449"/>
      <c r="D388" s="449"/>
      <c r="E388" s="449"/>
      <c r="F388" s="449"/>
      <c r="G388" s="449"/>
      <c r="H388" s="449"/>
      <c r="I388" s="449"/>
    </row>
    <row r="389" spans="1:9" s="210" customFormat="1" ht="15" customHeight="1">
      <c r="A389" s="449" t="str">
        <f>"Breakeven Price $/cwt = Cost ÷ % calf crop ÷ calf weight cwt (eg. $"&amp;TEXT(Summary!F42,"0.00")&amp;" ÷ "&amp;Input!E15&amp;"% ÷  "&amp;Input!E20/100&amp;" = $"&amp;TEXT(Summary!H61,"0.00")&amp;")"</f>
        <v>Breakeven Price $/cwt = Cost ÷ % calf crop ÷ calf weight cwt (eg. $1069.34 ÷ 88% ÷  4.63 = $262.45)</v>
      </c>
      <c r="B389" s="449"/>
      <c r="C389" s="449"/>
      <c r="D389" s="449"/>
      <c r="E389" s="449"/>
      <c r="F389" s="449"/>
      <c r="G389" s="449"/>
      <c r="H389" s="449"/>
      <c r="I389" s="449"/>
    </row>
    <row r="390" spans="1:9" s="210" customFormat="1" ht="15" customHeight="1">
      <c r="A390" s="445" t="s">
        <v>384</v>
      </c>
      <c r="B390" s="445"/>
      <c r="C390" s="445"/>
      <c r="D390" s="445"/>
      <c r="E390" s="445"/>
      <c r="F390" s="445"/>
      <c r="G390" s="445"/>
      <c r="H390" s="445"/>
      <c r="I390" s="445"/>
    </row>
    <row r="391" spans="1:9" s="210" customFormat="1" ht="18.75" customHeight="1">
      <c r="A391" s="396" t="str">
        <f>"Summer Grazing Cost Per Cow Per Day =  pasture cost ÷ days (eg. $"&amp;TEXT(Summary!F35+Summary!F21+Summary!F30+Summary!F8,"0.00")&amp;" ÷ "&amp;Input!G41&amp;" = $"&amp;TEXT(Summary!F66,"0.00")&amp;")"</f>
        <v>Summer Grazing Cost Per Cow Per Day =  pasture cost ÷ days (eg. $126.65 ÷ 170 = $0.75)</v>
      </c>
      <c r="B391" s="397"/>
      <c r="C391" s="397"/>
      <c r="D391" s="397"/>
      <c r="E391" s="397"/>
      <c r="F391" s="397"/>
      <c r="G391" s="397"/>
      <c r="H391" s="397"/>
      <c r="I391" s="397"/>
    </row>
    <row r="392" spans="1:9" s="210" customFormat="1" ht="18.75" customHeight="1">
      <c r="A392" s="396" t="str">
        <f>"Extended Grazing Cost Per Cow Per Day =   grazing cost ÷ days (eg. $"&amp;TEXT('Extended Grazing'!G56,"0.00")&amp;" ÷ "&amp;Input!G42&amp;" = $"&amp;TEXT(Summary!F67,"0.00")&amp;")"</f>
        <v>Extended Grazing Cost Per Cow Per Day =   grazing cost ÷ days (eg. $24.19 ÷ 30 = $0.81)</v>
      </c>
      <c r="B392" s="397"/>
      <c r="C392" s="397"/>
      <c r="D392" s="397"/>
      <c r="E392" s="397"/>
      <c r="F392" s="397"/>
      <c r="G392" s="397"/>
      <c r="H392" s="397"/>
      <c r="I392" s="397"/>
    </row>
    <row r="393" spans="1:9" s="210" customFormat="1" ht="18.75" customHeight="1">
      <c r="A393" s="396" t="str">
        <f>"Winter Feed Cost Per Cow Per Day = feed cost ÷ days (eg. $"&amp;TEXT(Summary!F5+Summary!F6+Summary!F7,"0.00")&amp;" ÷ "&amp;Input!G43&amp;" = $"&amp;TEXT(Summary!F68,"0.00"&amp;")")</f>
        <v>Winter Feed Cost Per Cow Per Day = feed cost ÷ days (eg. $274.17 ÷ 165 = $1.66)</v>
      </c>
      <c r="B393" s="397"/>
      <c r="C393" s="397"/>
      <c r="D393" s="397"/>
      <c r="E393" s="397"/>
      <c r="F393" s="397"/>
      <c r="G393" s="397"/>
      <c r="H393" s="397"/>
      <c r="I393" s="397"/>
    </row>
    <row r="394" spans="1:9" s="210" customFormat="1" ht="16.5" customHeight="1">
      <c r="A394" s="450" t="str">
        <f>"Yardage Cost Per Cow Per Day =  ($"&amp;TEXT(Summary!F14,"0.00")&amp;" fuel &amp; repair + $"&amp;TEXT(Details!D216,"0.00")&amp;" building insurance + $"&amp;TEXT(Details!D159,"0.00")&amp;" utilities + $"&amp;TEXT(D311,"0.00")&amp;" buiding depreciation+ $"&amp;TEXT(D318,"0.00")&amp;" machinery depreciation + $"&amp;TEXT(D339,"0.00")&amp;" building investment + $"&amp;TEXT(D347,"0.00")&amp;" machinery investment + $"&amp;TEXT(Summary!F20*((Input!G42+Input!G43)/365),"0.00")&amp;" misc. + $"&amp;TEXT(Details!D384*0.625,"0.00")&amp;" labour) ÷ "&amp;Input!G43+Input!G42&amp;" days = $"&amp;TEXT(Summary!F69,"0.000")</f>
        <v>Yardage Cost Per Cow Per Day =  ($48.85 fuel &amp; repair + $2.53 building insurance + $10.77 utilities + $31.63 buiding depreciation+ $98.40 machinery depreciation + $7.12 building investment + $16.61 machinery investment + $4.81 misc. + $50.00 labour) ÷ 195 days = $1.388</v>
      </c>
      <c r="B394" s="450"/>
      <c r="C394" s="450"/>
      <c r="D394" s="450"/>
      <c r="E394" s="450"/>
      <c r="F394" s="450"/>
      <c r="G394" s="450"/>
      <c r="H394" s="450"/>
      <c r="I394" s="450"/>
    </row>
    <row r="395" spans="1:9" s="210" customFormat="1" ht="16.5" customHeight="1">
      <c r="A395" s="450"/>
      <c r="B395" s="450"/>
      <c r="C395" s="450"/>
      <c r="D395" s="450"/>
      <c r="E395" s="450"/>
      <c r="F395" s="450"/>
      <c r="G395" s="450"/>
      <c r="H395" s="450"/>
      <c r="I395" s="450"/>
    </row>
    <row r="396" spans="1:9" s="210" customFormat="1" ht="16.5" customHeight="1">
      <c r="A396" s="450"/>
      <c r="B396" s="450"/>
      <c r="C396" s="450"/>
      <c r="D396" s="450"/>
      <c r="E396" s="450"/>
      <c r="F396" s="450"/>
      <c r="G396" s="450"/>
      <c r="H396" s="450"/>
      <c r="I396" s="450"/>
    </row>
    <row r="397" spans="1:9" s="210" customFormat="1" ht="15" customHeight="1">
      <c r="A397" s="92"/>
      <c r="B397" s="92"/>
      <c r="C397" s="92"/>
      <c r="D397" s="16"/>
      <c r="E397" s="275"/>
      <c r="F397" s="16"/>
      <c r="G397" s="16"/>
      <c r="H397" s="92"/>
      <c r="I397" s="161"/>
    </row>
    <row r="398" spans="1:17" s="280" customFormat="1" ht="18" customHeight="1">
      <c r="A398" s="276" t="s">
        <v>385</v>
      </c>
      <c r="B398" s="276"/>
      <c r="C398" s="276"/>
      <c r="D398" s="276"/>
      <c r="E398" s="277"/>
      <c r="F398" s="278"/>
      <c r="G398" s="278"/>
      <c r="H398" s="278"/>
      <c r="I398" s="295" t="s">
        <v>390</v>
      </c>
      <c r="J398" s="296"/>
      <c r="K398" s="279"/>
      <c r="O398" s="281"/>
      <c r="P398" s="282"/>
      <c r="Q398" s="282"/>
    </row>
    <row r="399" spans="1:17" s="280" customFormat="1" ht="21" customHeight="1">
      <c r="A399" s="283" t="s">
        <v>386</v>
      </c>
      <c r="B399" s="284"/>
      <c r="C399" s="285"/>
      <c r="D399" s="285"/>
      <c r="E399" s="285"/>
      <c r="F399" s="286"/>
      <c r="O399" s="281"/>
      <c r="P399" s="282"/>
      <c r="Q399" s="282"/>
    </row>
    <row r="400" spans="1:9" s="288" customFormat="1" ht="15">
      <c r="A400" s="287" t="s">
        <v>387</v>
      </c>
      <c r="D400" s="289" t="s">
        <v>388</v>
      </c>
      <c r="G400" s="289" t="s">
        <v>471</v>
      </c>
      <c r="I400" s="290"/>
    </row>
    <row r="401" spans="1:9" s="292" customFormat="1" ht="14.25">
      <c r="A401" s="291" t="s">
        <v>389</v>
      </c>
      <c r="D401" s="291" t="s">
        <v>389</v>
      </c>
      <c r="G401" s="291" t="s">
        <v>484</v>
      </c>
      <c r="I401" s="293"/>
    </row>
    <row r="402" spans="1:9" s="292" customFormat="1" ht="14.25">
      <c r="A402" s="291"/>
      <c r="E402" s="291"/>
      <c r="I402" s="293"/>
    </row>
    <row r="403" spans="1:9" s="292" customFormat="1" ht="14.25">
      <c r="A403" s="291"/>
      <c r="E403" s="291"/>
      <c r="I403" s="293"/>
    </row>
    <row r="404" spans="1:5" s="292" customFormat="1" ht="7.5" customHeight="1">
      <c r="A404" s="294"/>
      <c r="E404" s="294"/>
    </row>
  </sheetData>
  <sheetProtection password="C6A6" sheet="1"/>
  <mergeCells count="11">
    <mergeCell ref="A388:I388"/>
    <mergeCell ref="A389:I389"/>
    <mergeCell ref="A390:I390"/>
    <mergeCell ref="A394:I396"/>
    <mergeCell ref="A15:I15"/>
    <mergeCell ref="A1:I1"/>
    <mergeCell ref="A262:I262"/>
    <mergeCell ref="A2:H2"/>
    <mergeCell ref="A4:H5"/>
    <mergeCell ref="A7:H8"/>
    <mergeCell ref="A386:I386"/>
  </mergeCells>
  <hyperlinks>
    <hyperlink ref="D400" r:id="rId1" display="Roy Arnott"/>
    <hyperlink ref="A400" r:id="rId2" display="Benjamin Hamm"/>
    <hyperlink ref="G400" r:id="rId3" display="Michelle Gaudry"/>
  </hyperlinks>
  <printOptions horizontalCentered="1"/>
  <pageMargins left="0.7480314960629921" right="0.7480314960629921" top="0.7874015748031497" bottom="0.9055118110236221" header="0.5118110236220472" footer="0.5118110236220472"/>
  <pageSetup firstPageNumber="9" useFirstPageNumber="1" fitToHeight="6" fitToWidth="1" horizontalDpi="600" verticalDpi="600" orientation="portrait" scale="65" r:id="rId5"/>
  <headerFooter alignWithMargins="0">
    <oddHeader>&amp;L&amp;9Guidelines: Bison Cow-Calf Production Costs&amp;R&amp;P</oddHeader>
    <oddFooter>&amp;R&amp;9Manitoba Agriculture</oddFooter>
  </headerFooter>
  <rowBreaks count="7" manualBreakCount="7">
    <brk id="38" max="255" man="1"/>
    <brk id="88" max="255" man="1"/>
    <brk id="128" max="255" man="1"/>
    <brk id="216" max="255" man="1"/>
    <brk id="260" max="255" man="1"/>
    <brk id="300" max="255" man="1"/>
    <brk id="340" max="25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Peter Blawat, P.Ag.</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Bison Cow-Calf</dc:title>
  <dc:subject>Bison Cost of Production</dc:subject>
  <dc:creator>MAF Staff</dc:creator>
  <cp:keywords>Bison, Cost of Production, Economics</cp:keywords>
  <dc:description>A worksheet for calculating on-farm production costs for individual farms.</dc:description>
  <cp:lastModifiedBy>Roy Arnott</cp:lastModifiedBy>
  <cp:lastPrinted>2017-06-23T20:41:14Z</cp:lastPrinted>
  <dcterms:created xsi:type="dcterms:W3CDTF">2000-07-07T15:35:20Z</dcterms:created>
  <dcterms:modified xsi:type="dcterms:W3CDTF">2017-12-07T15:33:03Z</dcterms:modified>
  <cp:category>Bison Production Costs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