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970" windowHeight="4575" activeTab="0"/>
  </bookViews>
  <sheets>
    <sheet name="Introduction" sheetId="1" r:id="rId1"/>
    <sheet name="Summary" sheetId="2" r:id="rId2"/>
    <sheet name="Risk Analysis" sheetId="3" r:id="rId3"/>
    <sheet name="Input" sheetId="4" r:id="rId4"/>
    <sheet name="Details" sheetId="5" r:id="rId5"/>
  </sheets>
  <externalReferences>
    <externalReference r:id="rId8"/>
  </externalReferences>
  <definedNames>
    <definedName name="\A" localSheetId="2">#REF!</definedName>
    <definedName name="\A">#REF!</definedName>
    <definedName name="\B" localSheetId="2">#REF!</definedName>
    <definedName name="\B">#REF!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H" localSheetId="2">#REF!</definedName>
    <definedName name="\H">#REF!</definedName>
    <definedName name="\I" localSheetId="2">#REF!</definedName>
    <definedName name="\I">#REF!</definedName>
    <definedName name="\K">#N/A</definedName>
    <definedName name="\L" localSheetId="2">#REF!</definedName>
    <definedName name="\L">#REF!</definedName>
    <definedName name="\N" localSheetId="2">#REF!</definedName>
    <definedName name="\N">#REF!</definedName>
    <definedName name="\O" localSheetId="2">#REF!</definedName>
    <definedName name="\O">#REF!</definedName>
    <definedName name="\P">#N/A</definedName>
    <definedName name="\R" localSheetId="2">#REF!</definedName>
    <definedName name="\R">#REF!</definedName>
    <definedName name="\S" localSheetId="2">#REF!</definedName>
    <definedName name="\S">#REF!</definedName>
    <definedName name="\T" localSheetId="2">#REF!</definedName>
    <definedName name="\T">#REF!</definedName>
    <definedName name="\U" localSheetId="2">#REF!</definedName>
    <definedName name="\U">#REF!</definedName>
    <definedName name="\W" localSheetId="2">#REF!</definedName>
    <definedName name="\W">#REF!</definedName>
    <definedName name="\X">#N/A</definedName>
    <definedName name="\Y" localSheetId="2">#REF!</definedName>
    <definedName name="\Y">#REF!</definedName>
    <definedName name="ALL">#N/A</definedName>
    <definedName name="_xlnm.Print_Area" localSheetId="4">'Details'!$A$1:$I$428</definedName>
    <definedName name="_xlnm.Print_Area" localSheetId="0">'Introduction'!$A$1:$J$39</definedName>
    <definedName name="_xlnm.Print_Area" localSheetId="2">'Risk Analysis'!$A$1:$K$46</definedName>
    <definedName name="_xlnm.Print_Area" localSheetId="1">'Summary'!$A$1:$K$61</definedName>
    <definedName name="Z_6E930F6D_F725_11D2_92B5_0004ACD86FC2_.wvu.PrintArea" localSheetId="0" hidden="1">'Introduction'!$A$5:$A$39</definedName>
  </definedNames>
  <calcPr fullCalcOnLoad="1"/>
</workbook>
</file>

<file path=xl/sharedStrings.xml><?xml version="1.0" encoding="utf-8"?>
<sst xmlns="http://schemas.openxmlformats.org/spreadsheetml/2006/main" count="945" uniqueCount="423">
  <si>
    <t>Assumptions</t>
  </si>
  <si>
    <t/>
  </si>
  <si>
    <t>Yields</t>
  </si>
  <si>
    <t>Total land base</t>
  </si>
  <si>
    <t>Interest Rate</t>
  </si>
  <si>
    <t>1.01 Seed Cost &amp; Treatment Cost</t>
  </si>
  <si>
    <t>1.02 Fertilizer Cost</t>
  </si>
  <si>
    <t>Rate</t>
  </si>
  <si>
    <t>Lbs/acre</t>
  </si>
  <si>
    <t>Sulfur</t>
  </si>
  <si>
    <t>1.03 Herbicide Costs</t>
  </si>
  <si>
    <t>Preplant</t>
  </si>
  <si>
    <t>Post emergent</t>
  </si>
  <si>
    <t>1.04 Fungicide Costs &amp; Insecticides</t>
  </si>
  <si>
    <t>Times</t>
  </si>
  <si>
    <t>Applied</t>
  </si>
  <si>
    <t>Contact Fungicide</t>
  </si>
  <si>
    <t>Systemic Fungicide</t>
  </si>
  <si>
    <t>Insecticide</t>
  </si>
  <si>
    <t>Fuel Cost $/litre</t>
  </si>
  <si>
    <t>Field</t>
  </si>
  <si>
    <t>Operation</t>
  </si>
  <si>
    <t>Over</t>
  </si>
  <si>
    <t>Harrow</t>
  </si>
  <si>
    <t>Cultivate</t>
  </si>
  <si>
    <t>Plant</t>
  </si>
  <si>
    <t>Spray</t>
  </si>
  <si>
    <t>Hilling</t>
  </si>
  <si>
    <t>Fertilize</t>
  </si>
  <si>
    <t>Harvest</t>
  </si>
  <si>
    <t>Truck Fuel-Harvesting</t>
  </si>
  <si>
    <t>Truck Capacity (cwts)</t>
  </si>
  <si>
    <t>Fuel Consumption (miles/gal)</t>
  </si>
  <si>
    <t>Distance to storage (miles)</t>
  </si>
  <si>
    <t>Inches applied</t>
  </si>
  <si>
    <t>1.09 Custom Work &amp; Rental</t>
  </si>
  <si>
    <t>1.10 Hired labour costs</t>
  </si>
  <si>
    <t>Number</t>
  </si>
  <si>
    <t>Hours</t>
  </si>
  <si>
    <t>Total</t>
  </si>
  <si>
    <t>1.11 Insurance Costs</t>
  </si>
  <si>
    <t>1.12 Utilities</t>
  </si>
  <si>
    <t xml:space="preserve"> years</t>
  </si>
  <si>
    <t xml:space="preserve"> Land Value</t>
  </si>
  <si>
    <t>Total Storage Costs</t>
  </si>
  <si>
    <t>Irrigation System</t>
  </si>
  <si>
    <t>Total Irrigation Costs</t>
  </si>
  <si>
    <t>Machinery &amp; Equipment</t>
  </si>
  <si>
    <t>Seed</t>
  </si>
  <si>
    <t>Fertilizer</t>
  </si>
  <si>
    <t>Herbicides</t>
  </si>
  <si>
    <t>Trucking Costs</t>
  </si>
  <si>
    <t>Irrigation Fuel</t>
  </si>
  <si>
    <t>Custom Work &amp; Rental</t>
  </si>
  <si>
    <t>Hired Labour</t>
  </si>
  <si>
    <t>Insurance</t>
  </si>
  <si>
    <t>Utilities</t>
  </si>
  <si>
    <t xml:space="preserve">   B.</t>
  </si>
  <si>
    <t>Own Land Cost</t>
  </si>
  <si>
    <t>Depreciation</t>
  </si>
  <si>
    <t>Investment</t>
  </si>
  <si>
    <t xml:space="preserve">   C.</t>
  </si>
  <si>
    <t>Own Labour</t>
  </si>
  <si>
    <t>cwt/acre</t>
  </si>
  <si>
    <t>x</t>
  </si>
  <si>
    <t>$/cwt</t>
  </si>
  <si>
    <t>=</t>
  </si>
  <si>
    <t>Cutting</t>
  </si>
  <si>
    <t>lbs/acre</t>
  </si>
  <si>
    <t>$ / lb</t>
  </si>
  <si>
    <t>Potash</t>
  </si>
  <si>
    <t>$/acre</t>
  </si>
  <si>
    <t xml:space="preserve">a) Field Fuel Costs </t>
  </si>
  <si>
    <t>÷</t>
  </si>
  <si>
    <t>machinery</t>
  </si>
  <si>
    <t>+</t>
  </si>
  <si>
    <t>potato storage</t>
  </si>
  <si>
    <t>total</t>
  </si>
  <si>
    <t>crop insurance</t>
  </si>
  <si>
    <t>total insurance</t>
  </si>
  <si>
    <t>hydro</t>
  </si>
  <si>
    <t>telephone</t>
  </si>
  <si>
    <t>total utilities</t>
  </si>
  <si>
    <t>accounting &amp; legal</t>
  </si>
  <si>
    <t>property taxes</t>
  </si>
  <si>
    <t>shop supplies</t>
  </si>
  <si>
    <t>other costs</t>
  </si>
  <si>
    <t>(Operating interest is charged on one-half the sub-total</t>
  </si>
  <si>
    <t>operating costs)</t>
  </si>
  <si>
    <t xml:space="preserve">    2.01 Land Costs</t>
  </si>
  <si>
    <t xml:space="preserve">    2.02 Depreciation</t>
  </si>
  <si>
    <t>Storage Facilities</t>
  </si>
  <si>
    <t>-</t>
  </si>
  <si>
    <t xml:space="preserve">    2.03 Investment Cost</t>
  </si>
  <si>
    <t>C.  Own Labour Costs</t>
  </si>
  <si>
    <t>Tandem Disk</t>
  </si>
  <si>
    <t>hail insurance</t>
  </si>
  <si>
    <t>content insurance</t>
  </si>
  <si>
    <t xml:space="preserve">    Total  </t>
  </si>
  <si>
    <t>1.01</t>
  </si>
  <si>
    <t>1.02</t>
  </si>
  <si>
    <t>1.03</t>
  </si>
  <si>
    <t>1.04</t>
  </si>
  <si>
    <t>1.05</t>
  </si>
  <si>
    <t>1.06</t>
  </si>
  <si>
    <t>1.07</t>
  </si>
  <si>
    <t>1.08</t>
  </si>
  <si>
    <t>1.09</t>
  </si>
  <si>
    <t>1.10</t>
  </si>
  <si>
    <t>1.11</t>
  </si>
  <si>
    <t>1.12</t>
  </si>
  <si>
    <t>1.13</t>
  </si>
  <si>
    <t>1.14</t>
  </si>
  <si>
    <t>average</t>
  </si>
  <si>
    <t>average value</t>
  </si>
  <si>
    <t xml:space="preserve">  Original Value - Salvage Value </t>
  </si>
  <si>
    <t>investment rate</t>
  </si>
  <si>
    <t>original value</t>
  </si>
  <si>
    <t>salvage value</t>
  </si>
  <si>
    <t>total acres</t>
  </si>
  <si>
    <t xml:space="preserve">acres </t>
  </si>
  <si>
    <t>Investment rate</t>
  </si>
  <si>
    <t>membership</t>
  </si>
  <si>
    <t>operating costs</t>
  </si>
  <si>
    <t>operating interest</t>
  </si>
  <si>
    <t>A.</t>
  </si>
  <si>
    <t>2.02</t>
  </si>
  <si>
    <t>2.03</t>
  </si>
  <si>
    <t>3.01</t>
  </si>
  <si>
    <t>$/hour</t>
  </si>
  <si>
    <t>Irrigated Potato Cost of Production Worksheet</t>
  </si>
  <si>
    <t>number applications</t>
  </si>
  <si>
    <t>trips/acre</t>
  </si>
  <si>
    <t>net trucking rate/cwt</t>
  </si>
  <si>
    <t>inches water applied</t>
  </si>
  <si>
    <t>hours for .75 inches</t>
  </si>
  <si>
    <t>hours for 1.0 inches</t>
  </si>
  <si>
    <t>hourly pumping costs</t>
  </si>
  <si>
    <t>number of pivots</t>
  </si>
  <si>
    <t>useful life (yrs.)</t>
  </si>
  <si>
    <t xml:space="preserve">     Guidelines For Estimating</t>
  </si>
  <si>
    <t>Operating Costs</t>
  </si>
  <si>
    <t>Fuel Costs-Field</t>
  </si>
  <si>
    <t>Subtotal Operating Costs</t>
  </si>
  <si>
    <t>Interest on Operating</t>
  </si>
  <si>
    <t>Fixed Costs</t>
  </si>
  <si>
    <t>Total Fixed Costs</t>
  </si>
  <si>
    <t>Total Operating Costs</t>
  </si>
  <si>
    <t>Labour</t>
  </si>
  <si>
    <t>Total Cost of Production</t>
  </si>
  <si>
    <t>A. Operating Costs</t>
  </si>
  <si>
    <t>Capital Investment</t>
  </si>
  <si>
    <t>Total Capital Investment</t>
  </si>
  <si>
    <t>B.  Fixed Costs</t>
  </si>
  <si>
    <t>Irrigated Processing Potato - Input</t>
  </si>
  <si>
    <t>Operating</t>
  </si>
  <si>
    <t>Crop Insurance (80%)</t>
  </si>
  <si>
    <t>Buildings &amp; Equipment</t>
  </si>
  <si>
    <t>Hail Insurance</t>
  </si>
  <si>
    <t>Hydro</t>
  </si>
  <si>
    <t>Accounting &amp; Legal</t>
  </si>
  <si>
    <t>Publications &amp; Membership</t>
  </si>
  <si>
    <t>Shop Supplies</t>
  </si>
  <si>
    <t>Other Costs</t>
  </si>
  <si>
    <t>Land Value</t>
  </si>
  <si>
    <t>Buildings</t>
  </si>
  <si>
    <t>Storage Building</t>
  </si>
  <si>
    <t>Irrigation Equipment</t>
  </si>
  <si>
    <t>Useful Life:</t>
  </si>
  <si>
    <t>Salvage Value (% of original cost)</t>
  </si>
  <si>
    <t>Machinery</t>
  </si>
  <si>
    <t>Potato Storage</t>
  </si>
  <si>
    <r>
      <t xml:space="preserve">1.05 Fuel Costs </t>
    </r>
    <r>
      <rPr>
        <sz val="12"/>
        <rFont val="Arial"/>
        <family val="2"/>
      </rPr>
      <t>(field &amp; trucking)</t>
    </r>
  </si>
  <si>
    <r>
      <t xml:space="preserve">Depreciation </t>
    </r>
    <r>
      <rPr>
        <sz val="12"/>
        <rFont val="Arial"/>
        <family val="2"/>
      </rPr>
      <t>(straight line)</t>
    </r>
    <r>
      <rPr>
        <b/>
        <sz val="12"/>
        <rFont val="Arial"/>
        <family val="2"/>
      </rPr>
      <t>:</t>
    </r>
  </si>
  <si>
    <t>Your Cost</t>
  </si>
  <si>
    <t>truck capacity (tons)</t>
  </si>
  <si>
    <t>total miles/acre</t>
  </si>
  <si>
    <t>fuel consumption (miles/gal)</t>
  </si>
  <si>
    <t>gallons required fuel</t>
  </si>
  <si>
    <t xml:space="preserve">fuel cost ($/litre) </t>
  </si>
  <si>
    <t>field to storage fuel cost</t>
  </si>
  <si>
    <t>Miscellaneous</t>
  </si>
  <si>
    <t>Maintenance &amp; Repairs</t>
  </si>
  <si>
    <t>1.13 Other Costs</t>
  </si>
  <si>
    <t>Fungicide &amp; Insecticide</t>
  </si>
  <si>
    <t>River pump station</t>
  </si>
  <si>
    <t>Booster pump station</t>
  </si>
  <si>
    <t>Pivots &amp; generators</t>
  </si>
  <si>
    <t xml:space="preserve">  Capital Costs</t>
  </si>
  <si>
    <t>2.01</t>
  </si>
  <si>
    <t>Total Fuel Costs</t>
  </si>
  <si>
    <t>1.08 Maintenance &amp; repairs</t>
  </si>
  <si>
    <t>Property Taxes</t>
  </si>
  <si>
    <t>Seed &amp; cutting</t>
  </si>
  <si>
    <t>Seed treatment</t>
  </si>
  <si>
    <t>$/cwt fungicide</t>
  </si>
  <si>
    <t>$/cwt insecticide</t>
  </si>
  <si>
    <t>distance/trip (miles)</t>
  </si>
  <si>
    <t>Total Acres</t>
  </si>
  <si>
    <t>Hours per acre</t>
  </si>
  <si>
    <t>Rate per hour</t>
  </si>
  <si>
    <t>hours/acre</t>
  </si>
  <si>
    <t>$/acre harvested</t>
  </si>
  <si>
    <r>
      <t>Original Value + Salvage Value</t>
    </r>
    <r>
      <rPr>
        <b/>
        <sz val="12"/>
        <rFont val="Arial"/>
        <family val="2"/>
      </rPr>
      <t xml:space="preserve"> X </t>
    </r>
    <r>
      <rPr>
        <b/>
        <u val="single"/>
        <sz val="12"/>
        <rFont val="Arial"/>
        <family val="2"/>
      </rPr>
      <t>Investment Rate</t>
    </r>
  </si>
  <si>
    <t xml:space="preserve">$/acre </t>
  </si>
  <si>
    <t>gross yield (cwt)/ac.</t>
  </si>
  <si>
    <t>tons/ac.</t>
  </si>
  <si>
    <t>Rotera</t>
  </si>
  <si>
    <t>Workshop</t>
  </si>
  <si>
    <t>Micro</t>
  </si>
  <si>
    <t xml:space="preserve">irrigation </t>
  </si>
  <si>
    <t>Hours/pivot (.75" water)</t>
  </si>
  <si>
    <t>Machine Shed Workshop</t>
  </si>
  <si>
    <t>crop consulting</t>
  </si>
  <si>
    <t xml:space="preserve">. . . . . . . . . . . . . . . . . . . . . . . . . . . . . . . . . . . . . . . . . . . . . . . . . </t>
  </si>
  <si>
    <t>Cost / Acre</t>
  </si>
  <si>
    <t>Estimated Farmgate</t>
  </si>
  <si>
    <t>Gross Revenue / acre</t>
  </si>
  <si>
    <t xml:space="preserve">Marginal Returns </t>
  </si>
  <si>
    <t>Over Operating Costs</t>
  </si>
  <si>
    <t>Over Total Costs (Net Profit)</t>
  </si>
  <si>
    <t>Operating Expense Ratio</t>
  </si>
  <si>
    <t>Breakeven Price Per Unit</t>
  </si>
  <si>
    <t>Total Costs</t>
  </si>
  <si>
    <t>Profitability &amp; Breakeven Analysis</t>
  </si>
  <si>
    <r>
      <rPr>
        <b/>
        <sz val="12"/>
        <rFont val="Arial"/>
        <family val="2"/>
      </rPr>
      <t>Note:</t>
    </r>
    <r>
      <rPr>
        <sz val="12"/>
        <rFont val="Arial"/>
        <family val="2"/>
      </rPr>
      <t xml:space="preserve"> This budget is only a guide and is not intended as an in depth study of the cost of production of this industry. Interpretation and utilization of this information is the responsibility of the user.</t>
    </r>
  </si>
  <si>
    <t xml:space="preserve">All trucking operations related to marketing of processed potatoes were assumed to be custom hauled to the processors. A rate applicable to hauling potatoes approximately 100 miles was assumed. </t>
  </si>
  <si>
    <t>Bulk Price</t>
  </si>
  <si>
    <t>$/tonne</t>
  </si>
  <si>
    <t>Nitrogen: (urea) 46-0-0</t>
  </si>
  <si>
    <t>Phosphorus:   11-52-0</t>
  </si>
  <si>
    <t>Potash:   0-0-60</t>
  </si>
  <si>
    <t>Sulphur:   20.5-0-0-24</t>
  </si>
  <si>
    <t>Risk &amp; Sensitivity Analysis</t>
  </si>
  <si>
    <t>Your Farm</t>
  </si>
  <si>
    <t>Up</t>
  </si>
  <si>
    <t>Down</t>
  </si>
  <si>
    <t>Percent Price Variation</t>
  </si>
  <si>
    <t>Percent Yield Variation</t>
  </si>
  <si>
    <t xml:space="preserve">   Over Operating Costs</t>
  </si>
  <si>
    <t xml:space="preserve">   Over Total Costs (Net Profit)</t>
  </si>
  <si>
    <t>B. Fixed Costs</t>
  </si>
  <si>
    <t>Price $ per cwt</t>
  </si>
  <si>
    <t>Higher Yield (cwt per acre)</t>
  </si>
  <si>
    <t>Lower Yield (cwt per acre)</t>
  </si>
  <si>
    <t>Higher Price ($ per cwt)</t>
  </si>
  <si>
    <t>Lower Price ($ per cwt)</t>
  </si>
  <si>
    <t xml:space="preserve">Created and maintained by </t>
  </si>
  <si>
    <t xml:space="preserve">For more information, contact your local </t>
  </si>
  <si>
    <t>Roy Arnott</t>
  </si>
  <si>
    <t>Acres per circle</t>
  </si>
  <si>
    <t>Potato harvested acres (annual basis)</t>
  </si>
  <si>
    <t>Potato rotation (time in rotation - how many years)</t>
  </si>
  <si>
    <t xml:space="preserve">Dockage </t>
  </si>
  <si>
    <t>Shrink</t>
  </si>
  <si>
    <t>Low</t>
  </si>
  <si>
    <t>Medium</t>
  </si>
  <si>
    <t>High</t>
  </si>
  <si>
    <t>Med-High</t>
  </si>
  <si>
    <t>Number of irrigation pivot circles</t>
  </si>
  <si>
    <t>Nitrogen: (UAN) 28-0-0</t>
  </si>
  <si>
    <t>Phosphorus:   10-34-0</t>
  </si>
  <si>
    <t>Actual</t>
  </si>
  <si>
    <t>Nutrient $/lb</t>
  </si>
  <si>
    <t>Total Cost</t>
  </si>
  <si>
    <t>Per Acre</t>
  </si>
  <si>
    <t>Other (Micro, etc.)</t>
  </si>
  <si>
    <t>Crop Pesticide Costs</t>
  </si>
  <si>
    <t>Cost Per</t>
  </si>
  <si>
    <t>Application</t>
  </si>
  <si>
    <t>Estimated Yields</t>
  </si>
  <si>
    <t>Fuel Use</t>
  </si>
  <si>
    <t>Imp.Gal/Ac</t>
  </si>
  <si>
    <t>Litres/Ac</t>
  </si>
  <si>
    <t>Ripper</t>
  </si>
  <si>
    <t>1.07 Irrigation Costs</t>
  </si>
  <si>
    <t>Hourly pumping costs - Hydro</t>
  </si>
  <si>
    <t>Hourly pumping costs - Diesel</t>
  </si>
  <si>
    <t>Percent of pumping - Hydro</t>
  </si>
  <si>
    <t>Percent of pumping - Diesel</t>
  </si>
  <si>
    <t>Base Rate ($/cwt)</t>
  </si>
  <si>
    <t>Bonus Rate ($/cwt)</t>
  </si>
  <si>
    <t>Penalty Rate ($/cwt)</t>
  </si>
  <si>
    <t xml:space="preserve">1.01  Seed &amp; Cutting Cost </t>
  </si>
  <si>
    <t>cost per application</t>
  </si>
  <si>
    <t>Fuel Costs - Field</t>
  </si>
  <si>
    <t>field fuel cost</t>
  </si>
  <si>
    <t>Acres - Percentage</t>
  </si>
  <si>
    <t>marketable yield (cwt)/ac.</t>
  </si>
  <si>
    <t>per cwt</t>
  </si>
  <si>
    <t>cwt net yield/acre</t>
  </si>
  <si>
    <t xml:space="preserve">Total </t>
  </si>
  <si>
    <t>hours pumping</t>
  </si>
  <si>
    <t>Diesel</t>
  </si>
  <si>
    <t>per acre</t>
  </si>
  <si>
    <t>Crop Consulting per acre</t>
  </si>
  <si>
    <t>Acres</t>
  </si>
  <si>
    <t>Labour per acre</t>
  </si>
  <si>
    <t>rate</t>
  </si>
  <si>
    <t>total per acre</t>
  </si>
  <si>
    <t>Content Insurance (value of production)</t>
  </si>
  <si>
    <t>Insured value of production ($/cwt)</t>
  </si>
  <si>
    <t>Content insurance</t>
  </si>
  <si>
    <t>Total Insurance</t>
  </si>
  <si>
    <t>Value</t>
  </si>
  <si>
    <t>Pipeline (per 2 miles)</t>
  </si>
  <si>
    <t>Well &amp; Pump</t>
  </si>
  <si>
    <t>Water Reservoir</t>
  </si>
  <si>
    <t>Electrical &amp; pipeline</t>
  </si>
  <si>
    <t>Breakeven Yield (Gross cwt)</t>
  </si>
  <si>
    <t>Marketable Yield per acre (cwt)</t>
  </si>
  <si>
    <t>Cost /CWT  (Based on Gross Yield)</t>
  </si>
  <si>
    <t>Phosphate:  10-34-0</t>
  </si>
  <si>
    <t>This budget outlines the cost of producing processing potatoes under irrigated conditions.</t>
  </si>
  <si>
    <r>
      <t xml:space="preserve">Labour Costs </t>
    </r>
    <r>
      <rPr>
        <sz val="12"/>
        <rFont val="Arial"/>
        <family val="2"/>
      </rPr>
      <t>(Owner Labour and Management)</t>
    </r>
  </si>
  <si>
    <t>Return on Assets (ROA)</t>
  </si>
  <si>
    <t xml:space="preserve">Total annual non-potato acres in crop rotation </t>
  </si>
  <si>
    <t>Building, climate control &amp; loading area</t>
  </si>
  <si>
    <t>Rate/cwt</t>
  </si>
  <si>
    <t>Size</t>
  </si>
  <si>
    <t xml:space="preserve">Building &amp; Climate Control </t>
  </si>
  <si>
    <t>Months</t>
  </si>
  <si>
    <t>Estimated non-potato acres in crop rotation (per acre)</t>
  </si>
  <si>
    <t xml:space="preserve"> - Marginal Return Over Total Costs (Net Profit)</t>
  </si>
  <si>
    <t xml:space="preserve"> - Operating Interest</t>
  </si>
  <si>
    <t>Rate/ac</t>
  </si>
  <si>
    <t>Total Cost/ac</t>
  </si>
  <si>
    <t>Gross Yield per acre (cwt)</t>
  </si>
  <si>
    <t xml:space="preserve">Return on Asset (ROA) Assumptions </t>
  </si>
  <si>
    <t>This budget outlines the cost of producing processing potatoes under irrigated conditions and is based on a pivot system.</t>
  </si>
  <si>
    <t xml:space="preserve">Net Profit = Gross Revenue - Total Cost  </t>
  </si>
  <si>
    <t xml:space="preserve">Operating Expense Ratio = (Operating Cost / Gross Revenue) x 100 </t>
  </si>
  <si>
    <t>Profitability &amp; Breakeven Analysis:</t>
  </si>
  <si>
    <t xml:space="preserve">Breakeven Yield = Cost / Price per Unit </t>
  </si>
  <si>
    <t xml:space="preserve">Gross Revenue = Price per unit x Yield per acre </t>
  </si>
  <si>
    <t>Potato - Gross Yield</t>
  </si>
  <si>
    <t>(Includes estimated return from annual non-potato acres in crop rotation)</t>
  </si>
  <si>
    <t>Phosphate:   11-52-0</t>
  </si>
  <si>
    <t>Diesel Fuel Cost $/litre</t>
  </si>
  <si>
    <t>1.06 Trucking Costs - Processor</t>
  </si>
  <si>
    <t>Bin piler (primary)</t>
  </si>
  <si>
    <t>Bin piler (secondary)</t>
  </si>
  <si>
    <t>Total Machinery Costs</t>
  </si>
  <si>
    <t>Conveyor (3'x150')</t>
  </si>
  <si>
    <t>Diggers</t>
  </si>
  <si>
    <t>Hog</t>
  </si>
  <si>
    <t>Skid Steer</t>
  </si>
  <si>
    <t>Tractor (280hp)</t>
  </si>
  <si>
    <t>Roterra</t>
  </si>
  <si>
    <t>Cultivator</t>
  </si>
  <si>
    <t>Disc</t>
  </si>
  <si>
    <t>Even Flow Tub</t>
  </si>
  <si>
    <t>Tandem Truck</t>
  </si>
  <si>
    <t>Belt Bottom Boxes</t>
  </si>
  <si>
    <t>(enter equipment here)</t>
  </si>
  <si>
    <t>Custom - aerial</t>
  </si>
  <si>
    <t>Custom - granular</t>
  </si>
  <si>
    <t>aerial applications</t>
  </si>
  <si>
    <t xml:space="preserve">Picking table </t>
  </si>
  <si>
    <t>Utilities cost is based on flat rate for all yields.</t>
  </si>
  <si>
    <t xml:space="preserve">Dirt conveyor </t>
  </si>
  <si>
    <t>Total Rented Acres</t>
  </si>
  <si>
    <t>Marketable Yield (cwt per acre)</t>
  </si>
  <si>
    <t>Total Owned  Acres</t>
  </si>
  <si>
    <t>Owned Land Value Per Acre</t>
  </si>
  <si>
    <t xml:space="preserve"> - Land Investment Cost</t>
  </si>
  <si>
    <t xml:space="preserve"> - Machinery Investment Cost</t>
  </si>
  <si>
    <t>Land Rental</t>
  </si>
  <si>
    <t>land rental</t>
  </si>
  <si>
    <t>Gross Yield (cwt/acre)</t>
  </si>
  <si>
    <t>Marketable Yield (cwt/acre)</t>
  </si>
  <si>
    <t xml:space="preserve">         Trucking Reimbursement ($/cwt)</t>
  </si>
  <si>
    <t>Field Operation</t>
  </si>
  <si>
    <t>b) Truck Fuel Costs - harvest from field to storage</t>
  </si>
  <si>
    <t>buildings &amp; equipment</t>
  </si>
  <si>
    <t>total other costs</t>
  </si>
  <si>
    <t>Useful life (yrs.)</t>
  </si>
  <si>
    <t>Potato</t>
  </si>
  <si>
    <t>$ per acre</t>
  </si>
  <si>
    <t>potato acres - owned land</t>
  </si>
  <si>
    <t>Cost ($/cwt)</t>
  </si>
  <si>
    <t>Seed Cost</t>
  </si>
  <si>
    <t>Cutting Cost - Custom Rate</t>
  </si>
  <si>
    <t>Seed Treatment - Fungicide</t>
  </si>
  <si>
    <t>Seed Treatment - Insecticide</t>
  </si>
  <si>
    <t xml:space="preserve"> (cwt/acre)</t>
  </si>
  <si>
    <t>Seeding Rate</t>
  </si>
  <si>
    <t>Potato Contract Price</t>
  </si>
  <si>
    <t xml:space="preserve">       Treatment Cost </t>
  </si>
  <si>
    <t xml:space="preserve">1.02  Fertilizer </t>
  </si>
  <si>
    <t xml:space="preserve">1.03  Herbicide </t>
  </si>
  <si>
    <t>1.04  Fungicide &amp; Insecticide</t>
  </si>
  <si>
    <t>1.05 Fuel Costs</t>
  </si>
  <si>
    <t>1.06  Trucking Costs - from storage to processor (Custom haul)</t>
  </si>
  <si>
    <t>1.07  Irrigation Costs</t>
  </si>
  <si>
    <t>1.08  Maintenance &amp; Repairs</t>
  </si>
  <si>
    <t>1.10 Hired Labour Costs</t>
  </si>
  <si>
    <t>1.11 Insurance</t>
  </si>
  <si>
    <t>1.14 Interest on Operating Costs</t>
  </si>
  <si>
    <t>Land Rental Per Acre (potato acres only)</t>
  </si>
  <si>
    <t>Farm trucks (seasonal)</t>
  </si>
  <si>
    <t>Farm trucks (annual)</t>
  </si>
  <si>
    <t>farm trucks (seasonal)</t>
  </si>
  <si>
    <t>farm trucks (annual)</t>
  </si>
  <si>
    <t>Phone / Cell</t>
  </si>
  <si>
    <t xml:space="preserve">Return on Assets = </t>
  </si>
  <si>
    <t xml:space="preserve"> (((Potato acres: net profit + operating interest + land inv. cost + investment cost) x acres) + (Non-potato acres: net profit + operating interest + land inv. cost + investment cost) x acres)))</t>
  </si>
  <si>
    <t xml:space="preserve">Date:  January, </t>
  </si>
  <si>
    <t xml:space="preserve">These budgets may be adjusted by putting in your own figures.  As a producer you are encouraged to calculate your own costs of production for various crops. On each farm, costs and yields differ due to soil type, climate and agronomic practices. </t>
  </si>
  <si>
    <t xml:space="preserve">This tool is available as an Excel worksheet at: </t>
  </si>
  <si>
    <t>or at your local</t>
  </si>
  <si>
    <t xml:space="preserve">Farm Management Specialist         </t>
  </si>
  <si>
    <t>Phos Acid Fungicide</t>
  </si>
  <si>
    <t xml:space="preserve">         Trucking Rate ($/cwt) based on 70 miles to processor</t>
  </si>
  <si>
    <t xml:space="preserve">                                                                                          is also available to help</t>
  </si>
  <si>
    <t>determine machinery costs.</t>
  </si>
  <si>
    <r>
      <t>Note:</t>
    </r>
    <r>
      <rPr>
        <sz val="11"/>
        <rFont val="Arial"/>
        <family val="2"/>
      </rPr>
      <t xml:space="preserve"> This budget is only a guide and is not intended as an in depth study of the cost of production of this industry. Interpretation and use of this information is the responsibility of the user.  If you need help with a budget, contact your local Manitoba Agriculture Office.</t>
    </r>
  </si>
  <si>
    <r>
      <t>The following budgets is estimates of the cost of producing processing potatoes in Manitoba.  General Manitoba Agriculture recommendations are assumed in using fertilizers and chemical inputs. These figures provide an economic evaluation of the crops and estimated yields required to cover all costs.  Costs include labour, investment, depreciation, and owner</t>
    </r>
    <r>
      <rPr>
        <i/>
        <sz val="14"/>
        <rFont val="Arial"/>
        <family val="2"/>
      </rPr>
      <t xml:space="preserve"> </t>
    </r>
    <r>
      <rPr>
        <sz val="14"/>
        <rFont val="Arial"/>
        <family val="2"/>
      </rPr>
      <t>management costs, but do not necessarily represent the average cost of production in Manitoba.</t>
    </r>
  </si>
  <si>
    <t>MASC Crop Insurance, is based on 2017 rates at 80% coverage.</t>
  </si>
  <si>
    <t>January, 2018</t>
  </si>
  <si>
    <t>Tractor (500hp)</t>
  </si>
  <si>
    <t>Planter</t>
  </si>
  <si>
    <t>MASC Crop Insurance, is based on 2018 rates at 80% coverage.</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</si>
</sst>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00\ ;\(&quot;$&quot;#,##0.0000\)"/>
    <numFmt numFmtId="173" formatCode="#,##0.0000"/>
    <numFmt numFmtId="174" formatCode="0.0%"/>
    <numFmt numFmtId="175" formatCode="&quot;$&quot;#,##0.00"/>
    <numFmt numFmtId="176" formatCode="&quot;$&quot;#,##0.0"/>
    <numFmt numFmtId="177" formatCode="&quot;$&quot;#,##0"/>
    <numFmt numFmtId="178" formatCode="0.0"/>
    <numFmt numFmtId="179" formatCode="0.000"/>
    <numFmt numFmtId="180" formatCode="&quot;$&quot;#,##0.0;\-&quot;$&quot;#,##0.0"/>
    <numFmt numFmtId="181" formatCode="0.0000"/>
    <numFmt numFmtId="182" formatCode="#,##0.0"/>
    <numFmt numFmtId="183" formatCode="&quot;$&quot;#,##0.0000"/>
    <numFmt numFmtId="184" formatCode="yyyy"/>
    <numFmt numFmtId="185" formatCode="&quot;$&quot;#,##0.0\ ;\(&quot;$&quot;#,##0.0\)"/>
    <numFmt numFmtId="186" formatCode="#,##0.000"/>
    <numFmt numFmtId="187" formatCode=";;;"/>
    <numFmt numFmtId="188" formatCode="&quot;$&quot;#,##0.0_);\(&quot;$&quot;#,##0.0\)"/>
    <numFmt numFmtId="189" formatCode="#,##0.0_);\(#,##0.0\)"/>
    <numFmt numFmtId="190" formatCode="0.0000000"/>
    <numFmt numFmtId="191" formatCode="0.000000"/>
    <numFmt numFmtId="192" formatCode="0.00000"/>
    <numFmt numFmtId="193" formatCode="0.00000000"/>
    <numFmt numFmtId="194" formatCode="#,##0.000000000"/>
    <numFmt numFmtId="195" formatCode="&quot;$&quot;#,##0.000_);\(&quot;$&quot;#,##0.000\)"/>
    <numFmt numFmtId="196" formatCode="&quot;$&quot;#,##0.0000_);\(&quot;$&quot;#,##0.0000\)"/>
    <numFmt numFmtId="197" formatCode="&quot;$&quot;#,##0.000"/>
    <numFmt numFmtId="198" formatCode="m/d/yy\ h:mm\ AM/PM"/>
    <numFmt numFmtId="199" formatCode="&quot;$&quot;#,##0.00_);[Red]&quot;$&quot;#,##0.00"/>
    <numFmt numFmtId="200" formatCode="\-\ \+\ &quot;$&quot;#,##0.00_);[Red]&quot;$&quot;#,##0.00"/>
    <numFmt numFmtId="201" formatCode="\-&quot;$&quot;#,##0.00_);[Red]&quot;$&quot;#,##0.00"/>
    <numFmt numFmtId="202" formatCode="#,##0.00_);[Red]&quot;$&quot;#,##0.00\ * \-\1"/>
    <numFmt numFmtId="203" formatCode="#,##0.00_);[Red]&quot;$&quot;#,##0.00,\-\ "/>
    <numFmt numFmtId="204" formatCode="\-\,#,##0.00_);[Red]&quot;$&quot;#,##0.00,"/>
    <numFmt numFmtId="205" formatCode="\-\,#,##0.00_);[Red]&quot;$&quot;#,##0.00"/>
    <numFmt numFmtId="206" formatCode="#,##0.00_);[Red]\1&quot;$&quot;#,##0.00"/>
    <numFmt numFmtId="207" formatCode="#,##0.00_);[Red]\-&quot;$&quot;#,##0.00"/>
    <numFmt numFmtId="208" formatCode="#,##0.00__;[Red]\-&quot;$&quot;#,##0.00"/>
    <numFmt numFmtId="209" formatCode="#,##0.00_);[Red]\-\ &quot;$&quot;#,##0.00"/>
    <numFmt numFmtId="210" formatCode="&quot;$&quot;#,##0.00_);[Red]\-&quot;$&quot;#,##0.00"/>
    <numFmt numFmtId="211" formatCode="m/d"/>
    <numFmt numFmtId="212" formatCode="mmmm\ d\,\ yyyy"/>
    <numFmt numFmtId="213" formatCode="&quot;$&quot;#,##0_);[Red]\-&quot;$&quot;#,##0"/>
    <numFmt numFmtId="214" formatCode="&quot;$&quot;#,##0.000;\-&quot;$&quot;#,##0.000"/>
    <numFmt numFmtId="215" formatCode="&quot;Yes&quot;;&quot;Yes&quot;;&quot;No&quot;"/>
    <numFmt numFmtId="216" formatCode="&quot;True&quot;;&quot;True&quot;;&quot;False&quot;"/>
    <numFmt numFmtId="217" formatCode="&quot;On&quot;;&quot;On&quot;;&quot;Off&quot;"/>
    <numFmt numFmtId="218" formatCode="[$€-2]\ #,##0.00_);[Red]\([$€-2]\ #,##0.00\)"/>
    <numFmt numFmtId="219" formatCode="#,##0_ ;\-#,##0\ "/>
    <numFmt numFmtId="220" formatCode="#,##0.0_ ;\-#,##0.0\ "/>
    <numFmt numFmtId="221" formatCode="0.0%;\(0.0%\)"/>
    <numFmt numFmtId="222" formatCode="0.000%"/>
    <numFmt numFmtId="223" formatCode="0.000%;\(0.000%\)"/>
  </numFmts>
  <fonts count="85">
    <font>
      <sz val="12"/>
      <name val="Arial"/>
      <family val="0"/>
    </font>
    <font>
      <i/>
      <sz val="12"/>
      <name val="Arial"/>
      <family val="0"/>
    </font>
    <font>
      <i/>
      <sz val="24"/>
      <name val="Arial"/>
      <family val="0"/>
    </font>
    <font>
      <sz val="6"/>
      <name val="Times New Roman"/>
      <family val="0"/>
    </font>
    <font>
      <sz val="12"/>
      <name val="Lucida Sans Unicode"/>
      <family val="2"/>
    </font>
    <font>
      <b/>
      <sz val="12"/>
      <name val="Arial"/>
      <family val="2"/>
    </font>
    <font>
      <u val="single"/>
      <sz val="12"/>
      <name val="Arial"/>
      <family val="2"/>
    </font>
    <font>
      <b/>
      <u val="single"/>
      <sz val="12"/>
      <name val="Arial"/>
      <family val="2"/>
    </font>
    <font>
      <b/>
      <sz val="12"/>
      <color indexed="12"/>
      <name val="Arial"/>
      <family val="2"/>
    </font>
    <font>
      <b/>
      <u val="single"/>
      <sz val="12"/>
      <color indexed="12"/>
      <name val="Arial"/>
      <family val="2"/>
    </font>
    <font>
      <b/>
      <sz val="10"/>
      <color indexed="12"/>
      <name val="Arial"/>
      <family val="2"/>
    </font>
    <font>
      <b/>
      <sz val="14"/>
      <name val="Arial"/>
      <family val="2"/>
    </font>
    <font>
      <sz val="14"/>
      <name val="Arial"/>
      <family val="2"/>
    </font>
    <font>
      <sz val="8"/>
      <name val="Arial"/>
      <family val="2"/>
    </font>
    <font>
      <b/>
      <sz val="12"/>
      <color indexed="8"/>
      <name val="Arial"/>
      <family val="2"/>
    </font>
    <font>
      <sz val="12"/>
      <color indexed="8"/>
      <name val="Arial"/>
      <family val="2"/>
    </font>
    <font>
      <b/>
      <i/>
      <sz val="12"/>
      <name val="Arial"/>
      <family val="2"/>
    </font>
    <font>
      <u val="single"/>
      <sz val="12"/>
      <color indexed="12"/>
      <name val="Arial"/>
      <family val="2"/>
    </font>
    <font>
      <u val="single"/>
      <sz val="12"/>
      <color indexed="36"/>
      <name val="Arial"/>
      <family val="2"/>
    </font>
    <font>
      <b/>
      <sz val="11"/>
      <name val="Arial"/>
      <family val="2"/>
    </font>
    <font>
      <sz val="12"/>
      <color indexed="10"/>
      <name val="Arial"/>
      <family val="2"/>
    </font>
    <font>
      <sz val="16"/>
      <color indexed="18"/>
      <name val="Arial"/>
      <family val="2"/>
    </font>
    <font>
      <sz val="16"/>
      <name val="Arial"/>
      <family val="2"/>
    </font>
    <font>
      <b/>
      <sz val="16"/>
      <color indexed="18"/>
      <name val="Arial"/>
      <family val="2"/>
    </font>
    <font>
      <b/>
      <sz val="16"/>
      <name val="Arial"/>
      <family val="2"/>
    </font>
    <font>
      <b/>
      <sz val="20"/>
      <color indexed="18"/>
      <name val="Arial"/>
      <family val="2"/>
    </font>
    <font>
      <b/>
      <sz val="20"/>
      <name val="Arial"/>
      <family val="2"/>
    </font>
    <font>
      <sz val="11"/>
      <name val="Arial"/>
      <family val="2"/>
    </font>
    <font>
      <sz val="22"/>
      <name val="Arial"/>
      <family val="2"/>
    </font>
    <font>
      <i/>
      <sz val="14"/>
      <name val="Arial"/>
      <family val="2"/>
    </font>
    <font>
      <sz val="10"/>
      <name val="Arial"/>
      <family val="2"/>
    </font>
    <font>
      <b/>
      <u val="single"/>
      <sz val="11"/>
      <name val="Arial"/>
      <family val="2"/>
    </font>
    <font>
      <b/>
      <u val="single"/>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Arial"/>
      <family val="2"/>
    </font>
    <font>
      <b/>
      <sz val="12"/>
      <color indexed="9"/>
      <name val="Arial"/>
      <family val="2"/>
    </font>
    <font>
      <b/>
      <u val="single"/>
      <sz val="11"/>
      <color indexed="12"/>
      <name val="Arial"/>
      <family val="2"/>
    </font>
    <font>
      <b/>
      <sz val="12"/>
      <color indexed="10"/>
      <name val="Arial"/>
      <family val="2"/>
    </font>
    <font>
      <b/>
      <sz val="10"/>
      <color indexed="8"/>
      <name val="Arial"/>
      <family val="2"/>
    </font>
    <font>
      <b/>
      <sz val="14"/>
      <color indexed="9"/>
      <name val="Arial"/>
      <family val="2"/>
    </font>
    <font>
      <sz val="14"/>
      <color indexed="9"/>
      <name val="Arial"/>
      <family val="2"/>
    </font>
    <font>
      <i/>
      <u val="single"/>
      <sz val="14"/>
      <color indexed="12"/>
      <name val="Arial"/>
      <family val="0"/>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rgb="FF0000FF"/>
      <name val="Arial"/>
      <family val="2"/>
    </font>
    <font>
      <b/>
      <sz val="12"/>
      <color theme="0"/>
      <name val="Arial"/>
      <family val="2"/>
    </font>
    <font>
      <b/>
      <sz val="12"/>
      <color theme="1"/>
      <name val="Arial"/>
      <family val="2"/>
    </font>
    <font>
      <b/>
      <u val="single"/>
      <sz val="11"/>
      <color theme="10"/>
      <name val="Arial"/>
      <family val="2"/>
    </font>
    <font>
      <b/>
      <sz val="12"/>
      <color rgb="FFFF0000"/>
      <name val="Arial"/>
      <family val="2"/>
    </font>
    <font>
      <b/>
      <sz val="10"/>
      <color theme="1"/>
      <name val="Arial"/>
      <family val="2"/>
    </font>
    <font>
      <b/>
      <u val="single"/>
      <sz val="12"/>
      <color rgb="FF0000FF"/>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399930238723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66" fontId="0" fillId="0" borderId="0">
      <alignment horizontal="right" vertical="justify"/>
      <protection/>
    </xf>
    <xf numFmtId="0" fontId="63" fillId="0" borderId="0" applyNumberFormat="0" applyFill="0" applyBorder="0" applyAlignment="0" applyProtection="0"/>
    <xf numFmtId="0" fontId="1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30" fillId="0" borderId="0">
      <alignment vertical="top"/>
      <protection/>
    </xf>
    <xf numFmtId="175" fontId="0" fillId="0" borderId="0">
      <alignment vertical="top"/>
      <protection/>
    </xf>
    <xf numFmtId="0" fontId="0" fillId="32" borderId="7" applyNumberFormat="0" applyFont="0" applyAlignment="0" applyProtection="0"/>
    <xf numFmtId="0" fontId="71" fillId="27" borderId="8" applyNumberFormat="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85">
    <xf numFmtId="0" fontId="0" fillId="0" borderId="0" xfId="0" applyAlignment="1">
      <alignment/>
    </xf>
    <xf numFmtId="0" fontId="4" fillId="0" borderId="0" xfId="0" applyFont="1" applyAlignment="1">
      <alignment/>
    </xf>
    <xf numFmtId="0" fontId="0" fillId="0" borderId="0" xfId="0" applyFont="1" applyAlignment="1">
      <alignment/>
    </xf>
    <xf numFmtId="175" fontId="0" fillId="0" borderId="0" xfId="55">
      <alignment vertical="top"/>
      <protection/>
    </xf>
    <xf numFmtId="0" fontId="4"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protection/>
    </xf>
    <xf numFmtId="0" fontId="8" fillId="0" borderId="0" xfId="0" applyFont="1" applyAlignment="1" applyProtection="1">
      <alignment/>
      <protection/>
    </xf>
    <xf numFmtId="0" fontId="5" fillId="0" borderId="0" xfId="0" applyFont="1" applyAlignment="1" applyProtection="1">
      <alignment horizontal="right"/>
      <protection/>
    </xf>
    <xf numFmtId="0" fontId="7" fillId="0" borderId="0" xfId="0" applyFont="1" applyAlignment="1" applyProtection="1">
      <alignment horizontal="right"/>
      <protection/>
    </xf>
    <xf numFmtId="7" fontId="0" fillId="0" borderId="0" xfId="0" applyNumberFormat="1" applyFont="1" applyAlignment="1" applyProtection="1">
      <alignment/>
      <protection/>
    </xf>
    <xf numFmtId="0" fontId="6" fillId="0" borderId="0" xfId="0" applyFont="1" applyAlignment="1" applyProtection="1">
      <alignment/>
      <protection/>
    </xf>
    <xf numFmtId="5" fontId="0" fillId="0" borderId="0" xfId="0" applyNumberFormat="1" applyFont="1" applyAlignment="1" applyProtection="1">
      <alignment/>
      <protection/>
    </xf>
    <xf numFmtId="0" fontId="0" fillId="0" borderId="0" xfId="0" applyFont="1" applyAlignment="1" applyProtection="1" quotePrefix="1">
      <alignment/>
      <protection/>
    </xf>
    <xf numFmtId="172" fontId="0" fillId="0" borderId="0" xfId="0" applyNumberFormat="1" applyFont="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5" fillId="0" borderId="0" xfId="0" applyFont="1" applyAlignment="1">
      <alignment/>
    </xf>
    <xf numFmtId="17" fontId="5" fillId="0" borderId="0" xfId="55" applyNumberFormat="1" applyFont="1" applyAlignment="1">
      <alignment horizontal="right" vertical="top"/>
      <protection/>
    </xf>
    <xf numFmtId="175" fontId="0" fillId="0" borderId="0" xfId="0" applyNumberFormat="1" applyFont="1" applyAlignment="1" applyProtection="1">
      <alignment/>
      <protection/>
    </xf>
    <xf numFmtId="175" fontId="6" fillId="0" borderId="0" xfId="0" applyNumberFormat="1" applyFont="1" applyAlignment="1" applyProtection="1">
      <alignment/>
      <protection/>
    </xf>
    <xf numFmtId="175" fontId="5" fillId="0" borderId="0" xfId="0" applyNumberFormat="1" applyFont="1" applyAlignment="1" applyProtection="1">
      <alignment/>
      <protection/>
    </xf>
    <xf numFmtId="2" fontId="0" fillId="0" borderId="0" xfId="0" applyNumberFormat="1" applyFont="1" applyAlignment="1" applyProtection="1" quotePrefix="1">
      <alignment/>
      <protection/>
    </xf>
    <xf numFmtId="0" fontId="0" fillId="0" borderId="0" xfId="0" applyFont="1" applyAlignment="1" applyProtection="1" quotePrefix="1">
      <alignment horizontal="left"/>
      <protection/>
    </xf>
    <xf numFmtId="175" fontId="5" fillId="0" borderId="0" xfId="55" applyFont="1">
      <alignment vertical="top"/>
      <protection/>
    </xf>
    <xf numFmtId="0" fontId="0" fillId="0" borderId="0" xfId="0" applyAlignment="1">
      <alignment vertical="top"/>
    </xf>
    <xf numFmtId="0" fontId="5" fillId="0" borderId="0" xfId="0" applyFont="1" applyAlignment="1" applyProtection="1">
      <alignment horizontal="center"/>
      <protection/>
    </xf>
    <xf numFmtId="0" fontId="0" fillId="0" borderId="0" xfId="0" applyFont="1" applyAlignment="1" applyProtection="1">
      <alignment vertical="top"/>
      <protection/>
    </xf>
    <xf numFmtId="49" fontId="0" fillId="0" borderId="0" xfId="0" applyNumberFormat="1" applyFont="1" applyAlignment="1" applyProtection="1">
      <alignment vertical="top"/>
      <protection/>
    </xf>
    <xf numFmtId="0" fontId="7" fillId="0" borderId="0" xfId="0" applyFont="1" applyAlignment="1" applyProtection="1">
      <alignment/>
      <protection/>
    </xf>
    <xf numFmtId="3" fontId="0" fillId="0" borderId="0" xfId="0" applyNumberFormat="1" applyFont="1" applyAlignment="1" applyProtection="1">
      <alignment/>
      <protection/>
    </xf>
    <xf numFmtId="7" fontId="6" fillId="0" borderId="0" xfId="0" applyNumberFormat="1" applyFont="1" applyAlignment="1" applyProtection="1">
      <alignment/>
      <protection/>
    </xf>
    <xf numFmtId="0" fontId="0" fillId="0" borderId="0" xfId="0" applyFont="1" applyBorder="1" applyAlignment="1" applyProtection="1">
      <alignment/>
      <protection/>
    </xf>
    <xf numFmtId="3" fontId="6" fillId="0" borderId="0" xfId="0" applyNumberFormat="1" applyFont="1" applyAlignment="1" applyProtection="1">
      <alignment/>
      <protection/>
    </xf>
    <xf numFmtId="166" fontId="0" fillId="0" borderId="0" xfId="42" applyFont="1">
      <alignment horizontal="right" vertical="justify"/>
      <protection/>
    </xf>
    <xf numFmtId="214" fontId="6" fillId="0" borderId="0" xfId="0" applyNumberFormat="1" applyFont="1" applyAlignment="1" applyProtection="1">
      <alignment/>
      <protection/>
    </xf>
    <xf numFmtId="166" fontId="5" fillId="0" borderId="0" xfId="42" applyFont="1">
      <alignment horizontal="right" vertical="justify"/>
      <protection/>
    </xf>
    <xf numFmtId="2" fontId="0" fillId="0" borderId="0" xfId="0" applyNumberFormat="1" applyFont="1" applyAlignment="1" applyProtection="1">
      <alignment/>
      <protection/>
    </xf>
    <xf numFmtId="164" fontId="0" fillId="0" borderId="0" xfId="42" applyNumberFormat="1" applyFont="1">
      <alignment horizontal="right" vertical="justify"/>
      <protection/>
    </xf>
    <xf numFmtId="164" fontId="6" fillId="0" borderId="0" xfId="42" applyNumberFormat="1" applyFont="1">
      <alignment horizontal="right" vertical="justify"/>
      <protection/>
    </xf>
    <xf numFmtId="174" fontId="6" fillId="0" borderId="0" xfId="0" applyNumberFormat="1" applyFont="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center"/>
      <protection/>
    </xf>
    <xf numFmtId="174" fontId="0" fillId="0" borderId="0" xfId="0" applyNumberFormat="1" applyFont="1" applyAlignment="1" applyProtection="1">
      <alignment/>
      <protection/>
    </xf>
    <xf numFmtId="166" fontId="6" fillId="0" borderId="0" xfId="42" applyFont="1">
      <alignment horizontal="right" vertical="justify"/>
      <protection/>
    </xf>
    <xf numFmtId="0" fontId="0" fillId="0" borderId="0" xfId="0" applyNumberFormat="1" applyFont="1" applyAlignment="1" applyProtection="1">
      <alignment vertical="top"/>
      <protection/>
    </xf>
    <xf numFmtId="17" fontId="5" fillId="0" borderId="0" xfId="55" applyNumberFormat="1" applyFont="1" applyAlignment="1">
      <alignment horizontal="left" vertical="top"/>
      <protection/>
    </xf>
    <xf numFmtId="175" fontId="5" fillId="0" borderId="0" xfId="55" applyFont="1" applyAlignment="1">
      <alignment horizontal="right" vertical="top"/>
      <protection/>
    </xf>
    <xf numFmtId="0" fontId="0" fillId="0" borderId="0" xfId="0" applyFont="1" applyFill="1" applyAlignment="1" applyProtection="1">
      <alignment/>
      <protection/>
    </xf>
    <xf numFmtId="0" fontId="0" fillId="0" borderId="0" xfId="0" applyAlignment="1">
      <alignment vertical="top" wrapText="1"/>
    </xf>
    <xf numFmtId="175" fontId="0" fillId="0" borderId="0" xfId="55" applyBorder="1">
      <alignment vertical="top"/>
      <protection/>
    </xf>
    <xf numFmtId="175" fontId="28" fillId="0" borderId="0" xfId="55" applyFont="1" applyBorder="1" applyAlignment="1">
      <alignment vertical="center"/>
      <protection/>
    </xf>
    <xf numFmtId="175" fontId="0" fillId="0" borderId="0" xfId="55" applyBorder="1" applyAlignment="1">
      <alignment vertical="center"/>
      <protection/>
    </xf>
    <xf numFmtId="175" fontId="0" fillId="0" borderId="0" xfId="55" applyAlignment="1">
      <alignment vertical="center"/>
      <protection/>
    </xf>
    <xf numFmtId="175" fontId="12" fillId="0" borderId="0" xfId="55" applyFont="1" applyAlignment="1">
      <alignment horizontal="left" vertical="top" wrapText="1"/>
      <protection/>
    </xf>
    <xf numFmtId="1" fontId="5" fillId="0" borderId="0" xfId="55" applyNumberFormat="1" applyFont="1" applyAlignment="1">
      <alignment horizontal="left" vertical="top"/>
      <protection/>
    </xf>
    <xf numFmtId="0" fontId="75" fillId="33"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0" fillId="0" borderId="0" xfId="0" applyFont="1" applyAlignment="1" applyProtection="1">
      <alignment horizontal="center"/>
      <protection/>
    </xf>
    <xf numFmtId="177" fontId="76" fillId="0" borderId="0" xfId="0" applyNumberFormat="1" applyFont="1" applyFill="1" applyAlignment="1" applyProtection="1">
      <alignment/>
      <protection locked="0"/>
    </xf>
    <xf numFmtId="197" fontId="5" fillId="0" borderId="0" xfId="0" applyNumberFormat="1" applyFont="1" applyFill="1" applyAlignment="1" applyProtection="1">
      <alignment/>
      <protection/>
    </xf>
    <xf numFmtId="7" fontId="5" fillId="0" borderId="0" xfId="0" applyNumberFormat="1" applyFont="1" applyAlignment="1" applyProtection="1">
      <alignment/>
      <protection/>
    </xf>
    <xf numFmtId="0" fontId="77" fillId="33" borderId="0" xfId="54" applyFont="1" applyFill="1" applyAlignment="1" applyProtection="1">
      <alignment/>
      <protection/>
    </xf>
    <xf numFmtId="0" fontId="5" fillId="0" borderId="0" xfId="54" applyFont="1" applyFill="1" applyAlignment="1" applyProtection="1">
      <alignment/>
      <protection/>
    </xf>
    <xf numFmtId="0" fontId="12" fillId="0" borderId="0" xfId="54" applyFont="1" applyAlignment="1">
      <alignment/>
      <protection/>
    </xf>
    <xf numFmtId="0" fontId="0" fillId="0" borderId="0" xfId="54" applyFont="1" applyAlignment="1">
      <alignment/>
      <protection/>
    </xf>
    <xf numFmtId="0" fontId="5" fillId="0" borderId="0" xfId="54" applyFont="1" applyFill="1" applyAlignment="1" applyProtection="1">
      <alignment horizontal="center"/>
      <protection/>
    </xf>
    <xf numFmtId="0" fontId="0" fillId="0" borderId="0" xfId="54" applyFont="1" applyAlignment="1" applyProtection="1">
      <alignment/>
      <protection/>
    </xf>
    <xf numFmtId="0" fontId="5" fillId="0" borderId="0" xfId="54" applyFont="1" applyAlignment="1" applyProtection="1">
      <alignment/>
      <protection/>
    </xf>
    <xf numFmtId="9" fontId="76" fillId="0" borderId="0" xfId="54" applyNumberFormat="1" applyFont="1" applyBorder="1" applyAlignment="1">
      <alignment horizontal="center"/>
      <protection/>
    </xf>
    <xf numFmtId="0" fontId="5" fillId="0" borderId="0" xfId="54" applyFont="1" applyAlignment="1">
      <alignment/>
      <protection/>
    </xf>
    <xf numFmtId="0" fontId="27" fillId="0" borderId="0" xfId="54" applyFont="1" applyAlignment="1" applyProtection="1">
      <alignment horizontal="right"/>
      <protection/>
    </xf>
    <xf numFmtId="0" fontId="19" fillId="0" borderId="0" xfId="54" applyFont="1" applyAlignment="1" applyProtection="1">
      <alignment horizontal="center"/>
      <protection/>
    </xf>
    <xf numFmtId="0" fontId="19" fillId="0" borderId="0" xfId="54" applyFont="1" applyFill="1" applyAlignment="1" applyProtection="1">
      <alignment horizontal="right"/>
      <protection/>
    </xf>
    <xf numFmtId="0" fontId="19" fillId="0" borderId="0" xfId="54" applyFont="1" applyFill="1" applyAlignment="1" applyProtection="1">
      <alignment horizontal="center"/>
      <protection/>
    </xf>
    <xf numFmtId="0" fontId="19" fillId="0" borderId="0" xfId="54" applyFont="1" applyAlignment="1">
      <alignment horizontal="center"/>
      <protection/>
    </xf>
    <xf numFmtId="0" fontId="27" fillId="0" borderId="0" xfId="54" applyFont="1" applyAlignment="1">
      <alignment horizontal="right"/>
      <protection/>
    </xf>
    <xf numFmtId="0" fontId="27" fillId="0" borderId="0" xfId="54" applyFont="1" applyAlignment="1" applyProtection="1">
      <alignment/>
      <protection/>
    </xf>
    <xf numFmtId="0" fontId="31" fillId="0" borderId="0" xfId="54" applyFont="1" applyFill="1" applyAlignment="1" applyProtection="1">
      <alignment horizontal="center"/>
      <protection/>
    </xf>
    <xf numFmtId="0" fontId="31" fillId="0" borderId="0" xfId="54" applyFont="1" applyAlignment="1">
      <alignment horizontal="center"/>
      <protection/>
    </xf>
    <xf numFmtId="0" fontId="27" fillId="0" borderId="0" xfId="54" applyFont="1" applyAlignment="1">
      <alignment/>
      <protection/>
    </xf>
    <xf numFmtId="0" fontId="19" fillId="0" borderId="10" xfId="54" applyFont="1" applyBorder="1" applyAlignment="1">
      <alignment/>
      <protection/>
    </xf>
    <xf numFmtId="0" fontId="19" fillId="0" borderId="0" xfId="54" applyFont="1" applyFill="1" applyBorder="1" applyAlignment="1" applyProtection="1">
      <alignment horizontal="center"/>
      <protection/>
    </xf>
    <xf numFmtId="7" fontId="0" fillId="0" borderId="0" xfId="54" applyNumberFormat="1" applyFont="1" applyAlignment="1">
      <alignment/>
      <protection/>
    </xf>
    <xf numFmtId="0" fontId="12" fillId="0" borderId="10" xfId="54" applyFont="1" applyBorder="1" applyAlignment="1">
      <alignment/>
      <protection/>
    </xf>
    <xf numFmtId="0" fontId="0" fillId="0" borderId="0" xfId="54" applyFont="1" applyFill="1" applyAlignment="1" applyProtection="1">
      <alignment/>
      <protection/>
    </xf>
    <xf numFmtId="7" fontId="5" fillId="0" borderId="0" xfId="54" applyNumberFormat="1" applyFont="1" applyFill="1" applyAlignment="1" applyProtection="1">
      <alignment/>
      <protection/>
    </xf>
    <xf numFmtId="219" fontId="5" fillId="0" borderId="0" xfId="54" applyNumberFormat="1" applyFont="1" applyFill="1" applyAlignment="1" applyProtection="1">
      <alignment/>
      <protection/>
    </xf>
    <xf numFmtId="0" fontId="12" fillId="0" borderId="10" xfId="54" applyFont="1" applyFill="1" applyBorder="1" applyAlignment="1">
      <alignment/>
      <protection/>
    </xf>
    <xf numFmtId="0" fontId="12" fillId="0" borderId="0" xfId="54" applyFont="1" applyFill="1" applyAlignment="1">
      <alignment/>
      <protection/>
    </xf>
    <xf numFmtId="219" fontId="0" fillId="0" borderId="0" xfId="54" applyNumberFormat="1" applyFont="1" applyFill="1" applyAlignment="1" applyProtection="1">
      <alignment horizontal="right"/>
      <protection/>
    </xf>
    <xf numFmtId="0" fontId="0" fillId="34" borderId="0" xfId="54" applyFont="1" applyFill="1" applyAlignment="1" applyProtection="1">
      <alignment/>
      <protection/>
    </xf>
    <xf numFmtId="219" fontId="0" fillId="34" borderId="0" xfId="54" applyNumberFormat="1" applyFont="1" applyFill="1" applyAlignment="1" applyProtection="1">
      <alignment horizontal="right"/>
      <protection/>
    </xf>
    <xf numFmtId="0" fontId="0" fillId="34" borderId="0" xfId="54" applyFont="1" applyFill="1" applyAlignment="1">
      <alignment/>
      <protection/>
    </xf>
    <xf numFmtId="0" fontId="5" fillId="34" borderId="12" xfId="54" applyFont="1" applyFill="1" applyBorder="1" applyAlignment="1">
      <alignment horizontal="center"/>
      <protection/>
    </xf>
    <xf numFmtId="0" fontId="12" fillId="34" borderId="0" xfId="54" applyFont="1" applyFill="1" applyAlignment="1">
      <alignment/>
      <protection/>
    </xf>
    <xf numFmtId="0" fontId="11" fillId="34" borderId="0" xfId="54" applyFont="1" applyFill="1" applyAlignment="1" applyProtection="1">
      <alignment horizontal="right"/>
      <protection/>
    </xf>
    <xf numFmtId="9" fontId="76" fillId="0" borderId="12" xfId="54" applyNumberFormat="1" applyFont="1" applyFill="1" applyBorder="1" applyAlignment="1" applyProtection="1">
      <alignment horizontal="center"/>
      <protection locked="0"/>
    </xf>
    <xf numFmtId="0" fontId="5" fillId="34" borderId="0" xfId="54" applyFont="1" applyFill="1" applyAlignment="1">
      <alignment/>
      <protection/>
    </xf>
    <xf numFmtId="9" fontId="76" fillId="34" borderId="0" xfId="54" applyNumberFormat="1" applyFont="1" applyFill="1" applyBorder="1" applyAlignment="1" applyProtection="1">
      <alignment horizontal="center"/>
      <protection locked="0"/>
    </xf>
    <xf numFmtId="0" fontId="5" fillId="0" borderId="0" xfId="54" applyFont="1" applyAlignment="1">
      <alignment horizontal="right"/>
      <protection/>
    </xf>
    <xf numFmtId="7" fontId="0" fillId="0" borderId="0" xfId="54" applyNumberFormat="1" applyFont="1" applyFill="1" applyAlignment="1" applyProtection="1">
      <alignment/>
      <protection/>
    </xf>
    <xf numFmtId="0" fontId="11" fillId="0" borderId="10" xfId="54" applyFont="1" applyBorder="1" applyAlignment="1">
      <alignment/>
      <protection/>
    </xf>
    <xf numFmtId="0" fontId="11" fillId="0" borderId="0" xfId="54" applyFont="1" applyAlignment="1">
      <alignment/>
      <protection/>
    </xf>
    <xf numFmtId="220" fontId="0" fillId="0" borderId="0" xfId="54" applyNumberFormat="1" applyFont="1" applyFill="1" applyAlignment="1" applyProtection="1">
      <alignment/>
      <protection/>
    </xf>
    <xf numFmtId="0" fontId="32" fillId="0" borderId="0" xfId="54" applyFont="1" applyFill="1" applyAlignment="1" applyProtection="1">
      <alignment/>
      <protection/>
    </xf>
    <xf numFmtId="0" fontId="0" fillId="0" borderId="0" xfId="54" applyFont="1" applyFill="1" applyAlignment="1" applyProtection="1">
      <alignment horizontal="left"/>
      <protection/>
    </xf>
    <xf numFmtId="166" fontId="0" fillId="0" borderId="0" xfId="54" applyNumberFormat="1" applyFont="1" applyFill="1" applyAlignment="1" applyProtection="1">
      <alignment/>
      <protection/>
    </xf>
    <xf numFmtId="221" fontId="0" fillId="0" borderId="0" xfId="54" applyNumberFormat="1" applyFont="1" applyFill="1" applyAlignment="1" applyProtection="1">
      <alignment/>
      <protection/>
    </xf>
    <xf numFmtId="0" fontId="12" fillId="0" borderId="11" xfId="54" applyFont="1" applyBorder="1" applyAlignment="1">
      <alignment/>
      <protection/>
    </xf>
    <xf numFmtId="0" fontId="78"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lignment/>
    </xf>
    <xf numFmtId="175" fontId="79" fillId="0" borderId="0" xfId="50" applyNumberFormat="1" applyFont="1" applyAlignment="1" applyProtection="1">
      <alignment vertical="top"/>
      <protection/>
    </xf>
    <xf numFmtId="0" fontId="19" fillId="0" borderId="0" xfId="0" applyFont="1" applyAlignment="1">
      <alignment/>
    </xf>
    <xf numFmtId="0" fontId="27" fillId="0" borderId="0" xfId="0" applyFont="1" applyAlignment="1">
      <alignment/>
    </xf>
    <xf numFmtId="175" fontId="0" fillId="0" borderId="0" xfId="55" applyFill="1">
      <alignment vertical="top"/>
      <protection/>
    </xf>
    <xf numFmtId="7" fontId="0" fillId="0" borderId="0" xfId="0" applyNumberFormat="1" applyFont="1" applyAlignment="1">
      <alignment/>
    </xf>
    <xf numFmtId="0" fontId="0" fillId="0" borderId="0" xfId="0" applyFont="1" applyAlignment="1" applyProtection="1">
      <alignment horizontal="right"/>
      <protection/>
    </xf>
    <xf numFmtId="7" fontId="7" fillId="0" borderId="0" xfId="0" applyNumberFormat="1" applyFont="1" applyAlignment="1" applyProtection="1">
      <alignment/>
      <protection/>
    </xf>
    <xf numFmtId="2" fontId="5" fillId="0" borderId="0" xfId="0" applyNumberFormat="1" applyFont="1" applyAlignment="1" applyProtection="1">
      <alignment/>
      <protection/>
    </xf>
    <xf numFmtId="197" fontId="6" fillId="0" borderId="0" xfId="0" applyNumberFormat="1" applyFont="1" applyAlignment="1" applyProtection="1">
      <alignment/>
      <protection/>
    </xf>
    <xf numFmtId="175" fontId="5" fillId="0" borderId="0" xfId="0" applyNumberFormat="1" applyFont="1" applyFill="1" applyAlignment="1" applyProtection="1">
      <alignment/>
      <protection/>
    </xf>
    <xf numFmtId="7" fontId="0" fillId="0" borderId="0" xfId="0" applyNumberFormat="1" applyFont="1" applyFill="1" applyAlignment="1" applyProtection="1">
      <alignment/>
      <protection/>
    </xf>
    <xf numFmtId="175" fontId="0" fillId="0" borderId="0" xfId="0" applyNumberFormat="1" applyFont="1" applyFill="1" applyAlignment="1">
      <alignment/>
    </xf>
    <xf numFmtId="3" fontId="6" fillId="0" borderId="0" xfId="0" applyNumberFormat="1" applyFont="1" applyFill="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left"/>
      <protection/>
    </xf>
    <xf numFmtId="0" fontId="6" fillId="0" borderId="0" xfId="42" applyNumberFormat="1" applyFont="1">
      <alignment horizontal="right" vertical="justify"/>
      <protection/>
    </xf>
    <xf numFmtId="183" fontId="0" fillId="0" borderId="0" xfId="42" applyNumberFormat="1" applyFont="1">
      <alignment horizontal="right" vertical="justify"/>
      <protection/>
    </xf>
    <xf numFmtId="183" fontId="5" fillId="0" borderId="0" xfId="42" applyNumberFormat="1" applyFont="1">
      <alignment horizontal="right" vertical="justify"/>
      <protection/>
    </xf>
    <xf numFmtId="0" fontId="0" fillId="0" borderId="0" xfId="0" applyNumberFormat="1" applyFont="1" applyAlignment="1" applyProtection="1">
      <alignment/>
      <protection/>
    </xf>
    <xf numFmtId="175" fontId="6" fillId="0" borderId="0" xfId="42" applyNumberFormat="1" applyFont="1">
      <alignment horizontal="right" vertical="justify"/>
      <protection/>
    </xf>
    <xf numFmtId="175" fontId="5" fillId="0" borderId="0" xfId="42" applyNumberFormat="1" applyFont="1">
      <alignment horizontal="right" vertical="justify"/>
      <protection/>
    </xf>
    <xf numFmtId="0" fontId="0" fillId="0" borderId="0" xfId="0" applyFont="1" applyFill="1" applyAlignment="1">
      <alignment/>
    </xf>
    <xf numFmtId="164" fontId="0" fillId="0" borderId="0" xfId="42" applyNumberFormat="1" applyFont="1" applyFill="1" applyAlignment="1">
      <alignment horizontal="right" vertical="justify"/>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164" fontId="6" fillId="0" borderId="0" xfId="42" applyNumberFormat="1" applyFont="1" applyFill="1" applyAlignment="1">
      <alignment horizontal="right" vertical="justify"/>
      <protection/>
    </xf>
    <xf numFmtId="0" fontId="6" fillId="0" borderId="0" xfId="0" applyFont="1" applyFill="1" applyAlignment="1" applyProtection="1">
      <alignment/>
      <protection/>
    </xf>
    <xf numFmtId="166" fontId="5" fillId="0" borderId="0" xfId="42" applyFont="1" applyFill="1">
      <alignment horizontal="right" vertical="justify"/>
      <protection/>
    </xf>
    <xf numFmtId="0" fontId="0" fillId="0" borderId="13" xfId="0" applyFont="1" applyFill="1" applyBorder="1" applyAlignment="1" applyProtection="1">
      <alignment/>
      <protection/>
    </xf>
    <xf numFmtId="0" fontId="0" fillId="0" borderId="10" xfId="0" applyFont="1" applyBorder="1" applyAlignment="1">
      <alignment/>
    </xf>
    <xf numFmtId="5" fontId="8" fillId="0" borderId="0" xfId="0" applyNumberFormat="1" applyFont="1" applyFill="1" applyAlignment="1" applyProtection="1">
      <alignment/>
      <protection locked="0"/>
    </xf>
    <xf numFmtId="0" fontId="76" fillId="0" borderId="0" xfId="0" applyFont="1" applyFill="1" applyAlignment="1" applyProtection="1">
      <alignment/>
      <protection locked="0"/>
    </xf>
    <xf numFmtId="5" fontId="5" fillId="0" borderId="0" xfId="0" applyNumberFormat="1" applyFont="1" applyFill="1" applyAlignment="1" applyProtection="1">
      <alignment/>
      <protection/>
    </xf>
    <xf numFmtId="177" fontId="8" fillId="0" borderId="0" xfId="0" applyNumberFormat="1" applyFont="1" applyFill="1" applyAlignment="1" applyProtection="1">
      <alignment/>
      <protection locked="0"/>
    </xf>
    <xf numFmtId="5" fontId="7" fillId="0" borderId="0" xfId="0" applyNumberFormat="1" applyFont="1" applyFill="1" applyAlignment="1" applyProtection="1">
      <alignment/>
      <protection/>
    </xf>
    <xf numFmtId="0" fontId="6" fillId="0" borderId="10" xfId="0" applyFont="1" applyBorder="1" applyAlignment="1" applyProtection="1">
      <alignment/>
      <protection/>
    </xf>
    <xf numFmtId="166" fontId="0" fillId="0" borderId="0" xfId="0" applyNumberFormat="1" applyFont="1" applyAlignment="1">
      <alignment/>
    </xf>
    <xf numFmtId="175" fontId="0" fillId="0" borderId="0" xfId="0" applyNumberFormat="1" applyFont="1" applyAlignment="1">
      <alignment/>
    </xf>
    <xf numFmtId="219" fontId="0" fillId="0" borderId="0" xfId="0" applyNumberFormat="1" applyFont="1" applyAlignment="1">
      <alignment/>
    </xf>
    <xf numFmtId="174" fontId="0" fillId="0" borderId="0" xfId="0" applyNumberFormat="1" applyFont="1" applyAlignment="1">
      <alignment/>
    </xf>
    <xf numFmtId="0" fontId="7" fillId="0" borderId="0" xfId="0" applyFont="1" applyFill="1" applyAlignment="1" applyProtection="1">
      <alignment horizontal="right"/>
      <protection/>
    </xf>
    <xf numFmtId="0" fontId="4" fillId="0" borderId="0" xfId="0" applyFont="1" applyFill="1" applyAlignment="1">
      <alignment/>
    </xf>
    <xf numFmtId="7" fontId="8" fillId="0" borderId="0" xfId="0" applyNumberFormat="1" applyFont="1" applyFill="1" applyAlignment="1" applyProtection="1">
      <alignment/>
      <protection locked="0"/>
    </xf>
    <xf numFmtId="0" fontId="30" fillId="0" borderId="0" xfId="0" applyFont="1" applyAlignment="1">
      <alignment vertical="top"/>
    </xf>
    <xf numFmtId="5" fontId="8" fillId="0" borderId="0" xfId="0" applyNumberFormat="1" applyFont="1" applyFill="1" applyAlignment="1" applyProtection="1">
      <alignment/>
      <protection/>
    </xf>
    <xf numFmtId="0" fontId="4" fillId="0" borderId="0" xfId="0" applyFont="1" applyFill="1" applyAlignment="1" applyProtection="1">
      <alignment/>
      <protection/>
    </xf>
    <xf numFmtId="0" fontId="20" fillId="0" borderId="0" xfId="0" applyFont="1" applyFill="1" applyAlignment="1" applyProtection="1">
      <alignment/>
      <protection/>
    </xf>
    <xf numFmtId="0" fontId="8" fillId="0" borderId="0" xfId="0" applyFont="1" applyFill="1" applyAlignment="1" applyProtection="1">
      <alignment/>
      <protection/>
    </xf>
    <xf numFmtId="3" fontId="5"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80" fillId="0" borderId="0" xfId="0" applyNumberFormat="1" applyFont="1" applyFill="1" applyAlignment="1" applyProtection="1">
      <alignment horizontal="left"/>
      <protection/>
    </xf>
    <xf numFmtId="0" fontId="5" fillId="0" borderId="0" xfId="0" applyFont="1" applyFill="1" applyAlignment="1" applyProtection="1">
      <alignment horizontal="right"/>
      <protection/>
    </xf>
    <xf numFmtId="7" fontId="5" fillId="0" borderId="0" xfId="0" applyNumberFormat="1" applyFont="1" applyFill="1" applyAlignment="1" applyProtection="1">
      <alignment/>
      <protection/>
    </xf>
    <xf numFmtId="7" fontId="7" fillId="0" borderId="0" xfId="0" applyNumberFormat="1" applyFont="1" applyFill="1" applyAlignment="1" applyProtection="1">
      <alignment/>
      <protection/>
    </xf>
    <xf numFmtId="0" fontId="5" fillId="0" borderId="0" xfId="0" applyFont="1" applyFill="1" applyAlignment="1">
      <alignment horizontal="center"/>
    </xf>
    <xf numFmtId="0" fontId="7" fillId="0" borderId="0" xfId="0" applyFont="1" applyFill="1" applyAlignment="1" applyProtection="1">
      <alignment horizontal="center"/>
      <protection/>
    </xf>
    <xf numFmtId="197" fontId="0" fillId="0" borderId="0" xfId="0" applyNumberFormat="1" applyFont="1" applyFill="1" applyAlignment="1" applyProtection="1">
      <alignment/>
      <protection/>
    </xf>
    <xf numFmtId="166" fontId="5" fillId="0" borderId="0" xfId="42" applyFont="1" applyFill="1" applyProtection="1">
      <alignment horizontal="right" vertical="justify"/>
      <protection/>
    </xf>
    <xf numFmtId="177" fontId="8" fillId="0" borderId="0" xfId="0" applyNumberFormat="1" applyFont="1" applyFill="1" applyAlignment="1" applyProtection="1">
      <alignment/>
      <protection/>
    </xf>
    <xf numFmtId="2" fontId="5" fillId="0" borderId="0" xfId="0" applyNumberFormat="1" applyFont="1" applyFill="1" applyAlignment="1" applyProtection="1">
      <alignment/>
      <protection/>
    </xf>
    <xf numFmtId="177" fontId="5" fillId="0" borderId="0" xfId="0" applyNumberFormat="1" applyFont="1" applyFill="1" applyAlignment="1" applyProtection="1">
      <alignment/>
      <protection/>
    </xf>
    <xf numFmtId="0" fontId="7" fillId="0" borderId="0" xfId="0" applyNumberFormat="1"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pplyProtection="1" quotePrefix="1">
      <alignment horizontal="left"/>
      <protection/>
    </xf>
    <xf numFmtId="219" fontId="5" fillId="0" borderId="0" xfId="0" applyNumberFormat="1" applyFont="1" applyFill="1" applyAlignment="1" applyProtection="1">
      <alignment/>
      <protection/>
    </xf>
    <xf numFmtId="5" fontId="4" fillId="0" borderId="0" xfId="0" applyNumberFormat="1" applyFont="1" applyFill="1" applyAlignment="1">
      <alignment/>
    </xf>
    <xf numFmtId="0" fontId="8" fillId="0" borderId="0" xfId="0" applyFont="1" applyFill="1" applyAlignment="1" applyProtection="1">
      <alignment/>
      <protection locked="0"/>
    </xf>
    <xf numFmtId="164" fontId="0" fillId="0" borderId="0" xfId="42" applyNumberFormat="1" applyFont="1" applyFill="1">
      <alignment horizontal="right" vertical="justify"/>
      <protection/>
    </xf>
    <xf numFmtId="164" fontId="6" fillId="0" borderId="0" xfId="42" applyNumberFormat="1" applyFont="1" applyFill="1">
      <alignment horizontal="right" vertical="justify"/>
      <protection/>
    </xf>
    <xf numFmtId="164" fontId="5" fillId="0" borderId="0" xfId="42" applyNumberFormat="1" applyFont="1" applyFill="1">
      <alignment horizontal="right" vertical="justify"/>
      <protection/>
    </xf>
    <xf numFmtId="164" fontId="7" fillId="0" borderId="0" xfId="42" applyNumberFormat="1" applyFont="1" applyFill="1">
      <alignment horizontal="right" vertical="justify"/>
      <protection/>
    </xf>
    <xf numFmtId="166" fontId="0" fillId="0" borderId="0" xfId="42" applyNumberFormat="1" applyFont="1" applyFill="1">
      <alignment horizontal="right" vertical="justify"/>
      <protection/>
    </xf>
    <xf numFmtId="3" fontId="0" fillId="0" borderId="0" xfId="0" applyNumberFormat="1" applyFont="1" applyFill="1" applyAlignment="1" applyProtection="1">
      <alignment/>
      <protection/>
    </xf>
    <xf numFmtId="166" fontId="0" fillId="0" borderId="0" xfId="42" applyFont="1" applyFill="1">
      <alignment horizontal="right" vertical="justify"/>
      <protection/>
    </xf>
    <xf numFmtId="5" fontId="5" fillId="0" borderId="0" xfId="0" applyNumberFormat="1" applyFont="1" applyFill="1" applyAlignment="1">
      <alignment/>
    </xf>
    <xf numFmtId="175" fontId="0" fillId="0" borderId="0" xfId="0" applyNumberFormat="1" applyFont="1" applyFill="1" applyAlignment="1" applyProtection="1">
      <alignment/>
      <protection/>
    </xf>
    <xf numFmtId="175" fontId="6" fillId="0" borderId="0" xfId="0" applyNumberFormat="1" applyFont="1" applyFill="1" applyAlignment="1" applyProtection="1">
      <alignment/>
      <protection/>
    </xf>
    <xf numFmtId="0" fontId="0" fillId="0" borderId="0" xfId="0" applyNumberFormat="1" applyFont="1" applyAlignment="1">
      <alignment/>
    </xf>
    <xf numFmtId="9" fontId="8" fillId="0" borderId="0" xfId="0" applyNumberFormat="1" applyFont="1" applyFill="1" applyAlignment="1" applyProtection="1">
      <alignment/>
      <protection locked="0"/>
    </xf>
    <xf numFmtId="0" fontId="8" fillId="0" borderId="0" xfId="0" applyFont="1" applyFill="1" applyAlignment="1" applyProtection="1">
      <alignment horizontal="center"/>
      <protection locked="0"/>
    </xf>
    <xf numFmtId="9" fontId="8" fillId="0" borderId="0" xfId="0" applyNumberFormat="1" applyFont="1" applyFill="1" applyAlignment="1" applyProtection="1">
      <alignment horizontal="center"/>
      <protection locked="0"/>
    </xf>
    <xf numFmtId="174" fontId="8" fillId="0" borderId="0" xfId="0" applyNumberFormat="1" applyFont="1" applyFill="1" applyAlignment="1" applyProtection="1">
      <alignment/>
      <protection locked="0"/>
    </xf>
    <xf numFmtId="175" fontId="8" fillId="0" borderId="0" xfId="0" applyNumberFormat="1" applyFont="1" applyFill="1" applyAlignment="1" applyProtection="1">
      <alignment/>
      <protection locked="0"/>
    </xf>
    <xf numFmtId="166" fontId="9" fillId="0" borderId="0" xfId="42" applyFont="1" applyFill="1" applyProtection="1">
      <alignment horizontal="right" vertical="justify"/>
      <protection locked="0"/>
    </xf>
    <xf numFmtId="7" fontId="9" fillId="0" borderId="0" xfId="0" applyNumberFormat="1" applyFont="1" applyFill="1" applyAlignment="1" applyProtection="1">
      <alignment/>
      <protection locked="0"/>
    </xf>
    <xf numFmtId="0" fontId="76" fillId="0" borderId="0" xfId="0" applyNumberFormat="1" applyFont="1" applyFill="1" applyAlignment="1" applyProtection="1">
      <alignment/>
      <protection locked="0"/>
    </xf>
    <xf numFmtId="7" fontId="8" fillId="0" borderId="0" xfId="0" applyNumberFormat="1" applyFont="1" applyFill="1" applyBorder="1" applyAlignment="1" applyProtection="1">
      <alignment/>
      <protection locked="0"/>
    </xf>
    <xf numFmtId="164" fontId="9" fillId="0" borderId="0" xfId="42" applyNumberFormat="1" applyFont="1" applyFill="1" applyProtection="1">
      <alignment horizontal="right" vertical="justify"/>
      <protection locked="0"/>
    </xf>
    <xf numFmtId="175" fontId="0" fillId="0" borderId="0" xfId="55" applyFont="1">
      <alignment vertical="top"/>
      <protection/>
    </xf>
    <xf numFmtId="175" fontId="7" fillId="0" borderId="0" xfId="55" applyFont="1">
      <alignment vertical="top"/>
      <protection/>
    </xf>
    <xf numFmtId="0" fontId="7" fillId="0" borderId="0" xfId="54" applyFont="1" applyFill="1" applyAlignment="1" applyProtection="1">
      <alignment horizontal="center"/>
      <protection/>
    </xf>
    <xf numFmtId="0" fontId="80" fillId="0" borderId="0" xfId="0" applyNumberFormat="1" applyFont="1" applyFill="1" applyAlignment="1" applyProtection="1">
      <alignment horizontal="right"/>
      <protection/>
    </xf>
    <xf numFmtId="219" fontId="0" fillId="0" borderId="0" xfId="0" applyNumberFormat="1" applyFont="1" applyFill="1" applyAlignment="1">
      <alignment/>
    </xf>
    <xf numFmtId="223" fontId="0" fillId="0" borderId="0" xfId="0" applyNumberFormat="1" applyFont="1" applyFill="1" applyAlignment="1">
      <alignment/>
    </xf>
    <xf numFmtId="5" fontId="5" fillId="0" borderId="14" xfId="0" applyNumberFormat="1" applyFont="1" applyFill="1" applyBorder="1" applyAlignment="1" applyProtection="1">
      <alignment/>
      <protection/>
    </xf>
    <xf numFmtId="3" fontId="8" fillId="0" borderId="0" xfId="0" applyNumberFormat="1" applyFont="1" applyFill="1" applyAlignment="1" applyProtection="1">
      <alignment/>
      <protection locked="0"/>
    </xf>
    <xf numFmtId="175" fontId="0" fillId="0" borderId="0" xfId="42" applyNumberFormat="1" applyFont="1">
      <alignment horizontal="right" vertical="justify"/>
      <protection/>
    </xf>
    <xf numFmtId="0" fontId="0" fillId="0" borderId="0" xfId="42" applyNumberFormat="1" applyFont="1">
      <alignment horizontal="right" vertical="justify"/>
      <protection/>
    </xf>
    <xf numFmtId="177" fontId="5" fillId="0" borderId="0" xfId="42" applyNumberFormat="1" applyFont="1" applyFill="1">
      <alignment horizontal="right" vertical="justify"/>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2" fontId="8" fillId="0" borderId="0" xfId="0" applyNumberFormat="1" applyFont="1" applyFill="1" applyAlignment="1" applyProtection="1">
      <alignment horizontal="center"/>
      <protection locked="0"/>
    </xf>
    <xf numFmtId="0" fontId="5" fillId="0" borderId="0" xfId="54" applyFont="1" applyBorder="1" applyAlignment="1" applyProtection="1">
      <alignment/>
      <protection/>
    </xf>
    <xf numFmtId="0" fontId="7" fillId="0" borderId="0" xfId="54" applyFont="1" applyFill="1" applyBorder="1" applyAlignment="1" applyProtection="1">
      <alignment horizontal="center"/>
      <protection/>
    </xf>
    <xf numFmtId="0" fontId="5" fillId="0" borderId="0" xfId="54" applyFont="1" applyBorder="1" applyAlignment="1" applyProtection="1">
      <alignment horizontal="center"/>
      <protection/>
    </xf>
    <xf numFmtId="0" fontId="19" fillId="0" borderId="0" xfId="54" applyFont="1" applyBorder="1" applyAlignment="1">
      <alignment/>
      <protection/>
    </xf>
    <xf numFmtId="0" fontId="7" fillId="0" borderId="0" xfId="0" applyFont="1" applyFill="1" applyAlignment="1" applyProtection="1">
      <alignment/>
      <protection/>
    </xf>
    <xf numFmtId="0" fontId="5" fillId="0" borderId="0" xfId="0" applyFont="1" applyFill="1" applyAlignment="1">
      <alignment/>
    </xf>
    <xf numFmtId="10" fontId="8" fillId="0" borderId="0" xfId="0" applyNumberFormat="1" applyFont="1" applyFill="1" applyAlignment="1" applyProtection="1">
      <alignment/>
      <protection locked="0"/>
    </xf>
    <xf numFmtId="219" fontId="8" fillId="0" borderId="0" xfId="0" applyNumberFormat="1" applyFont="1" applyFill="1" applyAlignment="1" applyProtection="1">
      <alignment/>
      <protection locked="0"/>
    </xf>
    <xf numFmtId="0" fontId="27" fillId="0" borderId="0" xfId="0" applyFont="1" applyBorder="1" applyAlignment="1" applyProtection="1">
      <alignment wrapText="1"/>
      <protection/>
    </xf>
    <xf numFmtId="0" fontId="0" fillId="0" borderId="0" xfId="0" applyFont="1" applyBorder="1" applyAlignment="1" applyProtection="1">
      <alignment wrapText="1"/>
      <protection/>
    </xf>
    <xf numFmtId="175" fontId="12" fillId="0" borderId="0" xfId="55" applyFont="1" applyAlignment="1">
      <alignment vertical="top"/>
      <protection/>
    </xf>
    <xf numFmtId="175" fontId="12" fillId="0" borderId="0" xfId="55" applyFont="1" applyAlignment="1">
      <alignment vertical="top" wrapText="1"/>
      <protection/>
    </xf>
    <xf numFmtId="0" fontId="81" fillId="0" borderId="0" xfId="0" applyFont="1" applyBorder="1" applyAlignment="1" applyProtection="1">
      <alignment horizontal="right"/>
      <protection/>
    </xf>
    <xf numFmtId="0" fontId="0" fillId="0" borderId="10" xfId="0" applyBorder="1" applyAlignment="1">
      <alignment/>
    </xf>
    <xf numFmtId="0" fontId="78" fillId="0" borderId="10" xfId="0" applyFont="1" applyFill="1" applyBorder="1" applyAlignment="1" applyProtection="1">
      <alignment horizontal="right"/>
      <protection/>
    </xf>
    <xf numFmtId="178" fontId="0" fillId="0" borderId="0" xfId="0" applyNumberFormat="1" applyAlignment="1">
      <alignment/>
    </xf>
    <xf numFmtId="175" fontId="0" fillId="0" borderId="0" xfId="0" applyNumberFormat="1" applyAlignment="1">
      <alignment/>
    </xf>
    <xf numFmtId="0" fontId="78" fillId="0" borderId="13" xfId="0" applyFont="1" applyBorder="1" applyAlignment="1" applyProtection="1">
      <alignment horizontal="left" vertical="center"/>
      <protection/>
    </xf>
    <xf numFmtId="0" fontId="81" fillId="0" borderId="13" xfId="0" applyFont="1" applyBorder="1" applyAlignment="1" applyProtection="1">
      <alignment/>
      <protection/>
    </xf>
    <xf numFmtId="0" fontId="0" fillId="0" borderId="13" xfId="0" applyBorder="1" applyAlignment="1" applyProtection="1">
      <alignment/>
      <protection/>
    </xf>
    <xf numFmtId="0" fontId="82" fillId="0" borderId="0" xfId="0" applyFont="1" applyBorder="1" applyAlignment="1">
      <alignment horizontal="left" vertical="top"/>
    </xf>
    <xf numFmtId="175" fontId="27" fillId="0" borderId="0" xfId="55" applyFont="1" applyFill="1">
      <alignment vertical="top"/>
      <protection/>
    </xf>
    <xf numFmtId="175" fontId="12" fillId="0" borderId="0" xfId="55" applyFont="1" applyAlignment="1">
      <alignment vertical="center"/>
      <protection/>
    </xf>
    <xf numFmtId="3" fontId="12" fillId="0" borderId="0" xfId="0" applyNumberFormat="1" applyFont="1" applyAlignment="1">
      <alignment vertical="top"/>
    </xf>
    <xf numFmtId="10" fontId="0" fillId="0" borderId="0" xfId="0" applyNumberFormat="1" applyFont="1" applyAlignment="1" applyProtection="1">
      <alignment/>
      <protection/>
    </xf>
    <xf numFmtId="175" fontId="21" fillId="0" borderId="0" xfId="55" applyFont="1" applyAlignment="1">
      <alignment horizontal="center" vertical="center" wrapText="1"/>
      <protection/>
    </xf>
    <xf numFmtId="0" fontId="22" fillId="0" borderId="0" xfId="0" applyFont="1" applyAlignment="1">
      <alignment horizontal="center" vertical="center" wrapText="1"/>
    </xf>
    <xf numFmtId="0" fontId="23" fillId="0" borderId="0" xfId="55" applyNumberFormat="1" applyFont="1" applyAlignment="1">
      <alignment horizontal="center" vertical="center" wrapText="1"/>
      <protection/>
    </xf>
    <xf numFmtId="0" fontId="24" fillId="0" borderId="0" xfId="0" applyFont="1" applyAlignment="1">
      <alignment horizontal="center" vertical="center" wrapText="1"/>
    </xf>
    <xf numFmtId="175" fontId="25" fillId="0" borderId="0" xfId="55" applyFont="1" applyAlignment="1">
      <alignment horizontal="center" vertical="center" wrapText="1"/>
      <protection/>
    </xf>
    <xf numFmtId="0" fontId="26" fillId="0" borderId="0" xfId="0" applyFont="1" applyAlignment="1">
      <alignment wrapText="1"/>
    </xf>
    <xf numFmtId="175" fontId="12" fillId="0" borderId="0" xfId="55" applyFont="1" applyAlignment="1">
      <alignment horizontal="left" vertical="top" wrapText="1"/>
      <protection/>
    </xf>
    <xf numFmtId="175" fontId="19" fillId="0" borderId="0" xfId="55" applyFont="1" applyAlignment="1">
      <alignment horizontal="left" vertical="top" wrapText="1"/>
      <protection/>
    </xf>
    <xf numFmtId="0" fontId="83" fillId="33" borderId="0" xfId="0" applyFont="1" applyFill="1" applyAlignment="1" applyProtection="1">
      <alignment horizontal="center" vertical="center" wrapText="1"/>
      <protection/>
    </xf>
    <xf numFmtId="0" fontId="75" fillId="33" borderId="0" xfId="0" applyFont="1" applyFill="1" applyAlignment="1">
      <alignment horizontal="center" vertical="center" wrapText="1"/>
    </xf>
    <xf numFmtId="175" fontId="0" fillId="0" borderId="0" xfId="55" applyFont="1" applyAlignment="1">
      <alignment horizontal="left" vertical="top" wrapText="1"/>
      <protection/>
    </xf>
    <xf numFmtId="0" fontId="5" fillId="0" borderId="15" xfId="0" applyFont="1" applyBorder="1" applyAlignment="1" applyProtection="1">
      <alignment horizontal="center"/>
      <protection/>
    </xf>
    <xf numFmtId="0" fontId="83" fillId="33" borderId="0" xfId="54" applyFont="1" applyFill="1" applyAlignment="1" applyProtection="1">
      <alignment horizontal="center"/>
      <protection/>
    </xf>
    <xf numFmtId="0" fontId="5" fillId="0" borderId="10" xfId="54" applyFont="1" applyBorder="1" applyAlignment="1" applyProtection="1">
      <alignment horizontal="center"/>
      <protection/>
    </xf>
    <xf numFmtId="0" fontId="7" fillId="0" borderId="0" xfId="0" applyFont="1" applyFill="1" applyAlignment="1" applyProtection="1">
      <alignment horizontal="left"/>
      <protection/>
    </xf>
    <xf numFmtId="0" fontId="0" fillId="0" borderId="0" xfId="0" applyFont="1" applyFill="1" applyAlignment="1" applyProtection="1">
      <alignment horizontal="left" wrapText="1"/>
      <protection/>
    </xf>
    <xf numFmtId="0" fontId="5" fillId="0" borderId="0" xfId="0" applyFont="1" applyFill="1" applyAlignment="1" applyProtection="1">
      <alignment horizontal="center"/>
      <protection/>
    </xf>
    <xf numFmtId="0" fontId="0" fillId="0" borderId="0" xfId="0" applyFill="1" applyAlignment="1" applyProtection="1">
      <alignment horizontal="center"/>
      <protection/>
    </xf>
    <xf numFmtId="0" fontId="11" fillId="0" borderId="0" xfId="0" applyFont="1" applyFill="1" applyAlignment="1" applyProtection="1">
      <alignment horizontal="center"/>
      <protection/>
    </xf>
    <xf numFmtId="0" fontId="12" fillId="0" borderId="0" xfId="0" applyFont="1" applyFill="1" applyAlignment="1" applyProtection="1">
      <alignment horizontal="center"/>
      <protection/>
    </xf>
    <xf numFmtId="49" fontId="0" fillId="0" borderId="0" xfId="0" applyNumberFormat="1"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NumberFormat="1" applyFont="1" applyFill="1" applyAlignment="1" applyProtection="1">
      <alignment vertical="top" wrapText="1"/>
      <protection/>
    </xf>
    <xf numFmtId="49" fontId="0" fillId="0" borderId="0" xfId="0" applyNumberFormat="1" applyFont="1" applyFill="1" applyAlignment="1" applyProtection="1">
      <alignment vertical="top" wrapText="1"/>
      <protection/>
    </xf>
    <xf numFmtId="2" fontId="0" fillId="0" borderId="0" xfId="0" applyNumberFormat="1" applyFont="1" applyAlignment="1" applyProtection="1">
      <alignment vertical="top" wrapText="1"/>
      <protection/>
    </xf>
    <xf numFmtId="0" fontId="0" fillId="0" borderId="0"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13" xfId="0" applyFont="1" applyBorder="1" applyAlignment="1" applyProtection="1">
      <alignment horizontal="center" wrapText="1"/>
      <protection/>
    </xf>
    <xf numFmtId="0" fontId="0" fillId="0" borderId="0" xfId="0" applyFont="1" applyAlignment="1" applyProtection="1">
      <alignment horizontal="left" vertical="center" wrapText="1"/>
      <protection/>
    </xf>
    <xf numFmtId="0" fontId="0" fillId="0" borderId="0" xfId="0" applyAlignment="1">
      <alignment vertical="top" wrapText="1"/>
    </xf>
    <xf numFmtId="0" fontId="14" fillId="0" borderId="0" xfId="0" applyFont="1" applyAlignment="1" applyProtection="1">
      <alignment horizontal="left"/>
      <protection/>
    </xf>
    <xf numFmtId="0" fontId="15" fillId="0" borderId="0" xfId="0" applyFont="1" applyAlignment="1" applyProtection="1">
      <alignment horizontal="left"/>
      <protection/>
    </xf>
    <xf numFmtId="164" fontId="5" fillId="0" borderId="0" xfId="42" applyNumberFormat="1" applyFont="1" applyFill="1">
      <alignment horizontal="right" vertical="justify"/>
      <protection/>
    </xf>
    <xf numFmtId="0" fontId="5" fillId="0" borderId="0" xfId="0" applyFont="1" applyAlignment="1" applyProtection="1">
      <alignment horizontal="center"/>
      <protection/>
    </xf>
    <xf numFmtId="0" fontId="7" fillId="0" borderId="0" xfId="0" applyFont="1" applyAlignment="1" applyProtection="1">
      <alignment horizontal="center"/>
      <protection/>
    </xf>
    <xf numFmtId="0" fontId="83" fillId="33" borderId="0" xfId="0" applyFont="1" applyFill="1" applyAlignment="1" applyProtection="1">
      <alignment horizontal="center"/>
      <protection/>
    </xf>
    <xf numFmtId="0" fontId="84" fillId="33" borderId="0" xfId="0" applyFont="1" applyFill="1" applyAlignment="1" applyProtection="1">
      <alignment horizontal="center"/>
      <protection/>
    </xf>
    <xf numFmtId="0" fontId="84" fillId="33" borderId="0" xfId="0" applyFont="1" applyFill="1" applyAlignment="1" applyProtection="1">
      <alignment horizontal="center" vertical="center" wrapText="1"/>
      <protection/>
    </xf>
    <xf numFmtId="49" fontId="0" fillId="0" borderId="0" xfId="0" applyNumberFormat="1" applyFont="1" applyAlignment="1" applyProtection="1">
      <alignment horizontal="left" vertical="top" wrapText="1"/>
      <protection/>
    </xf>
    <xf numFmtId="0" fontId="0" fillId="0" borderId="0" xfId="0" applyAlignment="1">
      <alignment horizontal="left" vertical="top" wrapText="1"/>
    </xf>
    <xf numFmtId="0" fontId="0"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rrency"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2" xfId="54"/>
    <cellStyle name="Normal_Farrow-Wean 500" xfId="55"/>
    <cellStyle name="Note" xfId="56"/>
    <cellStyle name="Outpu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0</xdr:row>
      <xdr:rowOff>171450</xdr:rowOff>
    </xdr:from>
    <xdr:to>
      <xdr:col>9</xdr:col>
      <xdr:colOff>180975</xdr:colOff>
      <xdr:row>2</xdr:row>
      <xdr:rowOff>123825</xdr:rowOff>
    </xdr:to>
    <xdr:pic>
      <xdr:nvPicPr>
        <xdr:cNvPr id="1" name="Picture 2" descr="GovMB_Logo_black-1374 10percent.jpg"/>
        <xdr:cNvPicPr preferRelativeResize="1">
          <a:picLocks noChangeAspect="1"/>
        </xdr:cNvPicPr>
      </xdr:nvPicPr>
      <xdr:blipFill>
        <a:blip r:embed="rId1"/>
        <a:stretch>
          <a:fillRect/>
        </a:stretch>
      </xdr:blipFill>
      <xdr:spPr>
        <a:xfrm>
          <a:off x="5067300" y="171450"/>
          <a:ext cx="1695450" cy="333375"/>
        </a:xfrm>
        <a:prstGeom prst="rect">
          <a:avLst/>
        </a:prstGeom>
        <a:noFill/>
        <a:ln w="9525" cmpd="sng">
          <a:noFill/>
        </a:ln>
      </xdr:spPr>
    </xdr:pic>
    <xdr:clientData/>
  </xdr:twoCellAnchor>
  <xdr:twoCellAnchor>
    <xdr:from>
      <xdr:col>1</xdr:col>
      <xdr:colOff>0</xdr:colOff>
      <xdr:row>31</xdr:row>
      <xdr:rowOff>228600</xdr:rowOff>
    </xdr:from>
    <xdr:to>
      <xdr:col>6</xdr:col>
      <xdr:colOff>542925</xdr:colOff>
      <xdr:row>33</xdr:row>
      <xdr:rowOff>38100</xdr:rowOff>
    </xdr:to>
    <xdr:sp>
      <xdr:nvSpPr>
        <xdr:cNvPr id="2" name="TextBox 6">
          <a:hlinkClick r:id="rId2"/>
        </xdr:cNvPr>
        <xdr:cNvSpPr txBox="1">
          <a:spLocks noChangeArrowheads="1"/>
        </xdr:cNvSpPr>
      </xdr:nvSpPr>
      <xdr:spPr>
        <a:xfrm>
          <a:off x="304800" y="6962775"/>
          <a:ext cx="4210050" cy="295275"/>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6</xdr:col>
      <xdr:colOff>95250</xdr:colOff>
      <xdr:row>29</xdr:row>
      <xdr:rowOff>190500</xdr:rowOff>
    </xdr:from>
    <xdr:to>
      <xdr:col>9</xdr:col>
      <xdr:colOff>200025</xdr:colOff>
      <xdr:row>31</xdr:row>
      <xdr:rowOff>66675</xdr:rowOff>
    </xdr:to>
    <xdr:sp>
      <xdr:nvSpPr>
        <xdr:cNvPr id="3" name="TextBox 7">
          <a:hlinkClick r:id="rId3"/>
        </xdr:cNvPr>
        <xdr:cNvSpPr txBox="1">
          <a:spLocks noChangeArrowheads="1"/>
        </xdr:cNvSpPr>
      </xdr:nvSpPr>
      <xdr:spPr>
        <a:xfrm>
          <a:off x="4067175" y="6467475"/>
          <a:ext cx="2714625" cy="3333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466725</xdr:colOff>
      <xdr:row>30</xdr:row>
      <xdr:rowOff>200025</xdr:rowOff>
    </xdr:from>
    <xdr:to>
      <xdr:col>5</xdr:col>
      <xdr:colOff>542925</xdr:colOff>
      <xdr:row>31</xdr:row>
      <xdr:rowOff>219075</xdr:rowOff>
    </xdr:to>
    <xdr:sp>
      <xdr:nvSpPr>
        <xdr:cNvPr id="4" name="TextBox 8">
          <a:hlinkClick r:id="rId4"/>
        </xdr:cNvPr>
        <xdr:cNvSpPr txBox="1">
          <a:spLocks noChangeArrowheads="1"/>
        </xdr:cNvSpPr>
      </xdr:nvSpPr>
      <xdr:spPr>
        <a:xfrm>
          <a:off x="1533525" y="6705600"/>
          <a:ext cx="2428875" cy="24765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418</xdr:row>
      <xdr:rowOff>190500</xdr:rowOff>
    </xdr:from>
    <xdr:to>
      <xdr:col>7</xdr:col>
      <xdr:colOff>238125</xdr:colOff>
      <xdr:row>420</xdr:row>
      <xdr:rowOff>28575</xdr:rowOff>
    </xdr:to>
    <xdr:sp>
      <xdr:nvSpPr>
        <xdr:cNvPr id="1" name="TextBox 3">
          <a:hlinkClick r:id="rId1"/>
        </xdr:cNvPr>
        <xdr:cNvSpPr txBox="1">
          <a:spLocks noChangeArrowheads="1"/>
        </xdr:cNvSpPr>
      </xdr:nvSpPr>
      <xdr:spPr>
        <a:xfrm>
          <a:off x="1990725" y="78924150"/>
          <a:ext cx="3324225"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4</xdr:col>
      <xdr:colOff>314325</xdr:colOff>
      <xdr:row>419</xdr:row>
      <xdr:rowOff>228600</xdr:rowOff>
    </xdr:from>
    <xdr:to>
      <xdr:col>8</xdr:col>
      <xdr:colOff>85725</xdr:colOff>
      <xdr:row>420</xdr:row>
      <xdr:rowOff>257175</xdr:rowOff>
    </xdr:to>
    <xdr:sp>
      <xdr:nvSpPr>
        <xdr:cNvPr id="2" name="TextBox 4">
          <a:hlinkClick r:id="rId2"/>
        </xdr:cNvPr>
        <xdr:cNvSpPr txBox="1">
          <a:spLocks noChangeArrowheads="1"/>
        </xdr:cNvSpPr>
      </xdr:nvSpPr>
      <xdr:spPr>
        <a:xfrm>
          <a:off x="2924175" y="79152750"/>
          <a:ext cx="3190875"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Office </a:t>
          </a:r>
          <a:r>
            <a:rPr lang="en-US" cap="none" sz="1200" b="1" i="0" u="none" baseline="0">
              <a:solidFill>
                <a:srgbClr val="000000"/>
              </a:solidFill>
              <a:latin typeface="Arial"/>
              <a:ea typeface="Arial"/>
              <a:cs typeface="Arial"/>
            </a:rPr>
            <a:t>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cropproductioncosts_2014_easternnmb_draft_sept%2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ummary"/>
      <sheetName val="Risk Analysis"/>
      <sheetName val="Land Planner"/>
      <sheetName val="Seed"/>
      <sheetName val="Fertilizer"/>
      <sheetName val="Chemicals"/>
      <sheetName val="Op. Cost Input"/>
      <sheetName val="Fixed Cost Input"/>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dimension ref="A2:L39"/>
  <sheetViews>
    <sheetView showGridLines="0" tabSelected="1" zoomScalePageLayoutView="0" workbookViewId="0" topLeftCell="A1">
      <selection activeCell="A1" sqref="A1"/>
    </sheetView>
  </sheetViews>
  <sheetFormatPr defaultColWidth="8.88671875" defaultRowHeight="15"/>
  <cols>
    <col min="1" max="1" width="3.5546875" style="3" customWidth="1"/>
    <col min="2" max="4" width="8.88671875" style="3" customWidth="1"/>
    <col min="5" max="5" width="9.6640625" style="3" customWidth="1"/>
    <col min="6" max="6" width="6.4453125" style="3" customWidth="1"/>
    <col min="7" max="7" width="8.77734375" style="3" customWidth="1"/>
    <col min="8" max="8" width="10.6640625" style="3" customWidth="1"/>
    <col min="9" max="9" width="10.99609375" style="3" customWidth="1"/>
    <col min="10" max="16384" width="8.88671875" style="3" customWidth="1"/>
  </cols>
  <sheetData>
    <row r="1" ht="15"/>
    <row r="2" spans="1:10" ht="15">
      <c r="A2" s="50"/>
      <c r="B2" s="50"/>
      <c r="C2" s="50"/>
      <c r="D2" s="50"/>
      <c r="E2" s="50"/>
      <c r="F2" s="50"/>
      <c r="G2" s="50"/>
      <c r="H2" s="50"/>
      <c r="I2" s="50"/>
      <c r="J2" s="50"/>
    </row>
    <row r="3" spans="1:10" s="53" customFormat="1" ht="27">
      <c r="A3" s="51" t="s">
        <v>214</v>
      </c>
      <c r="B3" s="52"/>
      <c r="C3" s="52"/>
      <c r="D3" s="52"/>
      <c r="E3" s="52"/>
      <c r="F3" s="52"/>
      <c r="G3" s="52"/>
      <c r="H3" s="52"/>
      <c r="I3" s="52"/>
      <c r="J3" s="52"/>
    </row>
    <row r="4" spans="1:10" s="53" customFormat="1" ht="15" customHeight="1">
      <c r="A4" s="51"/>
      <c r="B4" s="52"/>
      <c r="C4" s="52"/>
      <c r="D4" s="52"/>
      <c r="E4" s="52"/>
      <c r="F4" s="52"/>
      <c r="G4" s="52"/>
      <c r="H4" s="52"/>
      <c r="I4" s="52"/>
      <c r="J4" s="52"/>
    </row>
    <row r="5" spans="1:9" ht="20.25">
      <c r="A5" s="241" t="s">
        <v>140</v>
      </c>
      <c r="B5" s="242"/>
      <c r="C5" s="242"/>
      <c r="D5" s="242"/>
      <c r="E5" s="242"/>
      <c r="F5" s="242"/>
      <c r="G5" s="242"/>
      <c r="H5" s="242"/>
      <c r="I5" s="242"/>
    </row>
    <row r="6" spans="1:10" ht="26.25">
      <c r="A6" s="245" t="str">
        <f>"Irrigated Processing Potato Costs - "&amp;I12</f>
        <v>Irrigated Processing Potato Costs - 2018</v>
      </c>
      <c r="B6" s="246"/>
      <c r="C6" s="246"/>
      <c r="D6" s="246"/>
      <c r="E6" s="246"/>
      <c r="F6" s="246"/>
      <c r="G6" s="246"/>
      <c r="H6" s="246"/>
      <c r="I6" s="246"/>
      <c r="J6"/>
    </row>
    <row r="7" spans="1:9" ht="20.25">
      <c r="A7" s="243" t="str">
        <f>"Based on "&amp;Input!G18&amp;" Acres Production"</f>
        <v>Based on 780 Acres Production</v>
      </c>
      <c r="B7" s="244"/>
      <c r="C7" s="244"/>
      <c r="D7" s="244"/>
      <c r="E7" s="244"/>
      <c r="F7" s="244"/>
      <c r="G7" s="244"/>
      <c r="H7" s="244"/>
      <c r="I7" s="244"/>
    </row>
    <row r="9" ht="5.25" customHeight="1"/>
    <row r="11" ht="7.5" customHeight="1"/>
    <row r="12" spans="8:9" ht="15.75">
      <c r="H12" s="47" t="s">
        <v>407</v>
      </c>
      <c r="I12" s="55">
        <v>2018</v>
      </c>
    </row>
    <row r="13" spans="7:8" ht="15.75">
      <c r="G13" s="47"/>
      <c r="H13" s="46"/>
    </row>
    <row r="14" spans="7:8" ht="15.75">
      <c r="G14" s="47"/>
      <c r="H14" s="46"/>
    </row>
    <row r="15" spans="7:8" ht="15.75">
      <c r="G15" s="47"/>
      <c r="H15" s="46"/>
    </row>
    <row r="16" spans="8:9" ht="15.75">
      <c r="H16" s="24"/>
      <c r="I16" s="18"/>
    </row>
    <row r="17" spans="2:10" ht="18" customHeight="1">
      <c r="B17" s="247" t="s">
        <v>417</v>
      </c>
      <c r="C17" s="247"/>
      <c r="D17" s="247"/>
      <c r="E17" s="247"/>
      <c r="F17" s="247"/>
      <c r="G17" s="247"/>
      <c r="H17" s="247"/>
      <c r="I17" s="247"/>
      <c r="J17" s="25"/>
    </row>
    <row r="18" spans="2:12" ht="18" customHeight="1">
      <c r="B18" s="247"/>
      <c r="C18" s="247"/>
      <c r="D18" s="247"/>
      <c r="E18" s="247"/>
      <c r="F18" s="247"/>
      <c r="G18" s="247"/>
      <c r="H18" s="247"/>
      <c r="I18" s="247"/>
      <c r="J18" s="25"/>
      <c r="L18" s="117"/>
    </row>
    <row r="19" spans="2:10" ht="18" customHeight="1">
      <c r="B19" s="247"/>
      <c r="C19" s="247"/>
      <c r="D19" s="247"/>
      <c r="E19" s="247"/>
      <c r="F19" s="247"/>
      <c r="G19" s="247"/>
      <c r="H19" s="247"/>
      <c r="I19" s="247"/>
      <c r="J19" s="25"/>
    </row>
    <row r="20" spans="2:10" ht="18" customHeight="1">
      <c r="B20" s="247"/>
      <c r="C20" s="247"/>
      <c r="D20" s="247"/>
      <c r="E20" s="247"/>
      <c r="F20" s="247"/>
      <c r="G20" s="247"/>
      <c r="H20" s="247"/>
      <c r="I20" s="247"/>
      <c r="J20" s="25"/>
    </row>
    <row r="21" spans="2:10" ht="18" customHeight="1">
      <c r="B21" s="247"/>
      <c r="C21" s="247"/>
      <c r="D21" s="247"/>
      <c r="E21" s="247"/>
      <c r="F21" s="247"/>
      <c r="G21" s="247"/>
      <c r="H21" s="247"/>
      <c r="I21" s="247"/>
      <c r="J21" s="25"/>
    </row>
    <row r="22" spans="2:10" ht="18" customHeight="1">
      <c r="B22" s="247"/>
      <c r="C22" s="247"/>
      <c r="D22" s="247"/>
      <c r="E22" s="247"/>
      <c r="F22" s="247"/>
      <c r="G22" s="247"/>
      <c r="H22" s="247"/>
      <c r="I22" s="247"/>
      <c r="J22" s="25"/>
    </row>
    <row r="23" spans="2:10" ht="18" customHeight="1">
      <c r="B23" s="247"/>
      <c r="C23" s="247"/>
      <c r="D23" s="247"/>
      <c r="E23" s="247"/>
      <c r="F23" s="247"/>
      <c r="G23" s="247"/>
      <c r="H23" s="247"/>
      <c r="I23" s="247"/>
      <c r="J23" s="25"/>
    </row>
    <row r="24" spans="2:10" ht="18" customHeight="1">
      <c r="B24" s="247"/>
      <c r="C24" s="247"/>
      <c r="D24" s="247"/>
      <c r="E24" s="247"/>
      <c r="F24" s="247"/>
      <c r="G24" s="247"/>
      <c r="H24" s="247"/>
      <c r="I24" s="247"/>
      <c r="J24" s="25"/>
    </row>
    <row r="25" spans="2:10" ht="18" customHeight="1">
      <c r="B25" s="247"/>
      <c r="C25" s="247"/>
      <c r="D25" s="247"/>
      <c r="E25" s="247"/>
      <c r="F25" s="247"/>
      <c r="G25" s="247"/>
      <c r="H25" s="247"/>
      <c r="I25" s="247"/>
      <c r="J25" s="25"/>
    </row>
    <row r="26" spans="2:9" ht="18" customHeight="1">
      <c r="B26" s="247" t="s">
        <v>408</v>
      </c>
      <c r="C26" s="247"/>
      <c r="D26" s="247"/>
      <c r="E26" s="247"/>
      <c r="F26" s="247"/>
      <c r="G26" s="247"/>
      <c r="H26" s="247"/>
      <c r="I26" s="247"/>
    </row>
    <row r="27" spans="2:10" ht="18" customHeight="1">
      <c r="B27" s="247"/>
      <c r="C27" s="247"/>
      <c r="D27" s="247"/>
      <c r="E27" s="247"/>
      <c r="F27" s="247"/>
      <c r="G27" s="247"/>
      <c r="H27" s="247"/>
      <c r="I27" s="247"/>
      <c r="J27" s="25"/>
    </row>
    <row r="28" spans="2:10" ht="18" customHeight="1">
      <c r="B28" s="247"/>
      <c r="C28" s="247"/>
      <c r="D28" s="247"/>
      <c r="E28" s="247"/>
      <c r="F28" s="247"/>
      <c r="G28" s="247"/>
      <c r="H28" s="247"/>
      <c r="I28" s="247"/>
      <c r="J28" s="49"/>
    </row>
    <row r="29" spans="2:10" ht="18" customHeight="1">
      <c r="B29" s="54"/>
      <c r="C29" s="54"/>
      <c r="D29" s="54"/>
      <c r="E29" s="54"/>
      <c r="F29" s="54"/>
      <c r="G29" s="54"/>
      <c r="H29" s="54"/>
      <c r="I29" s="54"/>
      <c r="J29" s="49"/>
    </row>
    <row r="30" spans="2:10" ht="18" customHeight="1">
      <c r="B30" s="54"/>
      <c r="C30" s="54"/>
      <c r="D30" s="54"/>
      <c r="E30" s="54"/>
      <c r="F30" s="54"/>
      <c r="G30" s="54"/>
      <c r="H30" s="54"/>
      <c r="I30" s="54"/>
      <c r="J30" s="49"/>
    </row>
    <row r="31" spans="2:10" ht="18" customHeight="1">
      <c r="B31" s="226" t="s">
        <v>409</v>
      </c>
      <c r="C31" s="226"/>
      <c r="D31" s="226"/>
      <c r="E31" s="226"/>
      <c r="F31" s="226"/>
      <c r="G31" s="226"/>
      <c r="H31" s="226"/>
      <c r="I31" s="226"/>
      <c r="J31" s="226"/>
    </row>
    <row r="32" spans="2:10" ht="20.25" customHeight="1">
      <c r="B32" s="238" t="s">
        <v>410</v>
      </c>
      <c r="C32" s="226"/>
      <c r="D32" s="226"/>
      <c r="E32" s="226"/>
      <c r="F32" s="226"/>
      <c r="G32" s="226"/>
      <c r="H32" s="226"/>
      <c r="I32" s="226"/>
      <c r="J32" s="226"/>
    </row>
    <row r="33" spans="2:10" ht="18" customHeight="1">
      <c r="B33" s="226" t="s">
        <v>414</v>
      </c>
      <c r="C33" s="227"/>
      <c r="D33" s="227"/>
      <c r="E33" s="227"/>
      <c r="F33" s="227"/>
      <c r="I33" s="227"/>
      <c r="J33" s="227"/>
    </row>
    <row r="34" spans="2:9" s="202" customFormat="1" ht="18" customHeight="1">
      <c r="B34" s="226" t="s">
        <v>415</v>
      </c>
      <c r="C34" s="239"/>
      <c r="D34" s="239"/>
      <c r="E34" s="239"/>
      <c r="F34" s="239"/>
      <c r="G34" s="239"/>
      <c r="H34" s="239"/>
      <c r="I34" s="239"/>
    </row>
    <row r="35" spans="2:10" ht="18" customHeight="1">
      <c r="B35" s="54"/>
      <c r="C35" s="54"/>
      <c r="D35" s="54"/>
      <c r="E35" s="54"/>
      <c r="F35" s="54"/>
      <c r="G35" s="54"/>
      <c r="H35" s="54"/>
      <c r="I35" s="54"/>
      <c r="J35" s="49"/>
    </row>
    <row r="36" spans="2:10" ht="18" customHeight="1">
      <c r="B36" s="248" t="s">
        <v>416</v>
      </c>
      <c r="C36" s="248"/>
      <c r="D36" s="248"/>
      <c r="E36" s="248"/>
      <c r="F36" s="248"/>
      <c r="G36" s="248"/>
      <c r="H36" s="248"/>
      <c r="I36" s="248"/>
      <c r="J36" s="25"/>
    </row>
    <row r="37" spans="2:10" ht="18" customHeight="1">
      <c r="B37" s="248"/>
      <c r="C37" s="248"/>
      <c r="D37" s="248"/>
      <c r="E37" s="248"/>
      <c r="F37" s="248"/>
      <c r="G37" s="248"/>
      <c r="H37" s="248"/>
      <c r="I37" s="248"/>
      <c r="J37" s="25"/>
    </row>
    <row r="38" spans="2:10" ht="18" customHeight="1">
      <c r="B38" s="248"/>
      <c r="C38" s="248"/>
      <c r="D38" s="248"/>
      <c r="E38" s="248"/>
      <c r="F38" s="248"/>
      <c r="G38" s="248"/>
      <c r="H38" s="248"/>
      <c r="I38" s="248"/>
      <c r="J38" s="25"/>
    </row>
    <row r="39" spans="2:10" ht="18" customHeight="1">
      <c r="B39" s="54"/>
      <c r="C39" s="54"/>
      <c r="D39" s="54"/>
      <c r="E39" s="54"/>
      <c r="F39" s="54"/>
      <c r="G39" s="54"/>
      <c r="H39" s="54"/>
      <c r="I39" s="54"/>
      <c r="J39" s="25"/>
    </row>
  </sheetData>
  <sheetProtection password="C6A6" sheet="1"/>
  <mergeCells count="6">
    <mergeCell ref="A5:I5"/>
    <mergeCell ref="A7:I7"/>
    <mergeCell ref="A6:I6"/>
    <mergeCell ref="B17:I25"/>
    <mergeCell ref="B26:I28"/>
    <mergeCell ref="B36:I38"/>
  </mergeCells>
  <printOptions/>
  <pageMargins left="0.7480314960629921" right="0.46" top="0.8661417322834646" bottom="0.984251968503937" header="0.5118110236220472" footer="0.5118110236220472"/>
  <pageSetup horizontalDpi="300" verticalDpi="300" orientation="portrait" scale="90"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60"/>
  <sheetViews>
    <sheetView showGridLines="0" workbookViewId="0" topLeftCell="A1">
      <selection activeCell="B1" sqref="B1:K1"/>
    </sheetView>
  </sheetViews>
  <sheetFormatPr defaultColWidth="8.88671875" defaultRowHeight="15"/>
  <cols>
    <col min="1" max="1" width="3.10546875" style="2" customWidth="1"/>
    <col min="2" max="2" width="4.4453125" style="2" customWidth="1"/>
    <col min="3" max="3" width="19.77734375" style="2" customWidth="1"/>
    <col min="4" max="4" width="13.5546875" style="2" customWidth="1"/>
    <col min="5" max="5" width="1.33203125" style="2" customWidth="1"/>
    <col min="6" max="9" width="9.77734375" style="2" customWidth="1"/>
    <col min="10" max="10" width="1.77734375" style="2" customWidth="1"/>
    <col min="11" max="16384" width="8.88671875" style="2" customWidth="1"/>
  </cols>
  <sheetData>
    <row r="1" spans="1:12" ht="21.75" customHeight="1">
      <c r="A1" s="56"/>
      <c r="B1" s="249" t="str">
        <f>"Irrigated Processing Potato Cost of Production - "&amp;Introduction!I12</f>
        <v>Irrigated Processing Potato Cost of Production - 2018</v>
      </c>
      <c r="C1" s="250"/>
      <c r="D1" s="250"/>
      <c r="E1" s="250"/>
      <c r="F1" s="250"/>
      <c r="G1" s="250"/>
      <c r="H1" s="250"/>
      <c r="I1" s="250"/>
      <c r="J1" s="250"/>
      <c r="K1" s="250"/>
      <c r="L1" s="5"/>
    </row>
    <row r="2" spans="1:12" ht="7.5" customHeight="1">
      <c r="A2" s="5"/>
      <c r="B2" s="5"/>
      <c r="C2" s="5"/>
      <c r="D2" s="5"/>
      <c r="E2" s="5"/>
      <c r="F2" s="5"/>
      <c r="G2" s="5"/>
      <c r="H2" s="5"/>
      <c r="I2" s="5"/>
      <c r="J2" s="5"/>
      <c r="K2" s="5"/>
      <c r="L2" s="5"/>
    </row>
    <row r="3" spans="1:12" ht="15.75" customHeight="1" thickBot="1">
      <c r="A3" s="5"/>
      <c r="B3" s="5"/>
      <c r="C3" s="5"/>
      <c r="D3" s="5"/>
      <c r="E3" s="5"/>
      <c r="F3" s="252" t="s">
        <v>311</v>
      </c>
      <c r="G3" s="252"/>
      <c r="H3" s="252"/>
      <c r="I3" s="252"/>
      <c r="J3" s="5"/>
      <c r="K3" s="5"/>
      <c r="L3" s="5"/>
    </row>
    <row r="4" spans="1:12" ht="15.75">
      <c r="A4" s="8" t="s">
        <v>125</v>
      </c>
      <c r="B4" s="6" t="s">
        <v>141</v>
      </c>
      <c r="C4" s="5"/>
      <c r="D4" s="9" t="s">
        <v>215</v>
      </c>
      <c r="E4" s="5"/>
      <c r="F4" s="9" t="str">
        <f>Input!D31&amp;" CWT"</f>
        <v>305 CWT</v>
      </c>
      <c r="G4" s="9" t="str">
        <f>Input!E31&amp;" CWT"</f>
        <v>335 CWT</v>
      </c>
      <c r="H4" s="9" t="str">
        <f>Input!F31&amp;" CWT"</f>
        <v>365 CWT</v>
      </c>
      <c r="I4" s="9" t="str">
        <f>Input!G31&amp;" CWT"</f>
        <v>395 CWT</v>
      </c>
      <c r="J4" s="9"/>
      <c r="K4" s="9" t="s">
        <v>174</v>
      </c>
      <c r="L4" s="5"/>
    </row>
    <row r="5" spans="1:12" ht="15">
      <c r="A5" s="5"/>
      <c r="B5" s="13" t="s">
        <v>99</v>
      </c>
      <c r="C5" s="23" t="s">
        <v>193</v>
      </c>
      <c r="D5" s="189">
        <f>Details!E32</f>
        <v>306</v>
      </c>
      <c r="E5" s="48"/>
      <c r="F5" s="189">
        <f>ROUND(+D5/Input!$D$31,2)</f>
        <v>1</v>
      </c>
      <c r="G5" s="189">
        <f>ROUND(+D5/Input!$E$31,2)</f>
        <v>0.91</v>
      </c>
      <c r="H5" s="189">
        <f>ROUND(+D5/Input!$F$31,2)</f>
        <v>0.84</v>
      </c>
      <c r="I5" s="189">
        <f>ROUND(+D5/Input!$G$31,2)</f>
        <v>0.77</v>
      </c>
      <c r="J5" s="5"/>
      <c r="K5" s="15"/>
      <c r="L5" s="5"/>
    </row>
    <row r="6" spans="1:12" ht="15">
      <c r="A6" s="5"/>
      <c r="B6" s="13"/>
      <c r="C6" s="23" t="s">
        <v>194</v>
      </c>
      <c r="D6" s="189">
        <f>Details!E38</f>
        <v>79.2</v>
      </c>
      <c r="E6" s="48"/>
      <c r="F6" s="189">
        <f>ROUND(+D6/Input!$D$31,2)</f>
        <v>0.26</v>
      </c>
      <c r="G6" s="189">
        <f>ROUND(+D6/Input!$E$31,2)</f>
        <v>0.24</v>
      </c>
      <c r="H6" s="189">
        <f>ROUND(+D6/Input!$F$31,2)</f>
        <v>0.22</v>
      </c>
      <c r="I6" s="189">
        <f>ROUND(+D6/Input!$G$31,2)</f>
        <v>0.2</v>
      </c>
      <c r="J6" s="5"/>
      <c r="K6" s="15"/>
      <c r="L6" s="5"/>
    </row>
    <row r="7" spans="1:12" ht="15">
      <c r="A7" s="5"/>
      <c r="B7" s="13" t="s">
        <v>100</v>
      </c>
      <c r="C7" s="5" t="s">
        <v>49</v>
      </c>
      <c r="D7" s="189">
        <f>Details!E67</f>
        <v>292.71000000000004</v>
      </c>
      <c r="E7" s="48"/>
      <c r="F7" s="189">
        <f>ROUND(+D7/Input!$D$31,2)</f>
        <v>0.96</v>
      </c>
      <c r="G7" s="189">
        <f>ROUND(+D7/Input!$E$31,2)</f>
        <v>0.87</v>
      </c>
      <c r="H7" s="189">
        <f>ROUND(+D7/Input!$F$31,2)</f>
        <v>0.8</v>
      </c>
      <c r="I7" s="189">
        <f>ROUND(+D7/Input!$G$31,2)</f>
        <v>0.74</v>
      </c>
      <c r="J7" s="5"/>
      <c r="K7" s="16"/>
      <c r="L7" s="5"/>
    </row>
    <row r="8" spans="1:12" ht="15">
      <c r="A8" s="5"/>
      <c r="B8" s="13" t="s">
        <v>101</v>
      </c>
      <c r="C8" s="5" t="s">
        <v>50</v>
      </c>
      <c r="D8" s="189">
        <f>Details!E72</f>
        <v>48</v>
      </c>
      <c r="E8" s="48"/>
      <c r="F8" s="189">
        <f>ROUND(+D8/Input!$D$31,2)</f>
        <v>0.16</v>
      </c>
      <c r="G8" s="189">
        <f>ROUND(+D8/Input!$E$31,2)</f>
        <v>0.14</v>
      </c>
      <c r="H8" s="189">
        <f>ROUND(+D8/Input!$F$31,2)</f>
        <v>0.13</v>
      </c>
      <c r="I8" s="189">
        <f>ROUND(+D8/Input!$G$31,2)</f>
        <v>0.12</v>
      </c>
      <c r="J8" s="5"/>
      <c r="K8" s="16"/>
      <c r="L8" s="5"/>
    </row>
    <row r="9" spans="1:12" ht="15">
      <c r="A9" s="5"/>
      <c r="B9" s="13" t="s">
        <v>102</v>
      </c>
      <c r="C9" s="5" t="s">
        <v>184</v>
      </c>
      <c r="D9" s="189">
        <f>Details!E91</f>
        <v>211.51</v>
      </c>
      <c r="E9" s="48"/>
      <c r="F9" s="189">
        <f>ROUND(+D9/Input!$D$31,2)</f>
        <v>0.69</v>
      </c>
      <c r="G9" s="189">
        <f>ROUND(+D9/Input!$E$31,2)</f>
        <v>0.63</v>
      </c>
      <c r="H9" s="189">
        <f>ROUND(+D9/Input!$F$31,2)</f>
        <v>0.58</v>
      </c>
      <c r="I9" s="189">
        <f>ROUND(+D9/Input!$G$31,2)</f>
        <v>0.54</v>
      </c>
      <c r="J9" s="5"/>
      <c r="K9" s="16"/>
      <c r="L9" s="5"/>
    </row>
    <row r="10" spans="1:12" ht="15">
      <c r="A10" s="5"/>
      <c r="B10" s="13" t="s">
        <v>103</v>
      </c>
      <c r="C10" s="5" t="s">
        <v>142</v>
      </c>
      <c r="D10" s="189">
        <f>Details!E172</f>
        <v>56.76949999999999</v>
      </c>
      <c r="E10" s="48"/>
      <c r="F10" s="189">
        <f>Details!E125</f>
        <v>0.19867374517374517</v>
      </c>
      <c r="G10" s="189">
        <f>Details!E140</f>
        <v>0.18942631578947366</v>
      </c>
      <c r="H10" s="189">
        <f>Details!E155</f>
        <v>0.18231129032258062</v>
      </c>
      <c r="I10" s="189">
        <f>Details!E170</f>
        <v>0.17573363095238093</v>
      </c>
      <c r="J10" s="5"/>
      <c r="K10" s="15"/>
      <c r="L10" s="5"/>
    </row>
    <row r="11" spans="1:12" ht="15">
      <c r="A11" s="5"/>
      <c r="B11" s="13" t="s">
        <v>104</v>
      </c>
      <c r="C11" s="5" t="s">
        <v>51</v>
      </c>
      <c r="D11" s="189">
        <f>Details!E188</f>
        <v>190.74699999999996</v>
      </c>
      <c r="E11" s="48"/>
      <c r="F11" s="189">
        <f>Details!E176</f>
        <v>0.61</v>
      </c>
      <c r="G11" s="189">
        <f>Details!E179</f>
        <v>0.61</v>
      </c>
      <c r="H11" s="189">
        <f>Details!E182</f>
        <v>0.61</v>
      </c>
      <c r="I11" s="189">
        <f>Details!E185</f>
        <v>0.61</v>
      </c>
      <c r="J11" s="5"/>
      <c r="K11" s="16"/>
      <c r="L11" s="5"/>
    </row>
    <row r="12" spans="1:12" ht="15">
      <c r="A12" s="5"/>
      <c r="B12" s="13" t="s">
        <v>105</v>
      </c>
      <c r="C12" s="5" t="s">
        <v>52</v>
      </c>
      <c r="D12" s="189">
        <f>Details!E207</f>
        <v>56.268</v>
      </c>
      <c r="E12" s="48"/>
      <c r="F12" s="189">
        <f>ROUND(+D12/Input!$D$31,2)</f>
        <v>0.18</v>
      </c>
      <c r="G12" s="189">
        <f>ROUND(+D12/Input!$E$31,2)</f>
        <v>0.17</v>
      </c>
      <c r="H12" s="189">
        <f>ROUND(+D12/Input!$F$31,2)</f>
        <v>0.15</v>
      </c>
      <c r="I12" s="189">
        <f>ROUND(+D12/Input!$G$31,2)</f>
        <v>0.14</v>
      </c>
      <c r="J12" s="5"/>
      <c r="K12" s="16"/>
      <c r="L12" s="5"/>
    </row>
    <row r="13" spans="1:12" ht="15">
      <c r="A13" s="5"/>
      <c r="B13" s="13" t="s">
        <v>106</v>
      </c>
      <c r="C13" s="5" t="s">
        <v>182</v>
      </c>
      <c r="D13" s="189">
        <f>Details!E215</f>
        <v>448.42</v>
      </c>
      <c r="E13" s="48"/>
      <c r="F13" s="189">
        <f>ROUND(+D13/Input!$D$31,2)</f>
        <v>1.47</v>
      </c>
      <c r="G13" s="189">
        <f>ROUND(+D13/Input!$E$31,2)</f>
        <v>1.34</v>
      </c>
      <c r="H13" s="189">
        <f>ROUND(+D13/Input!$F$31,2)</f>
        <v>1.23</v>
      </c>
      <c r="I13" s="189">
        <f>ROUND(+D13/Input!$G$31,2)</f>
        <v>1.14</v>
      </c>
      <c r="J13" s="5"/>
      <c r="K13" s="16"/>
      <c r="L13" s="5"/>
    </row>
    <row r="14" spans="1:12" ht="15">
      <c r="A14" s="5" t="s">
        <v>1</v>
      </c>
      <c r="B14" s="13" t="s">
        <v>107</v>
      </c>
      <c r="C14" s="5" t="s">
        <v>53</v>
      </c>
      <c r="D14" s="189">
        <f>Details!E224</f>
        <v>144</v>
      </c>
      <c r="E14" s="48"/>
      <c r="F14" s="189">
        <f>ROUND(+D14/Input!$D$31,2)</f>
        <v>0.47</v>
      </c>
      <c r="G14" s="189">
        <f>ROUND(+D14/Input!$E$31,2)</f>
        <v>0.43</v>
      </c>
      <c r="H14" s="189">
        <f>ROUND(+D14/Input!$F$31,2)</f>
        <v>0.39</v>
      </c>
      <c r="I14" s="189">
        <f>ROUND(+D14/Input!$G$31,2)</f>
        <v>0.36</v>
      </c>
      <c r="J14" s="5"/>
      <c r="K14" s="15"/>
      <c r="L14" s="5"/>
    </row>
    <row r="15" spans="1:12" ht="15">
      <c r="A15" s="5" t="s">
        <v>1</v>
      </c>
      <c r="B15" s="13" t="s">
        <v>108</v>
      </c>
      <c r="C15" s="5" t="s">
        <v>54</v>
      </c>
      <c r="D15" s="189">
        <f>Details!E229</f>
        <v>400</v>
      </c>
      <c r="E15" s="48"/>
      <c r="F15" s="189">
        <f>ROUND(+D15/Input!$D$31,2)</f>
        <v>1.31</v>
      </c>
      <c r="G15" s="189">
        <f>ROUND(+D15/Input!$E$31,2)</f>
        <v>1.19</v>
      </c>
      <c r="H15" s="189">
        <f>ROUND(+D15/Input!$F$31,2)</f>
        <v>1.1</v>
      </c>
      <c r="I15" s="189">
        <f>ROUND(+D15/Input!$G$31,2)</f>
        <v>1.01</v>
      </c>
      <c r="J15" s="5"/>
      <c r="K15" s="16"/>
      <c r="L15" s="5"/>
    </row>
    <row r="16" spans="1:12" ht="15">
      <c r="A16" s="5" t="s">
        <v>1</v>
      </c>
      <c r="B16" s="13" t="s">
        <v>109</v>
      </c>
      <c r="C16" s="5" t="s">
        <v>55</v>
      </c>
      <c r="D16" s="189">
        <f>Details!E269</f>
        <v>114.01041000000002</v>
      </c>
      <c r="E16" s="48"/>
      <c r="F16" s="189">
        <f>SUM(Details!$E$239/Details!E241)+Details!E246</f>
        <v>0.42810694980694985</v>
      </c>
      <c r="G16" s="189">
        <f>SUM(Details!$E$239/Details!E248)+Details!E253</f>
        <v>0.39437017543859654</v>
      </c>
      <c r="H16" s="189">
        <f>SUM(Details!$E$239/Details!E255)+Details!E260</f>
        <v>0.3672677419354839</v>
      </c>
      <c r="I16" s="189">
        <f>SUM(Details!$E$239/Details!E262)+Details!E267</f>
        <v>0.34335952380952384</v>
      </c>
      <c r="J16" s="5"/>
      <c r="K16" s="16"/>
      <c r="L16" s="5"/>
    </row>
    <row r="17" spans="1:12" ht="15">
      <c r="A17" s="5" t="s">
        <v>1</v>
      </c>
      <c r="B17" s="13" t="s">
        <v>110</v>
      </c>
      <c r="C17" s="5" t="s">
        <v>56</v>
      </c>
      <c r="D17" s="189">
        <f>Details!E276</f>
        <v>110.19</v>
      </c>
      <c r="E17" s="48"/>
      <c r="F17" s="189">
        <f>ROUND(+D17/Input!$D$31,2)</f>
        <v>0.36</v>
      </c>
      <c r="G17" s="189">
        <f>ROUND(+D17/Input!$E$31,2)</f>
        <v>0.33</v>
      </c>
      <c r="H17" s="189">
        <f>ROUND(+D17/Input!$F$31,2)</f>
        <v>0.3</v>
      </c>
      <c r="I17" s="189">
        <f>ROUND(+D17/Input!$G$31,2)</f>
        <v>0.28</v>
      </c>
      <c r="J17" s="5"/>
      <c r="K17" s="16"/>
      <c r="L17" s="5"/>
    </row>
    <row r="18" spans="1:12" ht="15">
      <c r="A18" s="5" t="s">
        <v>1</v>
      </c>
      <c r="B18" s="13" t="s">
        <v>111</v>
      </c>
      <c r="C18" s="5" t="s">
        <v>163</v>
      </c>
      <c r="D18" s="190">
        <f>Details!E288</f>
        <v>103.33</v>
      </c>
      <c r="E18" s="48"/>
      <c r="F18" s="190">
        <f>ROUND(+D18/Input!$D$31,2)</f>
        <v>0.34</v>
      </c>
      <c r="G18" s="190">
        <f>ROUND(+D18/Input!$E$31,2)</f>
        <v>0.31</v>
      </c>
      <c r="H18" s="190">
        <f>ROUND(+D18/Input!$F$31,2)</f>
        <v>0.28</v>
      </c>
      <c r="I18" s="190">
        <f>ROUND(+D18/Input!$G$31,2)</f>
        <v>0.26</v>
      </c>
      <c r="J18" s="5"/>
      <c r="K18" s="15"/>
      <c r="L18" s="5"/>
    </row>
    <row r="19" spans="1:12" ht="15.75">
      <c r="A19" s="5"/>
      <c r="B19" s="5" t="s">
        <v>143</v>
      </c>
      <c r="C19" s="5"/>
      <c r="D19" s="189">
        <f>SUM(D5:D18)</f>
        <v>2561.1549099999997</v>
      </c>
      <c r="E19" s="57"/>
      <c r="F19" s="189">
        <f>SUM(F5:F18)</f>
        <v>8.436780694980694</v>
      </c>
      <c r="G19" s="189">
        <f>SUM(G5:G18)</f>
        <v>7.753796491228069</v>
      </c>
      <c r="H19" s="189">
        <f>SUM(H5:H18)</f>
        <v>7.179579032258065</v>
      </c>
      <c r="I19" s="189">
        <f>SUM(I5:I18)</f>
        <v>6.689093154761905</v>
      </c>
      <c r="J19" s="5"/>
      <c r="K19" s="16"/>
      <c r="L19" s="5"/>
    </row>
    <row r="20" spans="1:12" ht="15">
      <c r="A20" s="5"/>
      <c r="B20" s="13" t="s">
        <v>112</v>
      </c>
      <c r="C20" s="5" t="s">
        <v>144</v>
      </c>
      <c r="D20" s="190">
        <f>Details!E297</f>
        <v>64.02887274999999</v>
      </c>
      <c r="E20" s="48"/>
      <c r="F20" s="190">
        <f>ROUND(+D20/Input!$D$31,24)</f>
        <v>0.209930730327869</v>
      </c>
      <c r="G20" s="190">
        <f>ROUND(+D20/Input!$E$31,24)</f>
        <v>0.191130963432836</v>
      </c>
      <c r="H20" s="190">
        <f>ROUND(+D20/Input!$F$31,24)</f>
        <v>0.175421569178082</v>
      </c>
      <c r="I20" s="190">
        <f>ROUND(+D20/Input!$G$31,24)</f>
        <v>0.162098412025316</v>
      </c>
      <c r="J20" s="5"/>
      <c r="K20" s="16"/>
      <c r="L20" s="5"/>
    </row>
    <row r="21" spans="1:12" ht="15.75">
      <c r="A21" s="5"/>
      <c r="B21" s="6" t="s">
        <v>147</v>
      </c>
      <c r="C21" s="5"/>
      <c r="D21" s="123">
        <f>SUM(D19:D20)</f>
        <v>2625.18378275</v>
      </c>
      <c r="E21" s="57"/>
      <c r="F21" s="123">
        <f>F19+F20</f>
        <v>8.646711425308563</v>
      </c>
      <c r="G21" s="123">
        <f>G19+G20</f>
        <v>7.944927454660905</v>
      </c>
      <c r="H21" s="123">
        <f>H19+H20</f>
        <v>7.355000601436147</v>
      </c>
      <c r="I21" s="123">
        <f>I19+I20</f>
        <v>6.851191566787222</v>
      </c>
      <c r="J21" s="5"/>
      <c r="K21" s="16"/>
      <c r="L21" s="5"/>
    </row>
    <row r="22" spans="1:12" ht="7.5" customHeight="1">
      <c r="A22" s="5"/>
      <c r="B22" s="5"/>
      <c r="C22" s="5"/>
      <c r="D22" s="124" t="s">
        <v>1</v>
      </c>
      <c r="E22" s="48"/>
      <c r="F22" s="189" t="s">
        <v>1</v>
      </c>
      <c r="G22" s="189" t="s">
        <v>1</v>
      </c>
      <c r="H22" s="189"/>
      <c r="I22" s="48"/>
      <c r="J22" s="5"/>
      <c r="K22" s="5"/>
      <c r="L22" s="5"/>
    </row>
    <row r="23" spans="1:12" ht="15.75">
      <c r="A23" s="8" t="s">
        <v>57</v>
      </c>
      <c r="B23" s="6" t="s">
        <v>145</v>
      </c>
      <c r="C23" s="5"/>
      <c r="D23" s="124" t="s">
        <v>1</v>
      </c>
      <c r="E23" s="48"/>
      <c r="F23" s="189" t="s">
        <v>1</v>
      </c>
      <c r="G23" s="189" t="s">
        <v>1</v>
      </c>
      <c r="H23" s="189"/>
      <c r="I23" s="48"/>
      <c r="J23" s="5"/>
      <c r="K23" s="5"/>
      <c r="L23" s="5"/>
    </row>
    <row r="24" spans="1:12" ht="15">
      <c r="A24" s="5"/>
      <c r="B24" s="22" t="s">
        <v>189</v>
      </c>
      <c r="C24" s="5" t="s">
        <v>58</v>
      </c>
      <c r="D24" s="189">
        <f>Details!E330</f>
        <v>168.66666666666666</v>
      </c>
      <c r="E24" s="48"/>
      <c r="F24" s="189">
        <f>ROUND(+D24/Input!$D$31,2)</f>
        <v>0.55</v>
      </c>
      <c r="G24" s="189">
        <f>ROUND(+D24/Input!$E$31,2)</f>
        <v>0.5</v>
      </c>
      <c r="H24" s="189">
        <f>ROUND(+D24/Input!$F$31,2)</f>
        <v>0.46</v>
      </c>
      <c r="I24" s="189">
        <f>ROUND(+D24/Input!$G$31,2)</f>
        <v>0.43</v>
      </c>
      <c r="J24" s="5"/>
      <c r="K24" s="15"/>
      <c r="L24" s="5"/>
    </row>
    <row r="25" spans="1:12" ht="15">
      <c r="A25" s="5"/>
      <c r="B25" s="22" t="s">
        <v>126</v>
      </c>
      <c r="C25" s="5" t="s">
        <v>59</v>
      </c>
      <c r="D25" s="189">
        <f>Details!E358</f>
        <v>708.9170940170941</v>
      </c>
      <c r="E25" s="48"/>
      <c r="F25" s="189">
        <f>ROUND(+D25/Input!$D$31,2)</f>
        <v>2.32</v>
      </c>
      <c r="G25" s="189">
        <f>ROUND(+D25/Input!$E$31,2)</f>
        <v>2.12</v>
      </c>
      <c r="H25" s="189">
        <f>ROUND(+D25/Input!$F$31,2)</f>
        <v>1.94</v>
      </c>
      <c r="I25" s="189">
        <f>ROUND(+D25/Input!$G$31,2)</f>
        <v>1.79</v>
      </c>
      <c r="J25" s="5"/>
      <c r="K25" s="16"/>
      <c r="L25" s="5"/>
    </row>
    <row r="26" spans="1:12" ht="15">
      <c r="A26" s="5"/>
      <c r="B26" s="22" t="s">
        <v>127</v>
      </c>
      <c r="C26" s="5" t="s">
        <v>60</v>
      </c>
      <c r="D26" s="190">
        <f>Details!E389</f>
        <v>213.78</v>
      </c>
      <c r="E26" s="48"/>
      <c r="F26" s="190">
        <f>ROUND(+D26/Input!$D$31,2)</f>
        <v>0.7</v>
      </c>
      <c r="G26" s="190">
        <f>ROUND(+D26/Input!$E$31,2)</f>
        <v>0.64</v>
      </c>
      <c r="H26" s="190">
        <f>ROUND(+D26/Input!$F$31,2)</f>
        <v>0.59</v>
      </c>
      <c r="I26" s="190">
        <f>ROUND(+D26/Input!$G$31,2)</f>
        <v>0.54</v>
      </c>
      <c r="J26" s="5"/>
      <c r="K26" s="16"/>
      <c r="L26" s="5"/>
    </row>
    <row r="27" spans="1:12" ht="15.75">
      <c r="A27" s="5"/>
      <c r="B27" s="6" t="s">
        <v>146</v>
      </c>
      <c r="C27" s="5"/>
      <c r="D27" s="123">
        <f>SUM(D24:D26)</f>
        <v>1091.3637606837608</v>
      </c>
      <c r="E27" s="57"/>
      <c r="F27" s="123">
        <f>SUM(F24:F26)</f>
        <v>3.5700000000000003</v>
      </c>
      <c r="G27" s="123">
        <f>SUM(G24:G26)</f>
        <v>3.2600000000000002</v>
      </c>
      <c r="H27" s="123">
        <f>SUM(H24:H26)</f>
        <v>2.9899999999999998</v>
      </c>
      <c r="I27" s="123">
        <f>SUM(I24:I26)</f>
        <v>2.7600000000000002</v>
      </c>
      <c r="J27" s="5"/>
      <c r="K27" s="16"/>
      <c r="L27" s="5"/>
    </row>
    <row r="28" spans="1:12" ht="7.5" customHeight="1">
      <c r="A28" s="5"/>
      <c r="B28" s="5"/>
      <c r="C28" s="5"/>
      <c r="D28" s="189" t="s">
        <v>1</v>
      </c>
      <c r="E28" s="48"/>
      <c r="F28" s="189" t="s">
        <v>1</v>
      </c>
      <c r="G28" s="189" t="s">
        <v>1</v>
      </c>
      <c r="H28" s="189"/>
      <c r="I28" s="48"/>
      <c r="J28" s="5"/>
      <c r="K28" s="5"/>
      <c r="L28" s="5"/>
    </row>
    <row r="29" spans="1:12" ht="15.75">
      <c r="A29" s="8" t="s">
        <v>61</v>
      </c>
      <c r="B29" s="6" t="s">
        <v>148</v>
      </c>
      <c r="C29" s="5"/>
      <c r="D29" s="189" t="s">
        <v>1</v>
      </c>
      <c r="E29" s="48"/>
      <c r="F29" s="189" t="s">
        <v>1</v>
      </c>
      <c r="G29" s="189" t="s">
        <v>1</v>
      </c>
      <c r="H29" s="189"/>
      <c r="I29" s="48"/>
      <c r="J29" s="5"/>
      <c r="K29" s="5"/>
      <c r="L29" s="5"/>
    </row>
    <row r="30" spans="1:12" ht="15.75">
      <c r="A30" s="5"/>
      <c r="B30" s="13" t="s">
        <v>128</v>
      </c>
      <c r="C30" s="5" t="s">
        <v>62</v>
      </c>
      <c r="D30" s="123">
        <f>Details!E394</f>
        <v>100</v>
      </c>
      <c r="E30" s="48"/>
      <c r="F30" s="123">
        <f>ROUND(+D30/Input!$D$31,24)</f>
        <v>0.327868852459016</v>
      </c>
      <c r="G30" s="123">
        <f>ROUND(+D30/Input!$E$31,24)</f>
        <v>0.298507462686567</v>
      </c>
      <c r="H30" s="123">
        <f>ROUND(+D30/Input!$F$31,24)</f>
        <v>0.273972602739726</v>
      </c>
      <c r="I30" s="123">
        <f>ROUND(+D30/Input!$G$31,24)</f>
        <v>0.253164556962025</v>
      </c>
      <c r="J30" s="5"/>
      <c r="K30" s="15"/>
      <c r="L30" s="5"/>
    </row>
    <row r="31" spans="1:12" ht="7.5" customHeight="1">
      <c r="A31" s="5"/>
      <c r="B31" s="5"/>
      <c r="C31" s="5"/>
      <c r="D31" s="19"/>
      <c r="E31" s="5"/>
      <c r="F31" s="19"/>
      <c r="G31" s="19"/>
      <c r="H31" s="19"/>
      <c r="I31" s="5"/>
      <c r="J31" s="5"/>
      <c r="K31" s="5"/>
      <c r="L31" s="5"/>
    </row>
    <row r="32" spans="1:12" ht="15.75">
      <c r="A32" s="6" t="s">
        <v>149</v>
      </c>
      <c r="B32" s="6"/>
      <c r="C32" s="5"/>
      <c r="D32" s="21">
        <f>SUM(D21+D27+D30)</f>
        <v>3816.5475434337604</v>
      </c>
      <c r="E32" s="5"/>
      <c r="F32" s="21">
        <f>F21+F27+F30</f>
        <v>12.54458027776758</v>
      </c>
      <c r="G32" s="21">
        <f>G21+G27+G30</f>
        <v>11.503434917347473</v>
      </c>
      <c r="H32" s="21">
        <f>H21+H27+H30</f>
        <v>10.618973204175871</v>
      </c>
      <c r="I32" s="21">
        <f>I21+I27+I30</f>
        <v>9.864356123749246</v>
      </c>
      <c r="J32" s="5"/>
      <c r="K32" s="15"/>
      <c r="L32" s="5"/>
    </row>
    <row r="33" spans="1:12" ht="15">
      <c r="A33" s="5"/>
      <c r="B33" s="5"/>
      <c r="C33" s="5"/>
      <c r="D33" s="5"/>
      <c r="E33" s="5"/>
      <c r="F33" s="10"/>
      <c r="G33" s="14"/>
      <c r="H33" s="14"/>
      <c r="I33" s="5"/>
      <c r="J33" s="5"/>
      <c r="K33" s="5"/>
      <c r="L33" s="5"/>
    </row>
    <row r="34" spans="1:12" ht="21.75" customHeight="1">
      <c r="A34" s="56"/>
      <c r="B34" s="249" t="s">
        <v>224</v>
      </c>
      <c r="C34" s="250"/>
      <c r="D34" s="250"/>
      <c r="E34" s="250"/>
      <c r="F34" s="250"/>
      <c r="G34" s="250"/>
      <c r="H34" s="250"/>
      <c r="I34" s="250"/>
      <c r="J34" s="250"/>
      <c r="K34" s="250"/>
      <c r="L34" s="5"/>
    </row>
    <row r="35" ht="7.5" customHeight="1"/>
    <row r="36" ht="15.75">
      <c r="A36" s="57" t="s">
        <v>216</v>
      </c>
    </row>
    <row r="37" spans="1:9" ht="15">
      <c r="A37" s="5"/>
      <c r="B37" s="48" t="s">
        <v>242</v>
      </c>
      <c r="D37" s="118">
        <f>SUM(Input!$E$36+Input!$E$37-Input!$E$38)</f>
        <v>11.66</v>
      </c>
      <c r="F37" s="118">
        <f>SUM(Input!$E$36+Input!$E$37-Input!$E$38)</f>
        <v>11.66</v>
      </c>
      <c r="G37" s="118">
        <f>SUM(Input!$E$36+Input!$E$37-Input!$E$38)</f>
        <v>11.66</v>
      </c>
      <c r="H37" s="118">
        <f>SUM(Input!$E$36+Input!$E$37-Input!$E$38)</f>
        <v>11.66</v>
      </c>
      <c r="I37" s="118">
        <f>SUM(Input!$E$36+Input!$E$37-Input!$E$38)</f>
        <v>11.66</v>
      </c>
    </row>
    <row r="38" spans="1:9" ht="15">
      <c r="A38" s="5"/>
      <c r="B38" s="48" t="s">
        <v>327</v>
      </c>
      <c r="D38" s="118"/>
      <c r="F38" s="191">
        <f>Input!D31</f>
        <v>305</v>
      </c>
      <c r="G38" s="191">
        <f>Input!E31</f>
        <v>335</v>
      </c>
      <c r="H38" s="191">
        <f>Input!F31</f>
        <v>365</v>
      </c>
      <c r="I38" s="191">
        <f>Input!G31</f>
        <v>395</v>
      </c>
    </row>
    <row r="39" spans="1:12" ht="15">
      <c r="A39" s="48"/>
      <c r="B39" s="48" t="s">
        <v>310</v>
      </c>
      <c r="F39" s="2">
        <f>Input!D33</f>
        <v>259</v>
      </c>
      <c r="G39" s="2">
        <f>Input!E33</f>
        <v>285</v>
      </c>
      <c r="H39" s="2">
        <f>Input!F33</f>
        <v>310</v>
      </c>
      <c r="I39" s="2">
        <f>Input!G33</f>
        <v>336</v>
      </c>
      <c r="L39" s="135"/>
    </row>
    <row r="40" spans="1:9" ht="15.75">
      <c r="A40" s="6"/>
      <c r="B40" s="57" t="s">
        <v>217</v>
      </c>
      <c r="F40" s="118">
        <f>SUM(F39*$D$37)</f>
        <v>3019.94</v>
      </c>
      <c r="G40" s="118">
        <f>SUM(G39*$D$37)</f>
        <v>3323.1</v>
      </c>
      <c r="H40" s="118">
        <f>SUM(H39*$D$37)</f>
        <v>3614.6</v>
      </c>
      <c r="I40" s="118">
        <f>SUM(I39*$D$37)</f>
        <v>3917.76</v>
      </c>
    </row>
    <row r="41" spans="1:2" ht="7.5" customHeight="1">
      <c r="A41" s="5"/>
      <c r="B41" s="48"/>
    </row>
    <row r="42" ht="15.75">
      <c r="A42" s="57" t="s">
        <v>218</v>
      </c>
    </row>
    <row r="43" spans="1:12" ht="15">
      <c r="A43" s="5"/>
      <c r="B43" s="48" t="s">
        <v>219</v>
      </c>
      <c r="F43" s="150">
        <f>SUM(F40-$D$21)</f>
        <v>394.7562172500002</v>
      </c>
      <c r="G43" s="150">
        <f>SUM(G40-$D$21)</f>
        <v>697.91621725</v>
      </c>
      <c r="H43" s="150">
        <f>SUM(H40-$D$21)</f>
        <v>989.41621725</v>
      </c>
      <c r="I43" s="150">
        <f>SUM(I40-$D$21)</f>
        <v>1292.5762172500004</v>
      </c>
      <c r="L43" s="135"/>
    </row>
    <row r="44" spans="1:9" ht="15">
      <c r="A44" s="5"/>
      <c r="B44" s="48" t="s">
        <v>220</v>
      </c>
      <c r="F44" s="150">
        <f>SUM(F40-$D$32)</f>
        <v>-796.6075434337604</v>
      </c>
      <c r="G44" s="150">
        <f>SUM(G40-$D$32)</f>
        <v>-493.44754343376053</v>
      </c>
      <c r="H44" s="150">
        <f>SUM(H40-$D$32)</f>
        <v>-201.94754343376053</v>
      </c>
      <c r="I44" s="150">
        <f>SUM(I40-$D$32)</f>
        <v>101.21245656623978</v>
      </c>
    </row>
    <row r="45" spans="1:9" ht="15.75">
      <c r="A45" s="6"/>
      <c r="B45" s="58" t="s">
        <v>221</v>
      </c>
      <c r="F45" s="153">
        <f>IF(F37=0,0,SUM($D$21/F40))</f>
        <v>0.8692834237600746</v>
      </c>
      <c r="G45" s="153">
        <f>IF(G37=0,0,SUM($D$21/G40))</f>
        <v>0.7899803745749451</v>
      </c>
      <c r="H45" s="153">
        <f>IF(H37=0,0,SUM($D$21/H40))</f>
        <v>0.7262722798511592</v>
      </c>
      <c r="I45" s="153">
        <f>IF(I37=0,0,SUM($D$21/I40))</f>
        <v>0.6700726391483909</v>
      </c>
    </row>
    <row r="46" spans="1:2" ht="7.5" customHeight="1">
      <c r="A46" s="5"/>
      <c r="B46" s="48"/>
    </row>
    <row r="47" ht="15.75">
      <c r="A47" s="57" t="s">
        <v>222</v>
      </c>
    </row>
    <row r="48" spans="1:9" ht="15">
      <c r="A48" s="5"/>
      <c r="B48" s="48" t="s">
        <v>141</v>
      </c>
      <c r="F48" s="151">
        <f>SUM($D$21/F39)</f>
        <v>10.13584472104247</v>
      </c>
      <c r="G48" s="151">
        <f>SUM($D$21/G39)</f>
        <v>9.21117116754386</v>
      </c>
      <c r="H48" s="151">
        <f>SUM($D$21/H39)</f>
        <v>8.468334783064515</v>
      </c>
      <c r="I48" s="151">
        <f>SUM($D$21/I39)</f>
        <v>7.813046972470238</v>
      </c>
    </row>
    <row r="49" spans="1:9" ht="15.75">
      <c r="A49" s="5"/>
      <c r="B49" s="57" t="s">
        <v>223</v>
      </c>
      <c r="F49" s="151">
        <f>SUM($D$32/F39)</f>
        <v>14.73570480090255</v>
      </c>
      <c r="G49" s="151">
        <f>SUM($D$32/G39)</f>
        <v>13.391394889241266</v>
      </c>
      <c r="H49" s="151">
        <f>SUM($D$32/H39)</f>
        <v>12.311443688496002</v>
      </c>
      <c r="I49" s="151">
        <f>SUM($D$32/I39)</f>
        <v>11.358772450695716</v>
      </c>
    </row>
    <row r="50" spans="1:2" ht="7.5" customHeight="1">
      <c r="A50" s="5"/>
      <c r="B50" s="57"/>
    </row>
    <row r="51" ht="15.75">
      <c r="A51" s="57" t="s">
        <v>309</v>
      </c>
    </row>
    <row r="52" spans="1:8" ht="15">
      <c r="A52" s="5"/>
      <c r="B52" s="48" t="s">
        <v>141</v>
      </c>
      <c r="D52" s="152">
        <f>IF(D37=0,0,SUM($D$21/I37)/(1-(Input!$G$27+Input!$G$28)))</f>
        <v>264.8757726515992</v>
      </c>
      <c r="F52" s="152"/>
      <c r="G52" s="152"/>
      <c r="H52" s="152"/>
    </row>
    <row r="53" spans="1:4" ht="15.75">
      <c r="A53" s="5"/>
      <c r="B53" s="57" t="s">
        <v>223</v>
      </c>
      <c r="D53" s="152">
        <f>IF(D37=0,0,SUM($D$32/D37)/(1-(Input!$G$27+Input!$G$28)))</f>
        <v>385.08198400098485</v>
      </c>
    </row>
    <row r="54" spans="1:4" ht="7.5" customHeight="1">
      <c r="A54" s="5"/>
      <c r="B54" s="57"/>
      <c r="D54" s="152"/>
    </row>
    <row r="55" spans="1:9" s="135" customFormat="1" ht="15.75">
      <c r="A55" s="57" t="s">
        <v>315</v>
      </c>
      <c r="B55" s="57"/>
      <c r="D55" s="206"/>
      <c r="F55" s="207">
        <f>SUM(((F44+$D$26+$D$20+$D$24)*Input!$G$18)+(Input!$G$219*(Input!$G$221+Input!$G$222+Input!$G$223+Input!$G$224)))/Input!$G$212</f>
        <v>-0.00015373146867511228</v>
      </c>
      <c r="G55" s="207">
        <f>SUM(((G44+$D$26+$D$20+$D$24)*Input!$G$18)+(Input!$G$219*(Input!$G$221+Input!$G$222+Input!$G$223+Input!$G$224)))/Input!$G$212</f>
        <v>0.008126051299109809</v>
      </c>
      <c r="H55" s="207">
        <f>SUM(((H44+$D$26+$D$20+$D$24)*Input!$G$18)+(Input!$G$219*(Input!$G$221+Input!$G$222+Input!$G$223+Input!$G$224)))/Input!$G$212</f>
        <v>0.016087380883518392</v>
      </c>
      <c r="I55" s="207">
        <f>SUM(((I44+$D$26+$D$20+$D$24)*Input!$G$18)+(Input!$G$219*(Input!$G$221+Input!$G$222+Input!$G$223+Input!$G$224)))/Input!$G$212</f>
        <v>0.02436716365130332</v>
      </c>
    </row>
    <row r="56" ht="15.75" customHeight="1">
      <c r="A56" s="157" t="s">
        <v>336</v>
      </c>
    </row>
    <row r="57" ht="7.5" customHeight="1"/>
    <row r="58" spans="1:11" ht="15">
      <c r="A58" s="251" t="s">
        <v>225</v>
      </c>
      <c r="B58" s="251"/>
      <c r="C58" s="251"/>
      <c r="D58" s="251"/>
      <c r="E58" s="251"/>
      <c r="F58" s="251"/>
      <c r="G58" s="251"/>
      <c r="H58" s="251"/>
      <c r="I58" s="251"/>
      <c r="J58" s="251"/>
      <c r="K58" s="251"/>
    </row>
    <row r="59" spans="1:11" ht="15">
      <c r="A59" s="251"/>
      <c r="B59" s="251"/>
      <c r="C59" s="251"/>
      <c r="D59" s="251"/>
      <c r="E59" s="251"/>
      <c r="F59" s="251"/>
      <c r="G59" s="251"/>
      <c r="H59" s="251"/>
      <c r="I59" s="251"/>
      <c r="J59" s="251"/>
      <c r="K59" s="251"/>
    </row>
    <row r="60" spans="1:11" ht="15">
      <c r="A60" s="251"/>
      <c r="B60" s="251"/>
      <c r="C60" s="251"/>
      <c r="D60" s="251"/>
      <c r="E60" s="251"/>
      <c r="F60" s="251"/>
      <c r="G60" s="251"/>
      <c r="H60" s="251"/>
      <c r="I60" s="251"/>
      <c r="J60" s="251"/>
      <c r="K60" s="251"/>
    </row>
  </sheetData>
  <sheetProtection password="C6A6" sheet="1"/>
  <mergeCells count="4">
    <mergeCell ref="B1:K1"/>
    <mergeCell ref="B34:K34"/>
    <mergeCell ref="A58:K60"/>
    <mergeCell ref="F3:I3"/>
  </mergeCells>
  <printOptions horizontalCentered="1"/>
  <pageMargins left="0.7480314960629921" right="0.7480314960629921" top="0.984251968503937" bottom="0.984251968503937" header="0.5118110236220472" footer="0.5118110236220472"/>
  <pageSetup firstPageNumber="2" useFirstPageNumber="1" fitToHeight="1" fitToWidth="1" horizontalDpi="600" verticalDpi="600" orientation="portrait" scale="75" r:id="rId1"/>
  <headerFooter alignWithMargins="0">
    <oddHeader>&amp;LGuidelines: Potato Production Costs&amp;R&amp;P</oddHeader>
    <oddFooter>&amp;R&amp;10Manitoba Agriculture, Farm Management</oddFooter>
  </headerFooter>
  <ignoredErrors>
    <ignoredError sqref="B5 B24:B26 B30 B7:B20" numberStoredAsText="1"/>
    <ignoredError sqref="G19 F16:I16" formula="1"/>
  </ignoredErrors>
</worksheet>
</file>

<file path=xl/worksheets/sheet3.xml><?xml version="1.0" encoding="utf-8"?>
<worksheet xmlns="http://schemas.openxmlformats.org/spreadsheetml/2006/main" xmlns:r="http://schemas.openxmlformats.org/officeDocument/2006/relationships">
  <sheetPr codeName="Sheet10">
    <pageSetUpPr fitToPage="1"/>
  </sheetPr>
  <dimension ref="A1:X59"/>
  <sheetViews>
    <sheetView showGridLines="0" zoomScale="90" zoomScaleNormal="90" workbookViewId="0" topLeftCell="A1">
      <selection activeCell="B1" sqref="B1:K1"/>
    </sheetView>
  </sheetViews>
  <sheetFormatPr defaultColWidth="7.99609375" defaultRowHeight="15"/>
  <cols>
    <col min="1" max="1" width="1.66796875" style="66" customWidth="1"/>
    <col min="2" max="2" width="24.88671875" style="66" customWidth="1"/>
    <col min="3" max="6" width="10.77734375" style="66" customWidth="1"/>
    <col min="7" max="7" width="4.21484375" style="66" customWidth="1"/>
    <col min="8" max="10" width="8.3359375" style="66" customWidth="1"/>
    <col min="11" max="11" width="4.5546875" style="66" customWidth="1"/>
    <col min="12" max="16384" width="7.99609375" style="65" customWidth="1"/>
  </cols>
  <sheetData>
    <row r="1" spans="1:15" ht="18">
      <c r="A1" s="63"/>
      <c r="B1" s="253" t="s">
        <v>233</v>
      </c>
      <c r="C1" s="253"/>
      <c r="D1" s="253"/>
      <c r="E1" s="253"/>
      <c r="F1" s="253"/>
      <c r="G1" s="253"/>
      <c r="H1" s="253"/>
      <c r="I1" s="253"/>
      <c r="J1" s="253"/>
      <c r="K1" s="253"/>
      <c r="L1" s="64"/>
      <c r="M1" s="64"/>
      <c r="N1" s="64"/>
      <c r="O1" s="64"/>
    </row>
    <row r="2" spans="1:15" ht="18" customHeight="1">
      <c r="A2" s="64"/>
      <c r="C2" s="67"/>
      <c r="D2" s="67"/>
      <c r="E2" s="67"/>
      <c r="F2" s="67"/>
      <c r="G2" s="67"/>
      <c r="H2" s="67"/>
      <c r="I2" s="67"/>
      <c r="J2" s="67"/>
      <c r="K2" s="67"/>
      <c r="L2" s="64"/>
      <c r="M2" s="64"/>
      <c r="N2" s="64"/>
      <c r="O2" s="64"/>
    </row>
    <row r="3" spans="1:7" ht="18" customHeight="1">
      <c r="A3" s="68"/>
      <c r="B3" s="69"/>
      <c r="C3" s="70"/>
      <c r="D3" s="70"/>
      <c r="E3" s="71"/>
      <c r="F3" s="71"/>
      <c r="G3" s="70"/>
    </row>
    <row r="4" spans="1:11" s="77" customFormat="1" ht="15.75">
      <c r="A4" s="72"/>
      <c r="B4" s="72"/>
      <c r="C4" s="218" t="s">
        <v>377</v>
      </c>
      <c r="D4" s="216"/>
      <c r="E4" s="216"/>
      <c r="F4" s="216"/>
      <c r="G4" s="75"/>
      <c r="H4" s="73"/>
      <c r="I4" s="73"/>
      <c r="J4" s="74"/>
      <c r="K4" s="72"/>
    </row>
    <row r="5" spans="1:11" s="81" customFormat="1" ht="15.75">
      <c r="A5" s="78"/>
      <c r="B5" s="78"/>
      <c r="C5" s="204" t="s">
        <v>378</v>
      </c>
      <c r="D5" s="217"/>
      <c r="E5" s="217"/>
      <c r="F5" s="217"/>
      <c r="G5" s="80"/>
      <c r="H5" s="82" t="s">
        <v>234</v>
      </c>
      <c r="I5" s="79"/>
      <c r="J5" s="79"/>
      <c r="K5" s="79"/>
    </row>
    <row r="6" spans="1:11" s="81" customFormat="1" ht="15">
      <c r="A6" s="78"/>
      <c r="B6" s="78"/>
      <c r="C6" s="75"/>
      <c r="D6" s="75"/>
      <c r="E6" s="83"/>
      <c r="F6" s="75"/>
      <c r="G6" s="76"/>
      <c r="I6" s="75"/>
      <c r="J6" s="75"/>
      <c r="K6" s="75"/>
    </row>
    <row r="7" spans="1:11" ht="18">
      <c r="A7" s="69" t="s">
        <v>150</v>
      </c>
      <c r="C7" s="84">
        <f>Summary!$D$21</f>
        <v>2625.18378275</v>
      </c>
      <c r="D7" s="84"/>
      <c r="E7" s="84"/>
      <c r="F7" s="84"/>
      <c r="G7" s="84"/>
      <c r="H7" s="85"/>
      <c r="I7" s="84"/>
      <c r="J7" s="84"/>
      <c r="K7" s="84"/>
    </row>
    <row r="8" spans="1:11" ht="18">
      <c r="A8" s="69" t="s">
        <v>241</v>
      </c>
      <c r="C8" s="84">
        <f>Summary!$D$27</f>
        <v>1091.3637606837608</v>
      </c>
      <c r="D8" s="84"/>
      <c r="E8" s="84"/>
      <c r="F8" s="84"/>
      <c r="G8" s="84"/>
      <c r="H8" s="85"/>
      <c r="I8" s="84"/>
      <c r="J8" s="84"/>
      <c r="K8" s="84"/>
    </row>
    <row r="9" spans="1:11" ht="18">
      <c r="A9" s="69" t="s">
        <v>223</v>
      </c>
      <c r="C9" s="84">
        <f>Summary!$D$32</f>
        <v>3816.5475434337604</v>
      </c>
      <c r="D9" s="84"/>
      <c r="E9" s="84"/>
      <c r="F9" s="84"/>
      <c r="G9" s="84"/>
      <c r="H9" s="85"/>
      <c r="I9" s="84"/>
      <c r="J9" s="84"/>
      <c r="K9" s="84"/>
    </row>
    <row r="10" spans="1:11" ht="18">
      <c r="A10" s="69"/>
      <c r="C10" s="84"/>
      <c r="D10" s="84"/>
      <c r="E10" s="84"/>
      <c r="F10" s="84"/>
      <c r="G10" s="84"/>
      <c r="H10" s="65"/>
      <c r="I10" s="84"/>
      <c r="J10" s="84"/>
      <c r="K10" s="84"/>
    </row>
    <row r="11" spans="1:11" s="77" customFormat="1" ht="15.75">
      <c r="A11" s="72"/>
      <c r="B11" s="72"/>
      <c r="C11" s="254" t="s">
        <v>335</v>
      </c>
      <c r="D11" s="254"/>
      <c r="E11" s="254"/>
      <c r="F11" s="254"/>
      <c r="G11" s="75"/>
      <c r="H11" s="73"/>
      <c r="I11" s="73"/>
      <c r="J11" s="74"/>
      <c r="K11" s="72"/>
    </row>
    <row r="12" spans="2:11" s="81" customFormat="1" ht="15.75">
      <c r="B12" s="78"/>
      <c r="C12" s="204" t="str">
        <f>Summary!F4</f>
        <v>305 CWT</v>
      </c>
      <c r="D12" s="204" t="str">
        <f>Summary!G4</f>
        <v>335 CWT</v>
      </c>
      <c r="E12" s="204" t="str">
        <f>Summary!H4</f>
        <v>365 CWT</v>
      </c>
      <c r="F12" s="204" t="str">
        <f>Summary!I4</f>
        <v>395 CWT</v>
      </c>
      <c r="G12" s="80"/>
      <c r="H12" s="219"/>
      <c r="I12" s="79"/>
      <c r="J12" s="79"/>
      <c r="K12" s="79"/>
    </row>
    <row r="13" spans="1:15" ht="18">
      <c r="A13" s="64" t="s">
        <v>216</v>
      </c>
      <c r="C13" s="65"/>
      <c r="D13" s="64"/>
      <c r="E13" s="64"/>
      <c r="F13" s="64"/>
      <c r="G13" s="64"/>
      <c r="H13" s="64"/>
      <c r="I13" s="65"/>
      <c r="J13" s="64"/>
      <c r="K13" s="64"/>
      <c r="L13" s="64"/>
      <c r="M13" s="64"/>
      <c r="N13" s="64"/>
      <c r="O13" s="64"/>
    </row>
    <row r="14" spans="1:11" ht="18">
      <c r="A14" s="68"/>
      <c r="B14" s="86" t="s">
        <v>242</v>
      </c>
      <c r="C14" s="87">
        <f>Summary!$D$37</f>
        <v>11.66</v>
      </c>
      <c r="D14" s="87">
        <f>Summary!$D$37</f>
        <v>11.66</v>
      </c>
      <c r="E14" s="87">
        <f>Summary!$D$37</f>
        <v>11.66</v>
      </c>
      <c r="F14" s="87">
        <f>Summary!$D$37</f>
        <v>11.66</v>
      </c>
      <c r="G14" s="87"/>
      <c r="H14" s="85"/>
      <c r="I14" s="87"/>
      <c r="J14" s="87"/>
      <c r="K14" s="87"/>
    </row>
    <row r="15" spans="1:11" s="90" customFormat="1" ht="18">
      <c r="A15" s="86"/>
      <c r="B15" s="48" t="s">
        <v>362</v>
      </c>
      <c r="C15" s="88">
        <f>Input!D33</f>
        <v>259</v>
      </c>
      <c r="D15" s="88">
        <f>Input!E33</f>
        <v>285</v>
      </c>
      <c r="E15" s="88">
        <f>Input!F33</f>
        <v>310</v>
      </c>
      <c r="F15" s="88">
        <f>Input!G33</f>
        <v>336</v>
      </c>
      <c r="G15" s="88"/>
      <c r="H15" s="89"/>
      <c r="I15" s="88"/>
      <c r="J15" s="88"/>
      <c r="K15" s="88"/>
    </row>
    <row r="16" spans="1:11" s="90" customFormat="1" ht="9" customHeight="1">
      <c r="A16" s="86"/>
      <c r="B16" s="86"/>
      <c r="C16" s="91"/>
      <c r="D16" s="91"/>
      <c r="E16" s="91"/>
      <c r="F16" s="91"/>
      <c r="G16" s="91"/>
      <c r="H16" s="91"/>
      <c r="I16" s="91"/>
      <c r="J16" s="91"/>
      <c r="K16" s="91"/>
    </row>
    <row r="17" spans="1:11" s="90" customFormat="1" ht="9" customHeight="1">
      <c r="A17" s="86"/>
      <c r="B17" s="92"/>
      <c r="C17" s="93"/>
      <c r="D17" s="93"/>
      <c r="E17" s="93"/>
      <c r="F17" s="93"/>
      <c r="G17" s="93"/>
      <c r="H17" s="93"/>
      <c r="I17" s="93"/>
      <c r="J17" s="93"/>
      <c r="K17" s="93"/>
    </row>
    <row r="18" spans="1:11" ht="18">
      <c r="A18" s="65"/>
      <c r="B18" s="94"/>
      <c r="C18" s="95" t="s">
        <v>235</v>
      </c>
      <c r="D18" s="95" t="s">
        <v>236</v>
      </c>
      <c r="E18" s="94"/>
      <c r="F18" s="94"/>
      <c r="G18" s="96"/>
      <c r="H18" s="94"/>
      <c r="I18" s="95" t="s">
        <v>235</v>
      </c>
      <c r="J18" s="95" t="s">
        <v>236</v>
      </c>
      <c r="K18" s="94"/>
    </row>
    <row r="19" spans="1:11" ht="18">
      <c r="A19" s="68"/>
      <c r="B19" s="97" t="s">
        <v>237</v>
      </c>
      <c r="C19" s="98">
        <v>0.05</v>
      </c>
      <c r="D19" s="98">
        <v>0.1</v>
      </c>
      <c r="E19" s="96"/>
      <c r="F19" s="99"/>
      <c r="G19" s="96"/>
      <c r="H19" s="97" t="s">
        <v>238</v>
      </c>
      <c r="I19" s="98">
        <v>0.1</v>
      </c>
      <c r="J19" s="98">
        <v>0.05</v>
      </c>
      <c r="K19" s="94"/>
    </row>
    <row r="20" spans="1:11" ht="9" customHeight="1">
      <c r="A20" s="68"/>
      <c r="B20" s="97"/>
      <c r="C20" s="100"/>
      <c r="D20" s="100"/>
      <c r="E20" s="96"/>
      <c r="F20" s="99"/>
      <c r="G20" s="96"/>
      <c r="H20" s="97"/>
      <c r="I20" s="100"/>
      <c r="J20" s="100"/>
      <c r="K20" s="94"/>
    </row>
    <row r="21" spans="1:11" s="90" customFormat="1" ht="9" customHeight="1">
      <c r="A21" s="86"/>
      <c r="B21" s="86"/>
      <c r="C21" s="91"/>
      <c r="D21" s="91"/>
      <c r="E21" s="91"/>
      <c r="F21" s="91"/>
      <c r="G21" s="91"/>
      <c r="H21" s="91"/>
      <c r="I21" s="91"/>
      <c r="J21" s="91"/>
      <c r="K21" s="91"/>
    </row>
    <row r="22" spans="1:11" s="104" customFormat="1" ht="18" customHeight="1">
      <c r="A22" s="69"/>
      <c r="B22" s="101" t="s">
        <v>245</v>
      </c>
      <c r="C22" s="102">
        <f>SUM(C14*(1+$C$19))</f>
        <v>12.243</v>
      </c>
      <c r="D22" s="102">
        <f>SUM(D14*(1+$C$19))</f>
        <v>12.243</v>
      </c>
      <c r="E22" s="102">
        <f>SUM(E14*(1+$C$19))</f>
        <v>12.243</v>
      </c>
      <c r="F22" s="102">
        <f>SUM(F14*(1+$C$19))</f>
        <v>12.243</v>
      </c>
      <c r="G22" s="102"/>
      <c r="H22" s="102"/>
      <c r="I22" s="102"/>
      <c r="J22" s="102"/>
      <c r="K22" s="102"/>
    </row>
    <row r="23" spans="1:11" s="104" customFormat="1" ht="18" customHeight="1">
      <c r="A23" s="69"/>
      <c r="B23" s="101" t="s">
        <v>246</v>
      </c>
      <c r="C23" s="102">
        <f>SUM(C14*(1-$D$19))</f>
        <v>10.494</v>
      </c>
      <c r="D23" s="102">
        <f>SUM(D14*(1-$D$19))</f>
        <v>10.494</v>
      </c>
      <c r="E23" s="102">
        <f>SUM(E14*(1-$D$19))</f>
        <v>10.494</v>
      </c>
      <c r="F23" s="102">
        <f>SUM(F14*(1-$D$19))</f>
        <v>10.494</v>
      </c>
      <c r="G23" s="102"/>
      <c r="H23" s="103"/>
      <c r="I23" s="102"/>
      <c r="J23" s="102"/>
      <c r="K23" s="102"/>
    </row>
    <row r="24" spans="1:11" s="104" customFormat="1" ht="18" customHeight="1">
      <c r="A24" s="69"/>
      <c r="B24" s="101" t="s">
        <v>243</v>
      </c>
      <c r="C24" s="105">
        <f>SUM(C15*(1+$I$19))</f>
        <v>284.90000000000003</v>
      </c>
      <c r="D24" s="105">
        <f>SUM(D15*(1+$I$19))</f>
        <v>313.5</v>
      </c>
      <c r="E24" s="105">
        <f>SUM(E15*(1+$I$19))</f>
        <v>341</v>
      </c>
      <c r="F24" s="105">
        <f>SUM(F15*(1+$I$19))</f>
        <v>369.6</v>
      </c>
      <c r="G24" s="105"/>
      <c r="H24" s="103"/>
      <c r="I24" s="105"/>
      <c r="J24" s="105"/>
      <c r="K24" s="105"/>
    </row>
    <row r="25" spans="1:11" s="104" customFormat="1" ht="18" customHeight="1">
      <c r="A25" s="69"/>
      <c r="B25" s="101" t="s">
        <v>244</v>
      </c>
      <c r="C25" s="105">
        <f>SUM(C15*(1-$J$19))</f>
        <v>246.04999999999998</v>
      </c>
      <c r="D25" s="105">
        <f>SUM(D15*(1-$J$19))</f>
        <v>270.75</v>
      </c>
      <c r="E25" s="105">
        <f>SUM(E15*(1-$J$19))</f>
        <v>294.5</v>
      </c>
      <c r="F25" s="105">
        <f>SUM(F15*(1-$J$19))</f>
        <v>319.2</v>
      </c>
      <c r="G25" s="105"/>
      <c r="H25" s="103"/>
      <c r="I25" s="105"/>
      <c r="J25" s="105"/>
      <c r="K25" s="105"/>
    </row>
    <row r="26" spans="1:11" s="104" customFormat="1" ht="18" customHeight="1">
      <c r="A26" s="69"/>
      <c r="B26" s="101"/>
      <c r="C26" s="105"/>
      <c r="D26" s="105"/>
      <c r="E26" s="105"/>
      <c r="F26" s="105"/>
      <c r="G26" s="105"/>
      <c r="I26" s="105"/>
      <c r="J26" s="105"/>
      <c r="K26" s="105"/>
    </row>
    <row r="27" spans="1:8" ht="18" customHeight="1">
      <c r="A27" s="68"/>
      <c r="H27" s="65"/>
    </row>
    <row r="28" spans="1:15" s="104" customFormat="1" ht="18">
      <c r="A28" s="106" t="str">
        <f>"Higher Margin Scenario - Price Up "&amp;C19*100&amp;"% and Yield Up "&amp;I19*100&amp;"%"</f>
        <v>Higher Margin Scenario - Price Up 5% and Yield Up 10%</v>
      </c>
      <c r="B28" s="71"/>
      <c r="C28" s="87"/>
      <c r="D28" s="64"/>
      <c r="E28" s="64"/>
      <c r="F28" s="64"/>
      <c r="G28" s="64"/>
      <c r="H28" s="64"/>
      <c r="I28" s="64"/>
      <c r="J28" s="64"/>
      <c r="K28" s="64"/>
      <c r="L28" s="64"/>
      <c r="M28" s="64"/>
      <c r="N28" s="64"/>
      <c r="O28" s="64"/>
    </row>
    <row r="29" spans="1:11" ht="18">
      <c r="A29" s="68"/>
      <c r="B29" s="64" t="s">
        <v>217</v>
      </c>
      <c r="C29" s="102">
        <f>SUM(C22*C24)</f>
        <v>3488.0307000000007</v>
      </c>
      <c r="D29" s="102">
        <f>SUM(D22*D24)</f>
        <v>3838.1805</v>
      </c>
      <c r="E29" s="102">
        <f>SUM(E22*E24)</f>
        <v>4174.863</v>
      </c>
      <c r="F29" s="102">
        <f>SUM(F22*F24)</f>
        <v>4525.0128</v>
      </c>
      <c r="G29" s="102"/>
      <c r="H29" s="85"/>
      <c r="I29" s="102"/>
      <c r="J29" s="102"/>
      <c r="K29" s="102"/>
    </row>
    <row r="30" spans="1:11" ht="18">
      <c r="A30" s="65"/>
      <c r="B30" s="64" t="s">
        <v>218</v>
      </c>
      <c r="C30" s="86"/>
      <c r="D30" s="86"/>
      <c r="E30" s="86"/>
      <c r="F30" s="86"/>
      <c r="G30" s="86"/>
      <c r="H30" s="65"/>
      <c r="I30" s="86"/>
      <c r="J30" s="86"/>
      <c r="K30" s="86"/>
    </row>
    <row r="31" spans="1:11" ht="18">
      <c r="A31" s="68"/>
      <c r="B31" s="107" t="s">
        <v>239</v>
      </c>
      <c r="C31" s="108">
        <f>SUM(C29-$C$7)</f>
        <v>862.8469172500008</v>
      </c>
      <c r="D31" s="108">
        <f>SUM(D29-$C$7)</f>
        <v>1212.99671725</v>
      </c>
      <c r="E31" s="108">
        <f>SUM(E29-$C$7)</f>
        <v>1549.6792172500004</v>
      </c>
      <c r="F31" s="108">
        <f>SUM(F29-$C$7)</f>
        <v>1899.8290172500006</v>
      </c>
      <c r="G31" s="108"/>
      <c r="H31" s="85"/>
      <c r="I31" s="108"/>
      <c r="J31" s="108"/>
      <c r="K31" s="108"/>
    </row>
    <row r="32" spans="1:11" ht="18">
      <c r="A32" s="68"/>
      <c r="B32" s="107" t="s">
        <v>240</v>
      </c>
      <c r="C32" s="108">
        <f>SUM(C29-$C$9)</f>
        <v>-328.51684343375973</v>
      </c>
      <c r="D32" s="108">
        <f>SUM(D29-$C$9)</f>
        <v>21.6329565662395</v>
      </c>
      <c r="E32" s="108">
        <f>SUM(E29-$C$9)</f>
        <v>358.31545656623985</v>
      </c>
      <c r="F32" s="108">
        <f>SUM(F29-$C$9)</f>
        <v>708.46525656624</v>
      </c>
      <c r="G32" s="108"/>
      <c r="H32" s="85"/>
      <c r="I32" s="108"/>
      <c r="J32" s="108"/>
      <c r="K32" s="108"/>
    </row>
    <row r="33" spans="1:11" ht="18">
      <c r="A33" s="68"/>
      <c r="B33" s="64" t="s">
        <v>221</v>
      </c>
      <c r="C33" s="109">
        <f>IF(C29=0,"",SUM($C$7/C29))</f>
        <v>0.7526263409178134</v>
      </c>
      <c r="D33" s="109">
        <f>IF(D29=0,"",SUM($C$7/D29))</f>
        <v>0.6839656922726797</v>
      </c>
      <c r="E33" s="109">
        <f>IF(E29=0,"",SUM($C$7/E29))</f>
        <v>0.6288071687023022</v>
      </c>
      <c r="F33" s="109">
        <f>IF(F29=0,"",SUM($C$7/F29))</f>
        <v>0.5801494711241479</v>
      </c>
      <c r="G33" s="109"/>
      <c r="H33" s="85"/>
      <c r="I33" s="109"/>
      <c r="J33" s="109"/>
      <c r="K33" s="109"/>
    </row>
    <row r="34" spans="1:8" ht="18" customHeight="1">
      <c r="A34" s="68"/>
      <c r="H34" s="65"/>
    </row>
    <row r="35" spans="1:15" s="104" customFormat="1" ht="18">
      <c r="A35" s="106" t="str">
        <f>"Lower Margin Scenario - Price Down "&amp;D19*100&amp;"% and Yield Down "&amp;J19*100&amp;"%"</f>
        <v>Lower Margin Scenario - Price Down 10% and Yield Down 5%</v>
      </c>
      <c r="B35" s="71"/>
      <c r="C35" s="87"/>
      <c r="D35" s="87"/>
      <c r="E35" s="87"/>
      <c r="F35" s="87"/>
      <c r="G35" s="87"/>
      <c r="H35" s="64"/>
      <c r="I35" s="87"/>
      <c r="J35" s="87"/>
      <c r="K35" s="87"/>
      <c r="L35" s="64"/>
      <c r="M35" s="64"/>
      <c r="N35" s="64"/>
      <c r="O35" s="64"/>
    </row>
    <row r="36" spans="1:11" ht="18">
      <c r="A36" s="68"/>
      <c r="B36" s="64" t="s">
        <v>217</v>
      </c>
      <c r="C36" s="102">
        <f>C23*C25</f>
        <v>2582.0487</v>
      </c>
      <c r="D36" s="102">
        <f>D23*D25</f>
        <v>2841.2505</v>
      </c>
      <c r="E36" s="102">
        <f>E23*E25</f>
        <v>3090.4829999999997</v>
      </c>
      <c r="F36" s="102">
        <f>F23*F25</f>
        <v>3349.6848</v>
      </c>
      <c r="G36" s="102"/>
      <c r="H36" s="85"/>
      <c r="I36" s="102"/>
      <c r="J36" s="102"/>
      <c r="K36" s="102"/>
    </row>
    <row r="37" spans="1:11" ht="18">
      <c r="A37" s="65"/>
      <c r="B37" s="64" t="s">
        <v>218</v>
      </c>
      <c r="C37" s="86"/>
      <c r="D37" s="86"/>
      <c r="E37" s="86"/>
      <c r="F37" s="86"/>
      <c r="G37" s="86"/>
      <c r="H37" s="65"/>
      <c r="I37" s="86"/>
      <c r="J37" s="86"/>
      <c r="K37" s="86"/>
    </row>
    <row r="38" spans="1:11" ht="18">
      <c r="A38" s="68"/>
      <c r="B38" s="107" t="s">
        <v>239</v>
      </c>
      <c r="C38" s="108">
        <f>SUM(C36-$C$7)</f>
        <v>-43.13508275000004</v>
      </c>
      <c r="D38" s="108">
        <f>SUM(D36-$C$7)</f>
        <v>216.06671725000024</v>
      </c>
      <c r="E38" s="108">
        <f>SUM(E36-$C$7)</f>
        <v>465.29921724999986</v>
      </c>
      <c r="F38" s="108">
        <f>SUM(F36-$C$7)</f>
        <v>724.5010172500001</v>
      </c>
      <c r="G38" s="108"/>
      <c r="H38" s="85"/>
      <c r="I38" s="108"/>
      <c r="J38" s="108"/>
      <c r="K38" s="108"/>
    </row>
    <row r="39" spans="1:11" ht="18">
      <c r="A39" s="68"/>
      <c r="B39" s="107" t="s">
        <v>240</v>
      </c>
      <c r="C39" s="108">
        <f>SUM(C36-$C$9)</f>
        <v>-1234.4988434337606</v>
      </c>
      <c r="D39" s="108">
        <f>SUM(D36-$C$9)</f>
        <v>-975.2970434337603</v>
      </c>
      <c r="E39" s="108">
        <f>SUM(E36-$C$9)</f>
        <v>-726.0645434337607</v>
      </c>
      <c r="F39" s="108">
        <f>SUM(F36-$C$9)</f>
        <v>-466.86274343376044</v>
      </c>
      <c r="G39" s="108"/>
      <c r="H39" s="110"/>
      <c r="I39" s="108"/>
      <c r="J39" s="108"/>
      <c r="K39" s="108"/>
    </row>
    <row r="40" spans="1:11" ht="18">
      <c r="A40" s="68"/>
      <c r="B40" s="64" t="s">
        <v>221</v>
      </c>
      <c r="C40" s="109">
        <f>IF(C36=0,"",SUM($C$7/C36))</f>
        <v>1.0167057587837132</v>
      </c>
      <c r="D40" s="109">
        <f>IF(D36=0,"",SUM($C$7/D36))</f>
        <v>0.9239536544736199</v>
      </c>
      <c r="E40" s="109">
        <f>IF(E36=0,"",SUM($C$7/E36))</f>
        <v>0.849441262983812</v>
      </c>
      <c r="F40" s="109">
        <f>IF(F36=0,"",SUM($C$7/F36))</f>
        <v>0.7837106890624455</v>
      </c>
      <c r="G40" s="109"/>
      <c r="H40" s="85"/>
      <c r="I40" s="109"/>
      <c r="J40" s="109"/>
      <c r="K40" s="109"/>
    </row>
    <row r="41" ht="18">
      <c r="A41" s="68"/>
    </row>
    <row r="42" ht="18">
      <c r="A42" s="68"/>
    </row>
    <row r="43" ht="7.5" customHeight="1">
      <c r="A43" s="68"/>
    </row>
    <row r="44" spans="1:11" s="104" customFormat="1" ht="18" customHeight="1">
      <c r="A44" s="69"/>
      <c r="B44" s="251" t="s">
        <v>225</v>
      </c>
      <c r="C44" s="251"/>
      <c r="D44" s="251"/>
      <c r="E44" s="251"/>
      <c r="F44" s="251"/>
      <c r="G44" s="251"/>
      <c r="H44" s="251"/>
      <c r="I44" s="251"/>
      <c r="J44" s="251"/>
      <c r="K44" s="251"/>
    </row>
    <row r="45" spans="1:11" s="104" customFormat="1" ht="18">
      <c r="A45" s="69"/>
      <c r="B45" s="251"/>
      <c r="C45" s="251"/>
      <c r="D45" s="251"/>
      <c r="E45" s="251"/>
      <c r="F45" s="251"/>
      <c r="G45" s="251"/>
      <c r="H45" s="251"/>
      <c r="I45" s="251"/>
      <c r="J45" s="251"/>
      <c r="K45" s="251"/>
    </row>
    <row r="46" spans="1:11" s="104" customFormat="1" ht="18">
      <c r="A46" s="69"/>
      <c r="B46" s="71"/>
      <c r="C46" s="71"/>
      <c r="D46" s="71"/>
      <c r="E46" s="71"/>
      <c r="F46" s="71"/>
      <c r="G46" s="71"/>
      <c r="H46" s="71"/>
      <c r="I46" s="71"/>
      <c r="J46" s="71"/>
      <c r="K46" s="71"/>
    </row>
    <row r="47" ht="7.5" customHeight="1">
      <c r="A47" s="68"/>
    </row>
    <row r="48" ht="18">
      <c r="A48" s="68"/>
    </row>
    <row r="49" ht="18">
      <c r="A49" s="68"/>
    </row>
    <row r="50" ht="18">
      <c r="A50" s="68"/>
    </row>
    <row r="51" ht="18">
      <c r="A51" s="68"/>
    </row>
    <row r="52" ht="7.5" customHeight="1">
      <c r="A52" s="68"/>
    </row>
    <row r="53" ht="18">
      <c r="A53" s="68"/>
    </row>
    <row r="54" ht="18">
      <c r="A54" s="68"/>
    </row>
    <row r="55" ht="18">
      <c r="A55" s="68"/>
    </row>
    <row r="56" ht="18">
      <c r="A56" s="68"/>
    </row>
    <row r="57" ht="7.5" customHeight="1">
      <c r="A57" s="68"/>
    </row>
    <row r="58" ht="18">
      <c r="A58" s="68"/>
    </row>
    <row r="59" spans="12:24" s="66" customFormat="1" ht="18" customHeight="1">
      <c r="L59" s="65"/>
      <c r="M59" s="65"/>
      <c r="N59" s="65"/>
      <c r="O59" s="65"/>
      <c r="P59" s="65"/>
      <c r="Q59" s="65"/>
      <c r="R59" s="65"/>
      <c r="S59" s="65"/>
      <c r="T59" s="65"/>
      <c r="U59" s="65"/>
      <c r="V59" s="65"/>
      <c r="W59" s="65"/>
      <c r="X59" s="65"/>
    </row>
  </sheetData>
  <sheetProtection password="C6A6" sheet="1"/>
  <mergeCells count="3">
    <mergeCell ref="B1:K1"/>
    <mergeCell ref="B44:K45"/>
    <mergeCell ref="C11:F11"/>
  </mergeCells>
  <printOptions horizontalCentered="1"/>
  <pageMargins left="0.5511811023622047" right="0.5511811023622047" top="0.984251968503937" bottom="0.984251968503937" header="0.5118110236220472" footer="0.5118110236220472"/>
  <pageSetup firstPageNumber="3" useFirstPageNumber="1" fitToHeight="1" fitToWidth="1" horizontalDpi="600" verticalDpi="600" orientation="portrait" pageOrder="overThenDown" scale="76" r:id="rId1"/>
  <headerFooter scaleWithDoc="0" alignWithMargins="0">
    <oddHeader>&amp;L&amp;8Guidelines: Potato Production Costs&amp;R&amp;8&amp;P</oddHeader>
    <oddFooter>&amp;R&amp;9Manitoba Agriculture, Farm Management</oddFooter>
  </headerFooter>
</worksheet>
</file>

<file path=xl/worksheets/sheet4.xml><?xml version="1.0" encoding="utf-8"?>
<worksheet xmlns="http://schemas.openxmlformats.org/spreadsheetml/2006/main" xmlns:r="http://schemas.openxmlformats.org/officeDocument/2006/relationships">
  <sheetPr codeName="Sheet1">
    <pageSetUpPr fitToPage="1"/>
  </sheetPr>
  <dimension ref="A1:O227"/>
  <sheetViews>
    <sheetView workbookViewId="0" topLeftCell="A1">
      <selection activeCell="G16" sqref="G16"/>
    </sheetView>
  </sheetViews>
  <sheetFormatPr defaultColWidth="9.6640625" defaultRowHeight="15"/>
  <cols>
    <col min="1" max="1" width="3.4453125" style="4" customWidth="1"/>
    <col min="2" max="6" width="10.6640625" style="4" customWidth="1"/>
    <col min="7" max="7" width="13.6640625" style="4" customWidth="1"/>
    <col min="8" max="8" width="4.6640625" style="4" customWidth="1"/>
    <col min="9" max="9" width="5.6640625" style="4" customWidth="1"/>
    <col min="10" max="11" width="9.6640625" style="4" customWidth="1"/>
    <col min="12" max="16384" width="9.6640625" style="1" customWidth="1"/>
  </cols>
  <sheetData>
    <row r="1" spans="1:9" ht="18" customHeight="1">
      <c r="A1" s="249" t="s">
        <v>154</v>
      </c>
      <c r="B1" s="249"/>
      <c r="C1" s="249"/>
      <c r="D1" s="249"/>
      <c r="E1" s="249"/>
      <c r="F1" s="249"/>
      <c r="G1" s="249"/>
      <c r="H1" s="249"/>
      <c r="I1" s="249"/>
    </row>
    <row r="2" spans="1:12" ht="7.5" customHeight="1">
      <c r="A2" s="5"/>
      <c r="B2" s="5"/>
      <c r="C2" s="5"/>
      <c r="D2" s="5"/>
      <c r="E2" s="5"/>
      <c r="F2" s="5"/>
      <c r="G2" s="5"/>
      <c r="H2" s="5"/>
      <c r="I2" s="5"/>
      <c r="J2" s="5"/>
      <c r="K2" s="5"/>
      <c r="L2" s="2"/>
    </row>
    <row r="3" spans="1:12" ht="16.5">
      <c r="A3" s="6" t="s">
        <v>0</v>
      </c>
      <c r="C3" s="5"/>
      <c r="D3" s="5"/>
      <c r="E3" s="5"/>
      <c r="F3" s="5"/>
      <c r="G3" s="5"/>
      <c r="H3" s="5"/>
      <c r="I3" s="5"/>
      <c r="J3" s="5"/>
      <c r="K3" s="5"/>
      <c r="L3" s="2"/>
    </row>
    <row r="4" spans="1:11" s="2" customFormat="1" ht="15">
      <c r="A4" s="59" t="str">
        <f>"1."</f>
        <v>1.</v>
      </c>
      <c r="B4" s="261" t="s">
        <v>313</v>
      </c>
      <c r="C4" s="262"/>
      <c r="D4" s="262"/>
      <c r="E4" s="262"/>
      <c r="F4" s="262"/>
      <c r="G4" s="262"/>
      <c r="H4" s="262"/>
      <c r="I4" s="262"/>
      <c r="J4" s="5"/>
      <c r="K4" s="5"/>
    </row>
    <row r="5" spans="1:11" s="2" customFormat="1" ht="15">
      <c r="A5" s="59" t="str">
        <f>"2."</f>
        <v>2.</v>
      </c>
      <c r="B5" s="263" t="str">
        <f>"A potato land base of "&amp;Input!G18&amp;" harvested acres was assumed in developing this budget. The crop rotation was based on growing potatoes no more than 1 in "&amp;G19&amp;" years."</f>
        <v>A potato land base of 780 harvested acres was assumed in developing this budget. The crop rotation was based on growing potatoes no more than 1 in 3 years.</v>
      </c>
      <c r="C5" s="264"/>
      <c r="D5" s="264"/>
      <c r="E5" s="264"/>
      <c r="F5" s="264"/>
      <c r="G5" s="264"/>
      <c r="H5" s="264"/>
      <c r="I5" s="264"/>
      <c r="J5" s="27"/>
      <c r="K5" s="5"/>
    </row>
    <row r="6" spans="1:11" s="2" customFormat="1" ht="15">
      <c r="A6" s="5"/>
      <c r="B6" s="265"/>
      <c r="C6" s="265"/>
      <c r="D6" s="265"/>
      <c r="E6" s="265"/>
      <c r="F6" s="265"/>
      <c r="G6" s="265"/>
      <c r="H6" s="265"/>
      <c r="I6" s="265"/>
      <c r="J6" s="27"/>
      <c r="K6" s="5"/>
    </row>
    <row r="7" spans="1:11" s="2" customFormat="1" ht="18" customHeight="1">
      <c r="A7" s="59" t="str">
        <f>"3."</f>
        <v>3.</v>
      </c>
      <c r="B7" s="266" t="str">
        <f>"Total gross yield per acre was estimated at "&amp;Input!D31&amp;" to "&amp;G31&amp;" cwt/acre with marketable yield estimated at "&amp;ROUND(Input!D33,0)&amp;" to "&amp;G33&amp;" cwt/acre."</f>
        <v>Total gross yield per acre was estimated at 305 to 395 cwt/acre with marketable yield estimated at 259 to 336 cwt/acre.</v>
      </c>
      <c r="C7" s="266"/>
      <c r="D7" s="266"/>
      <c r="E7" s="266"/>
      <c r="F7" s="266"/>
      <c r="G7" s="266"/>
      <c r="H7" s="266"/>
      <c r="I7" s="266"/>
      <c r="J7" s="28"/>
      <c r="K7" s="5"/>
    </row>
    <row r="8" spans="1:11" s="2" customFormat="1" ht="18" customHeight="1">
      <c r="A8" s="5"/>
      <c r="B8" s="266"/>
      <c r="C8" s="266"/>
      <c r="D8" s="266"/>
      <c r="E8" s="266"/>
      <c r="F8" s="266"/>
      <c r="G8" s="266"/>
      <c r="H8" s="266"/>
      <c r="I8" s="266"/>
      <c r="J8" s="28"/>
      <c r="K8" s="5"/>
    </row>
    <row r="9" spans="1:11" s="2" customFormat="1" ht="15">
      <c r="A9" s="59" t="str">
        <f>"4."</f>
        <v>4.</v>
      </c>
      <c r="B9" s="267" t="s">
        <v>418</v>
      </c>
      <c r="C9" s="265"/>
      <c r="D9" s="265"/>
      <c r="E9" s="265"/>
      <c r="F9" s="265"/>
      <c r="G9" s="265"/>
      <c r="H9" s="265"/>
      <c r="I9" s="265"/>
      <c r="J9" s="5"/>
      <c r="K9" s="5"/>
    </row>
    <row r="10" spans="1:11" s="2" customFormat="1" ht="15">
      <c r="A10" s="59" t="str">
        <f>"5."</f>
        <v>5.</v>
      </c>
      <c r="B10" s="267" t="s">
        <v>359</v>
      </c>
      <c r="C10" s="265"/>
      <c r="D10" s="265"/>
      <c r="E10" s="265"/>
      <c r="F10" s="265"/>
      <c r="G10" s="265"/>
      <c r="H10" s="265"/>
      <c r="I10" s="265"/>
      <c r="J10" s="5"/>
      <c r="K10" s="5"/>
    </row>
    <row r="11" spans="1:11" s="2" customFormat="1" ht="15">
      <c r="A11" s="59" t="str">
        <f>"6."</f>
        <v>6.</v>
      </c>
      <c r="B11" s="268" t="s">
        <v>226</v>
      </c>
      <c r="C11" s="265"/>
      <c r="D11" s="265"/>
      <c r="E11" s="265"/>
      <c r="F11" s="265"/>
      <c r="G11" s="265"/>
      <c r="H11" s="265"/>
      <c r="I11" s="265"/>
      <c r="J11" s="5"/>
      <c r="K11" s="5"/>
    </row>
    <row r="12" spans="1:11" s="2" customFormat="1" ht="15">
      <c r="A12" s="5"/>
      <c r="B12" s="265"/>
      <c r="C12" s="265"/>
      <c r="D12" s="265"/>
      <c r="E12" s="265"/>
      <c r="F12" s="265"/>
      <c r="G12" s="265"/>
      <c r="H12" s="265"/>
      <c r="I12" s="265"/>
      <c r="J12" s="5"/>
      <c r="K12" s="5"/>
    </row>
    <row r="13" spans="1:11" s="2" customFormat="1" ht="15">
      <c r="A13" s="5"/>
      <c r="B13" s="265"/>
      <c r="C13" s="265"/>
      <c r="D13" s="265"/>
      <c r="E13" s="265"/>
      <c r="F13" s="265"/>
      <c r="G13" s="265"/>
      <c r="H13" s="265"/>
      <c r="I13" s="265"/>
      <c r="J13" s="5"/>
      <c r="K13" s="5"/>
    </row>
    <row r="14" spans="1:12" ht="7.5" customHeight="1">
      <c r="A14" s="5"/>
      <c r="B14" s="6"/>
      <c r="C14" s="5"/>
      <c r="D14" s="5"/>
      <c r="E14" s="5"/>
      <c r="F14" s="5"/>
      <c r="G14" s="5"/>
      <c r="H14" s="5"/>
      <c r="I14" s="5"/>
      <c r="J14" s="5"/>
      <c r="K14" s="5"/>
      <c r="L14" s="2"/>
    </row>
    <row r="15" spans="1:12" s="155" customFormat="1" ht="16.5">
      <c r="A15" s="48"/>
      <c r="B15" s="57" t="s">
        <v>3</v>
      </c>
      <c r="C15" s="48"/>
      <c r="D15" s="48"/>
      <c r="E15" s="48"/>
      <c r="F15" s="48"/>
      <c r="G15" s="48"/>
      <c r="H15" s="48"/>
      <c r="I15" s="48"/>
      <c r="J15" s="48"/>
      <c r="K15" s="48"/>
      <c r="L15" s="135"/>
    </row>
    <row r="16" spans="1:12" s="155" customFormat="1" ht="16.5">
      <c r="A16" s="48"/>
      <c r="B16" s="57"/>
      <c r="C16" s="48" t="s">
        <v>259</v>
      </c>
      <c r="D16" s="48"/>
      <c r="E16" s="48"/>
      <c r="F16" s="48"/>
      <c r="G16" s="180">
        <v>6</v>
      </c>
      <c r="H16" s="48"/>
      <c r="I16" s="48"/>
      <c r="J16" s="48"/>
      <c r="K16" s="48"/>
      <c r="L16" s="135"/>
    </row>
    <row r="17" spans="1:12" s="155" customFormat="1" ht="16.5">
      <c r="A17" s="48"/>
      <c r="B17" s="57"/>
      <c r="C17" s="48" t="s">
        <v>250</v>
      </c>
      <c r="D17" s="48"/>
      <c r="E17" s="48"/>
      <c r="F17" s="48"/>
      <c r="G17" s="180">
        <v>130</v>
      </c>
      <c r="H17" s="48"/>
      <c r="I17" s="48"/>
      <c r="J17" s="48"/>
      <c r="K17" s="48"/>
      <c r="L17" s="135"/>
    </row>
    <row r="18" spans="1:12" s="155" customFormat="1" ht="16.5">
      <c r="A18" s="48"/>
      <c r="B18" s="48"/>
      <c r="C18" s="48" t="s">
        <v>251</v>
      </c>
      <c r="D18" s="48"/>
      <c r="E18" s="48"/>
      <c r="F18" s="48"/>
      <c r="G18" s="162">
        <f>SUM(G16*G17)</f>
        <v>780</v>
      </c>
      <c r="H18" s="48"/>
      <c r="I18" s="48"/>
      <c r="J18" s="48"/>
      <c r="K18" s="48"/>
      <c r="L18" s="135"/>
    </row>
    <row r="19" spans="1:12" s="155" customFormat="1" ht="16.5">
      <c r="A19" s="48"/>
      <c r="B19" s="48"/>
      <c r="C19" s="48" t="s">
        <v>252</v>
      </c>
      <c r="D19" s="48"/>
      <c r="E19" s="48"/>
      <c r="F19" s="48"/>
      <c r="G19" s="180">
        <v>3</v>
      </c>
      <c r="H19" s="48"/>
      <c r="I19" s="48"/>
      <c r="J19" s="48"/>
      <c r="K19" s="48"/>
      <c r="L19" s="135"/>
    </row>
    <row r="20" spans="1:12" s="155" customFormat="1" ht="16.5">
      <c r="A20" s="48"/>
      <c r="B20" s="48"/>
      <c r="C20" s="48" t="s">
        <v>198</v>
      </c>
      <c r="D20" s="48"/>
      <c r="E20" s="48"/>
      <c r="F20" s="48"/>
      <c r="G20" s="162">
        <f>SUM(G16*160*G19)</f>
        <v>2880</v>
      </c>
      <c r="H20" s="48"/>
      <c r="I20" s="48"/>
      <c r="J20" s="48"/>
      <c r="K20" s="48"/>
      <c r="L20" s="135"/>
    </row>
    <row r="21" spans="1:12" s="155" customFormat="1" ht="16.5">
      <c r="A21" s="48"/>
      <c r="B21" s="48"/>
      <c r="C21" s="48" t="s">
        <v>361</v>
      </c>
      <c r="D21" s="48"/>
      <c r="E21" s="48"/>
      <c r="F21" s="48"/>
      <c r="G21" s="209">
        <v>320</v>
      </c>
      <c r="H21" s="48"/>
      <c r="I21" s="48"/>
      <c r="J21" s="48"/>
      <c r="K21" s="48"/>
      <c r="L21" s="135"/>
    </row>
    <row r="22" spans="1:12" s="155" customFormat="1" ht="16.5">
      <c r="A22" s="48"/>
      <c r="B22" s="48"/>
      <c r="C22" s="48" t="s">
        <v>399</v>
      </c>
      <c r="D22" s="48"/>
      <c r="E22" s="48"/>
      <c r="F22" s="48"/>
      <c r="G22" s="144">
        <v>225</v>
      </c>
      <c r="H22" s="48"/>
      <c r="I22" s="48"/>
      <c r="J22" s="48"/>
      <c r="K22" s="48"/>
      <c r="L22" s="135"/>
    </row>
    <row r="23" spans="1:12" s="155" customFormat="1" ht="16.5">
      <c r="A23" s="48"/>
      <c r="B23" s="48"/>
      <c r="C23" s="48" t="s">
        <v>363</v>
      </c>
      <c r="D23" s="48"/>
      <c r="E23" s="48"/>
      <c r="F23" s="48"/>
      <c r="G23" s="162">
        <f>SUM(G20-G21)</f>
        <v>2560</v>
      </c>
      <c r="H23" s="48"/>
      <c r="I23" s="48"/>
      <c r="J23" s="48"/>
      <c r="K23" s="48"/>
      <c r="L23" s="135"/>
    </row>
    <row r="24" spans="1:12" s="155" customFormat="1" ht="16.5">
      <c r="A24" s="48"/>
      <c r="B24" s="48"/>
      <c r="C24" s="48" t="s">
        <v>364</v>
      </c>
      <c r="D24" s="48"/>
      <c r="E24" s="48"/>
      <c r="F24" s="48"/>
      <c r="G24" s="144">
        <v>6900</v>
      </c>
      <c r="H24" s="48"/>
      <c r="I24" s="48"/>
      <c r="J24" s="48"/>
      <c r="K24" s="48"/>
      <c r="L24" s="135"/>
    </row>
    <row r="25" spans="1:12" s="155" customFormat="1" ht="7.5" customHeight="1">
      <c r="A25" s="48"/>
      <c r="B25" s="48"/>
      <c r="D25" s="48"/>
      <c r="E25" s="48"/>
      <c r="F25" s="48"/>
      <c r="G25" s="158"/>
      <c r="H25" s="48"/>
      <c r="I25" s="48"/>
      <c r="J25" s="48"/>
      <c r="K25" s="48"/>
      <c r="L25" s="135"/>
    </row>
    <row r="26" spans="1:12" s="155" customFormat="1" ht="16.5">
      <c r="A26" s="48"/>
      <c r="B26" s="57" t="s">
        <v>2</v>
      </c>
      <c r="C26" s="48"/>
      <c r="D26" s="48"/>
      <c r="E26" s="48"/>
      <c r="F26" s="48"/>
      <c r="G26" s="158"/>
      <c r="H26" s="48"/>
      <c r="I26" s="48"/>
      <c r="J26" s="48"/>
      <c r="K26" s="48"/>
      <c r="L26" s="135"/>
    </row>
    <row r="27" spans="1:12" s="155" customFormat="1" ht="16.5">
      <c r="A27" s="48"/>
      <c r="B27" s="159"/>
      <c r="C27" s="48" t="s">
        <v>253</v>
      </c>
      <c r="D27" s="48"/>
      <c r="E27" s="48"/>
      <c r="F27" s="48"/>
      <c r="G27" s="192">
        <v>0.09</v>
      </c>
      <c r="H27" s="48"/>
      <c r="I27" s="160"/>
      <c r="J27" s="48"/>
      <c r="K27" s="48"/>
      <c r="L27" s="135"/>
    </row>
    <row r="28" spans="1:12" s="155" customFormat="1" ht="16.5">
      <c r="A28" s="48"/>
      <c r="B28" s="159"/>
      <c r="C28" s="48" t="s">
        <v>254</v>
      </c>
      <c r="D28" s="48"/>
      <c r="E28" s="48"/>
      <c r="F28" s="48"/>
      <c r="G28" s="192">
        <v>0.06</v>
      </c>
      <c r="H28" s="48"/>
      <c r="I28" s="48"/>
      <c r="J28" s="48"/>
      <c r="K28" s="48"/>
      <c r="L28" s="135"/>
    </row>
    <row r="29" spans="1:12" s="155" customFormat="1" ht="7.5" customHeight="1">
      <c r="A29" s="48"/>
      <c r="B29" s="159"/>
      <c r="C29" s="48"/>
      <c r="D29" s="48"/>
      <c r="E29" s="48"/>
      <c r="F29" s="48"/>
      <c r="G29" s="192"/>
      <c r="H29" s="48"/>
      <c r="I29" s="48"/>
      <c r="J29" s="48"/>
      <c r="K29" s="48"/>
      <c r="L29" s="135"/>
    </row>
    <row r="30" spans="1:12" s="155" customFormat="1" ht="16.5">
      <c r="A30" s="48"/>
      <c r="B30" s="57" t="s">
        <v>270</v>
      </c>
      <c r="C30" s="48"/>
      <c r="D30" s="169" t="s">
        <v>255</v>
      </c>
      <c r="E30" s="169" t="s">
        <v>256</v>
      </c>
      <c r="F30" s="169" t="s">
        <v>258</v>
      </c>
      <c r="G30" s="169" t="s">
        <v>257</v>
      </c>
      <c r="H30" s="48"/>
      <c r="I30" s="48"/>
      <c r="J30" s="48"/>
      <c r="K30" s="48"/>
      <c r="L30" s="135"/>
    </row>
    <row r="31" spans="1:12" s="155" customFormat="1" ht="16.5">
      <c r="A31" s="48"/>
      <c r="B31" s="48" t="s">
        <v>369</v>
      </c>
      <c r="C31" s="159"/>
      <c r="D31" s="193">
        <v>305</v>
      </c>
      <c r="E31" s="193">
        <v>335</v>
      </c>
      <c r="F31" s="193">
        <v>365</v>
      </c>
      <c r="G31" s="193">
        <v>395</v>
      </c>
      <c r="H31" s="48"/>
      <c r="I31" s="160"/>
      <c r="J31" s="48"/>
      <c r="K31" s="48"/>
      <c r="L31" s="135"/>
    </row>
    <row r="32" spans="1:12" s="155" customFormat="1" ht="16.5">
      <c r="A32" s="48"/>
      <c r="B32" s="48" t="s">
        <v>287</v>
      </c>
      <c r="C32" s="159"/>
      <c r="D32" s="194">
        <v>0</v>
      </c>
      <c r="E32" s="194">
        <v>0.1</v>
      </c>
      <c r="F32" s="194">
        <v>0.7</v>
      </c>
      <c r="G32" s="194">
        <v>0.2</v>
      </c>
      <c r="H32" s="48"/>
      <c r="I32" s="160"/>
      <c r="J32" s="48"/>
      <c r="K32" s="48"/>
      <c r="L32" s="135"/>
    </row>
    <row r="33" spans="1:12" s="155" customFormat="1" ht="16.5">
      <c r="A33" s="48"/>
      <c r="B33" s="48" t="s">
        <v>370</v>
      </c>
      <c r="C33" s="159"/>
      <c r="D33" s="163">
        <f>ROUND(D31*(1-($G$27+$G$28)),0)</f>
        <v>259</v>
      </c>
      <c r="E33" s="163">
        <f>ROUND(E31*(1-($G$27+$G$28)),0)</f>
        <v>285</v>
      </c>
      <c r="F33" s="163">
        <f>ROUND(F31*(1-($G$27+$G$28)),0)</f>
        <v>310</v>
      </c>
      <c r="G33" s="163">
        <f>ROUND(G31*(1-($G$27+$G$28)),0)</f>
        <v>336</v>
      </c>
      <c r="H33" s="48"/>
      <c r="I33" s="48"/>
      <c r="J33" s="48"/>
      <c r="K33" s="48"/>
      <c r="L33" s="135"/>
    </row>
    <row r="34" spans="1:12" s="155" customFormat="1" ht="15.75" customHeight="1">
      <c r="A34" s="48"/>
      <c r="B34" s="48"/>
      <c r="C34" s="159"/>
      <c r="D34" s="164">
        <f>IF(D32+E32+F32+G32=100%,"","ERROR - Acre % Must Total 100%")</f>
      </c>
      <c r="E34" s="163"/>
      <c r="F34" s="163"/>
      <c r="G34" s="163"/>
      <c r="H34" s="48"/>
      <c r="I34" s="48"/>
      <c r="J34" s="48"/>
      <c r="K34" s="48"/>
      <c r="L34" s="135"/>
    </row>
    <row r="35" spans="1:12" s="155" customFormat="1" ht="16.5">
      <c r="A35" s="48"/>
      <c r="B35" s="57" t="s">
        <v>387</v>
      </c>
      <c r="C35" s="48"/>
      <c r="D35" s="48"/>
      <c r="E35" s="48"/>
      <c r="F35" s="48"/>
      <c r="G35" s="48"/>
      <c r="H35" s="48"/>
      <c r="I35" s="48"/>
      <c r="J35" s="48"/>
      <c r="K35" s="48"/>
      <c r="L35" s="135"/>
    </row>
    <row r="36" spans="1:12" s="155" customFormat="1" ht="16.5">
      <c r="A36" s="48"/>
      <c r="B36" s="57"/>
      <c r="C36" s="48" t="s">
        <v>280</v>
      </c>
      <c r="D36" s="48"/>
      <c r="E36" s="156">
        <v>11.66</v>
      </c>
      <c r="F36" s="48"/>
      <c r="G36" s="48"/>
      <c r="H36" s="48"/>
      <c r="I36" s="48"/>
      <c r="J36" s="48"/>
      <c r="K36" s="48"/>
      <c r="L36" s="135"/>
    </row>
    <row r="37" spans="1:12" s="155" customFormat="1" ht="16.5">
      <c r="A37" s="48"/>
      <c r="B37" s="57"/>
      <c r="C37" s="48" t="s">
        <v>281</v>
      </c>
      <c r="D37" s="48"/>
      <c r="E37" s="156">
        <v>0</v>
      </c>
      <c r="F37" s="48"/>
      <c r="G37" s="48"/>
      <c r="H37" s="48"/>
      <c r="I37" s="48"/>
      <c r="J37" s="48"/>
      <c r="K37" s="48"/>
      <c r="L37" s="135"/>
    </row>
    <row r="38" spans="1:12" s="155" customFormat="1" ht="16.5">
      <c r="A38" s="48"/>
      <c r="B38" s="57"/>
      <c r="C38" s="48" t="s">
        <v>282</v>
      </c>
      <c r="D38" s="48"/>
      <c r="E38" s="156">
        <v>0</v>
      </c>
      <c r="F38" s="48"/>
      <c r="G38" s="48"/>
      <c r="H38" s="48"/>
      <c r="I38" s="48"/>
      <c r="J38" s="48"/>
      <c r="K38" s="48"/>
      <c r="L38" s="135"/>
    </row>
    <row r="39" spans="1:12" s="155" customFormat="1" ht="7.5" customHeight="1">
      <c r="A39" s="48"/>
      <c r="B39" s="57"/>
      <c r="C39" s="48"/>
      <c r="D39" s="48"/>
      <c r="E39" s="48"/>
      <c r="F39" s="48"/>
      <c r="G39" s="48"/>
      <c r="H39" s="48"/>
      <c r="I39" s="48"/>
      <c r="J39" s="48"/>
      <c r="K39" s="48"/>
      <c r="L39" s="135"/>
    </row>
    <row r="40" spans="1:12" s="155" customFormat="1" ht="16.5">
      <c r="A40" s="48"/>
      <c r="B40" s="57" t="s">
        <v>4</v>
      </c>
      <c r="C40" s="48"/>
      <c r="D40" s="48"/>
      <c r="E40" s="48"/>
      <c r="F40" s="48"/>
      <c r="G40" s="48"/>
      <c r="H40" s="48"/>
      <c r="I40" s="48"/>
      <c r="J40" s="48"/>
      <c r="K40" s="48"/>
      <c r="L40" s="135"/>
    </row>
    <row r="41" spans="1:12" s="155" customFormat="1" ht="16.5">
      <c r="A41" s="48"/>
      <c r="B41" s="48"/>
      <c r="C41" s="48" t="s">
        <v>155</v>
      </c>
      <c r="D41" s="48"/>
      <c r="E41" s="48"/>
      <c r="F41" s="48"/>
      <c r="G41" s="222">
        <v>0.05</v>
      </c>
      <c r="H41" s="48"/>
      <c r="I41" s="48"/>
      <c r="J41" s="48"/>
      <c r="K41" s="48"/>
      <c r="L41" s="135"/>
    </row>
    <row r="42" spans="1:12" s="155" customFormat="1" ht="16.5">
      <c r="A42" s="48"/>
      <c r="B42" s="48"/>
      <c r="C42" s="48" t="s">
        <v>60</v>
      </c>
      <c r="D42" s="48"/>
      <c r="E42" s="48"/>
      <c r="F42" s="48"/>
      <c r="G42" s="222">
        <v>0.0275</v>
      </c>
      <c r="H42" s="48"/>
      <c r="I42" s="48"/>
      <c r="J42" s="48"/>
      <c r="K42" s="48"/>
      <c r="L42" s="135"/>
    </row>
    <row r="43" spans="1:12" s="155" customFormat="1" ht="7.5" customHeight="1">
      <c r="A43" s="48"/>
      <c r="B43" s="48"/>
      <c r="C43" s="48"/>
      <c r="D43" s="48"/>
      <c r="E43" s="48"/>
      <c r="F43" s="48"/>
      <c r="G43" s="48"/>
      <c r="H43" s="48"/>
      <c r="I43" s="48"/>
      <c r="J43" s="48"/>
      <c r="K43" s="48"/>
      <c r="L43" s="135"/>
    </row>
    <row r="44" spans="1:12" s="155" customFormat="1" ht="16.5">
      <c r="A44" s="48"/>
      <c r="B44" s="57" t="s">
        <v>5</v>
      </c>
      <c r="C44" s="48"/>
      <c r="D44" s="48"/>
      <c r="F44" s="165" t="s">
        <v>386</v>
      </c>
      <c r="G44" s="165" t="s">
        <v>264</v>
      </c>
      <c r="H44" s="48"/>
      <c r="I44" s="48"/>
      <c r="J44" s="48"/>
      <c r="K44" s="48"/>
      <c r="L44" s="135"/>
    </row>
    <row r="45" spans="1:12" s="155" customFormat="1" ht="16.5">
      <c r="A45" s="48"/>
      <c r="B45" s="48"/>
      <c r="D45" s="48"/>
      <c r="E45" s="220" t="s">
        <v>380</v>
      </c>
      <c r="F45" s="154" t="s">
        <v>385</v>
      </c>
      <c r="G45" s="154" t="s">
        <v>265</v>
      </c>
      <c r="H45" s="48"/>
      <c r="I45" s="48"/>
      <c r="J45" s="48"/>
      <c r="K45" s="48"/>
      <c r="L45" s="135"/>
    </row>
    <row r="46" spans="1:12" s="155" customFormat="1" ht="16.5">
      <c r="A46" s="48"/>
      <c r="B46" s="176" t="s">
        <v>381</v>
      </c>
      <c r="E46" s="156">
        <v>15</v>
      </c>
      <c r="F46" s="180">
        <v>18</v>
      </c>
      <c r="G46" s="166">
        <f>SUM($F$46*E46)</f>
        <v>270</v>
      </c>
      <c r="H46" s="48"/>
      <c r="I46" s="48"/>
      <c r="J46" s="48"/>
      <c r="K46" s="48"/>
      <c r="L46" s="135"/>
    </row>
    <row r="47" spans="1:12" s="155" customFormat="1" ht="16.5">
      <c r="A47" s="48"/>
      <c r="B47" s="176" t="s">
        <v>382</v>
      </c>
      <c r="E47" s="156">
        <v>2</v>
      </c>
      <c r="F47" s="221">
        <f>F46</f>
        <v>18</v>
      </c>
      <c r="G47" s="166">
        <f>SUM(F47*E47)</f>
        <v>36</v>
      </c>
      <c r="H47" s="48"/>
      <c r="I47" s="48"/>
      <c r="J47" s="48"/>
      <c r="K47" s="48"/>
      <c r="L47" s="135"/>
    </row>
    <row r="48" spans="1:12" s="155" customFormat="1" ht="16.5">
      <c r="A48" s="48"/>
      <c r="B48" s="176" t="s">
        <v>383</v>
      </c>
      <c r="E48" s="156">
        <v>2.4</v>
      </c>
      <c r="F48" s="221">
        <f>F47</f>
        <v>18</v>
      </c>
      <c r="G48" s="166">
        <f>SUM(F48*E48)</f>
        <v>43.199999999999996</v>
      </c>
      <c r="H48" s="48"/>
      <c r="I48" s="48"/>
      <c r="J48" s="48"/>
      <c r="K48" s="48"/>
      <c r="L48" s="135"/>
    </row>
    <row r="49" spans="1:12" s="155" customFormat="1" ht="16.5">
      <c r="A49" s="48"/>
      <c r="B49" s="176" t="s">
        <v>384</v>
      </c>
      <c r="E49" s="196">
        <v>2</v>
      </c>
      <c r="F49" s="221">
        <f>F48</f>
        <v>18</v>
      </c>
      <c r="G49" s="167">
        <f>SUM(F49*E49)</f>
        <v>36</v>
      </c>
      <c r="H49" s="48" t="s">
        <v>1</v>
      </c>
      <c r="I49" s="48"/>
      <c r="J49" s="48"/>
      <c r="K49" s="48"/>
      <c r="L49" s="135"/>
    </row>
    <row r="50" spans="1:12" s="155" customFormat="1" ht="16.5">
      <c r="A50" s="48"/>
      <c r="B50" s="48"/>
      <c r="C50" s="48"/>
      <c r="D50" s="48"/>
      <c r="E50" s="48"/>
      <c r="F50" s="48"/>
      <c r="G50" s="123">
        <f>SUM(G46:G49)</f>
        <v>385.2</v>
      </c>
      <c r="H50" s="48"/>
      <c r="I50" s="48"/>
      <c r="J50" s="48"/>
      <c r="K50" s="48"/>
      <c r="L50" s="135"/>
    </row>
    <row r="51" spans="1:12" s="155" customFormat="1" ht="7.5" customHeight="1">
      <c r="A51" s="48"/>
      <c r="B51" s="48"/>
      <c r="C51" s="48"/>
      <c r="D51" s="48"/>
      <c r="E51" s="48"/>
      <c r="F51" s="48"/>
      <c r="G51" s="123"/>
      <c r="H51" s="48"/>
      <c r="I51" s="48"/>
      <c r="J51" s="48"/>
      <c r="K51" s="48"/>
      <c r="L51" s="135"/>
    </row>
    <row r="52" spans="1:15" s="155" customFormat="1" ht="16.5">
      <c r="A52" s="48"/>
      <c r="B52" s="57" t="s">
        <v>6</v>
      </c>
      <c r="C52" s="57"/>
      <c r="D52" s="159"/>
      <c r="E52" s="159"/>
      <c r="F52" s="159"/>
      <c r="G52" s="165"/>
      <c r="H52" s="48"/>
      <c r="I52" s="48"/>
      <c r="J52" s="48"/>
      <c r="K52" s="48"/>
      <c r="M52" s="135"/>
      <c r="N52" s="135"/>
      <c r="O52" s="168"/>
    </row>
    <row r="53" spans="1:15" s="155" customFormat="1" ht="16.5">
      <c r="A53" s="48"/>
      <c r="B53" s="57"/>
      <c r="C53" s="57"/>
      <c r="D53" s="165" t="s">
        <v>227</v>
      </c>
      <c r="E53" s="165" t="s">
        <v>7</v>
      </c>
      <c r="F53" s="165" t="s">
        <v>262</v>
      </c>
      <c r="G53" s="165" t="s">
        <v>264</v>
      </c>
      <c r="H53" s="159"/>
      <c r="I53" s="48"/>
      <c r="J53" s="57"/>
      <c r="K53" s="48"/>
      <c r="M53" s="48"/>
      <c r="N53" s="135"/>
      <c r="O53" s="169"/>
    </row>
    <row r="54" spans="1:15" s="155" customFormat="1" ht="16.5">
      <c r="A54" s="48"/>
      <c r="B54" s="48"/>
      <c r="C54" s="48"/>
      <c r="D54" s="154" t="s">
        <v>228</v>
      </c>
      <c r="E54" s="154" t="s">
        <v>8</v>
      </c>
      <c r="F54" s="154" t="s">
        <v>263</v>
      </c>
      <c r="G54" s="154" t="s">
        <v>265</v>
      </c>
      <c r="H54" s="159"/>
      <c r="I54" s="48"/>
      <c r="J54" s="48"/>
      <c r="K54" s="48"/>
      <c r="L54" s="60"/>
      <c r="M54" s="48"/>
      <c r="N54" s="135"/>
      <c r="O54" s="61"/>
    </row>
    <row r="55" spans="1:15" s="155" customFormat="1" ht="16.5">
      <c r="A55" s="48"/>
      <c r="B55" s="48" t="s">
        <v>260</v>
      </c>
      <c r="C55" s="48"/>
      <c r="D55" s="60">
        <v>283</v>
      </c>
      <c r="E55" s="180">
        <v>105</v>
      </c>
      <c r="F55" s="170">
        <f>SUM(D55/(2204.5855*0.28))</f>
        <v>0.45846000788551206</v>
      </c>
      <c r="G55" s="123">
        <f aca="true" t="shared" si="0" ref="G55:G60">SUM(F55*E55)</f>
        <v>48.13830082797877</v>
      </c>
      <c r="H55" s="159"/>
      <c r="I55" s="48"/>
      <c r="J55" s="48"/>
      <c r="K55" s="48"/>
      <c r="L55" s="60"/>
      <c r="M55" s="48"/>
      <c r="N55" s="135"/>
      <c r="O55" s="61"/>
    </row>
    <row r="56" spans="1:15" s="155" customFormat="1" ht="16.5">
      <c r="A56" s="48"/>
      <c r="B56" s="48" t="s">
        <v>229</v>
      </c>
      <c r="C56" s="48"/>
      <c r="D56" s="60">
        <v>440</v>
      </c>
      <c r="E56" s="180">
        <v>105</v>
      </c>
      <c r="F56" s="170">
        <f>SUM(D56/(2204.5855*0.46))</f>
        <v>0.4338782683322714</v>
      </c>
      <c r="G56" s="123">
        <f t="shared" si="0"/>
        <v>45.5572181748885</v>
      </c>
      <c r="H56" s="159"/>
      <c r="I56" s="48"/>
      <c r="J56" s="48"/>
      <c r="K56" s="48"/>
      <c r="L56" s="60"/>
      <c r="M56" s="48"/>
      <c r="N56" s="135"/>
      <c r="O56" s="61"/>
    </row>
    <row r="57" spans="1:14" s="155" customFormat="1" ht="16.5">
      <c r="A57" s="48"/>
      <c r="B57" s="48" t="s">
        <v>312</v>
      </c>
      <c r="C57" s="48"/>
      <c r="D57" s="60">
        <v>591</v>
      </c>
      <c r="E57" s="180">
        <v>65</v>
      </c>
      <c r="F57" s="170">
        <f>SUM((D57-(AVERAGE(F55,F56)*(0.1*2204.5855)))/(2204.5855*0.34))</f>
        <v>0.657237325882487</v>
      </c>
      <c r="G57" s="123">
        <f t="shared" si="0"/>
        <v>42.72042618236165</v>
      </c>
      <c r="H57" s="159"/>
      <c r="I57" s="48"/>
      <c r="J57" s="48"/>
      <c r="K57" s="48"/>
      <c r="L57" s="60"/>
      <c r="M57" s="48"/>
      <c r="N57" s="135"/>
    </row>
    <row r="58" spans="1:14" s="155" customFormat="1" ht="16.5">
      <c r="A58" s="48"/>
      <c r="B58" s="48" t="s">
        <v>337</v>
      </c>
      <c r="C58" s="48"/>
      <c r="D58" s="60">
        <v>634</v>
      </c>
      <c r="E58" s="180">
        <v>45</v>
      </c>
      <c r="F58" s="170">
        <f>SUM((D58-(AVERAGE(F55,F56)*(0.11*2204.5855)))/(2204.5855*0.52))</f>
        <v>0.45866115337392155</v>
      </c>
      <c r="G58" s="123">
        <f t="shared" si="0"/>
        <v>20.639751901826468</v>
      </c>
      <c r="H58" s="159"/>
      <c r="I58" s="48"/>
      <c r="J58" s="48"/>
      <c r="K58" s="48"/>
      <c r="L58" s="60"/>
      <c r="M58" s="48"/>
      <c r="N58" s="135"/>
    </row>
    <row r="59" spans="1:15" s="155" customFormat="1" ht="16.5">
      <c r="A59" s="48"/>
      <c r="B59" s="48" t="s">
        <v>231</v>
      </c>
      <c r="C59" s="48"/>
      <c r="D59" s="60">
        <v>415</v>
      </c>
      <c r="E59" s="180">
        <v>260</v>
      </c>
      <c r="F59" s="170">
        <f>SUM(D59/(2204.5855*0.6))</f>
        <v>0.31374000539632807</v>
      </c>
      <c r="G59" s="123">
        <f t="shared" si="0"/>
        <v>81.5724014030453</v>
      </c>
      <c r="H59" s="159"/>
      <c r="I59" s="48"/>
      <c r="J59" s="48"/>
      <c r="K59" s="48"/>
      <c r="L59" s="60"/>
      <c r="M59" s="48"/>
      <c r="N59" s="135"/>
      <c r="O59" s="61"/>
    </row>
    <row r="60" spans="1:14" s="155" customFormat="1" ht="16.5">
      <c r="A60" s="48"/>
      <c r="B60" s="48" t="s">
        <v>232</v>
      </c>
      <c r="C60" s="48"/>
      <c r="D60" s="60">
        <v>426</v>
      </c>
      <c r="E60" s="180">
        <v>45</v>
      </c>
      <c r="F60" s="170">
        <f>SUM((D60-(AVERAGE(F55,F56)*(0.205*2204.5855)))/(2204.5855*0.24))</f>
        <v>0.4240372083803966</v>
      </c>
      <c r="G60" s="123">
        <f t="shared" si="0"/>
        <v>19.081674377117846</v>
      </c>
      <c r="H60" s="159"/>
      <c r="I60" s="48"/>
      <c r="J60" s="48"/>
      <c r="K60" s="48"/>
      <c r="L60" s="60"/>
      <c r="M60" s="48"/>
      <c r="N60" s="135"/>
    </row>
    <row r="61" spans="1:11" s="155" customFormat="1" ht="16.5">
      <c r="A61" s="48"/>
      <c r="B61" s="48" t="s">
        <v>266</v>
      </c>
      <c r="C61" s="159"/>
      <c r="D61" s="159"/>
      <c r="E61" s="161"/>
      <c r="F61" s="159"/>
      <c r="G61" s="197">
        <v>35</v>
      </c>
      <c r="H61" s="159"/>
      <c r="I61" s="48"/>
      <c r="J61" s="48"/>
      <c r="K61" s="159"/>
    </row>
    <row r="62" spans="1:11" s="155" customFormat="1" ht="16.5">
      <c r="A62" s="48"/>
      <c r="B62" s="48"/>
      <c r="C62" s="159"/>
      <c r="D62" s="159"/>
      <c r="E62" s="161"/>
      <c r="F62" s="159"/>
      <c r="G62" s="171">
        <f>SUM(G55:G61)</f>
        <v>292.70977286721853</v>
      </c>
      <c r="H62" s="159"/>
      <c r="I62" s="48"/>
      <c r="J62" s="48"/>
      <c r="K62" s="159"/>
    </row>
    <row r="63" spans="1:11" s="155" customFormat="1" ht="7.5" customHeight="1">
      <c r="A63" s="48"/>
      <c r="B63" s="48"/>
      <c r="C63" s="159"/>
      <c r="D63" s="159"/>
      <c r="E63" s="161"/>
      <c r="F63" s="159"/>
      <c r="G63" s="171"/>
      <c r="H63" s="159"/>
      <c r="I63" s="48"/>
      <c r="J63" s="48"/>
      <c r="K63" s="159"/>
    </row>
    <row r="64" spans="1:12" s="155" customFormat="1" ht="16.5">
      <c r="A64" s="48"/>
      <c r="B64" s="57" t="s">
        <v>267</v>
      </c>
      <c r="C64" s="48"/>
      <c r="D64" s="48"/>
      <c r="H64" s="48" t="s">
        <v>1</v>
      </c>
      <c r="I64" s="48"/>
      <c r="J64" s="48"/>
      <c r="K64" s="48"/>
      <c r="L64" s="135"/>
    </row>
    <row r="65" spans="1:12" s="155" customFormat="1" ht="16.5">
      <c r="A65" s="48"/>
      <c r="B65" s="57"/>
      <c r="C65" s="48"/>
      <c r="D65" s="48"/>
      <c r="E65" s="165" t="s">
        <v>14</v>
      </c>
      <c r="F65" s="165" t="s">
        <v>268</v>
      </c>
      <c r="G65" s="165" t="s">
        <v>264</v>
      </c>
      <c r="H65" s="48"/>
      <c r="I65" s="48"/>
      <c r="J65" s="48"/>
      <c r="K65" s="48"/>
      <c r="L65" s="135"/>
    </row>
    <row r="66" spans="1:12" s="155" customFormat="1" ht="16.5">
      <c r="A66" s="48"/>
      <c r="B66" s="57" t="s">
        <v>10</v>
      </c>
      <c r="C66" s="48"/>
      <c r="D66" s="48"/>
      <c r="E66" s="154" t="s">
        <v>15</v>
      </c>
      <c r="F66" s="154" t="s">
        <v>269</v>
      </c>
      <c r="G66" s="154" t="s">
        <v>265</v>
      </c>
      <c r="H66" s="48"/>
      <c r="I66" s="48"/>
      <c r="J66" s="48"/>
      <c r="K66" s="48"/>
      <c r="L66" s="135"/>
    </row>
    <row r="67" spans="1:12" s="155" customFormat="1" ht="16.5">
      <c r="A67" s="48"/>
      <c r="B67" s="48"/>
      <c r="C67" s="48" t="s">
        <v>11</v>
      </c>
      <c r="D67" s="48"/>
      <c r="E67" s="161"/>
      <c r="F67" s="48"/>
      <c r="G67" s="156">
        <v>3</v>
      </c>
      <c r="H67" s="48"/>
      <c r="I67" s="48"/>
      <c r="J67" s="48"/>
      <c r="K67" s="48"/>
      <c r="L67" s="135"/>
    </row>
    <row r="68" spans="1:12" s="155" customFormat="1" ht="16.5">
      <c r="A68" s="48"/>
      <c r="B68" s="159"/>
      <c r="C68" s="48" t="s">
        <v>12</v>
      </c>
      <c r="D68" s="48"/>
      <c r="E68" s="48"/>
      <c r="F68" s="48"/>
      <c r="G68" s="198">
        <v>45</v>
      </c>
      <c r="H68" s="48" t="s">
        <v>1</v>
      </c>
      <c r="I68" s="48"/>
      <c r="J68" s="48"/>
      <c r="K68" s="48"/>
      <c r="L68" s="135"/>
    </row>
    <row r="69" spans="1:12" s="155" customFormat="1" ht="16.5">
      <c r="A69" s="48"/>
      <c r="C69" s="57"/>
      <c r="D69" s="48"/>
      <c r="E69" s="48"/>
      <c r="F69" s="48"/>
      <c r="G69" s="166">
        <f>SUM(G67:G68)</f>
        <v>48</v>
      </c>
      <c r="H69" s="48"/>
      <c r="I69" s="48"/>
      <c r="J69" s="48"/>
      <c r="K69" s="48"/>
      <c r="L69" s="135"/>
    </row>
    <row r="70" spans="1:12" s="155" customFormat="1" ht="16.5">
      <c r="A70" s="48"/>
      <c r="B70" s="57" t="s">
        <v>13</v>
      </c>
      <c r="C70" s="48"/>
      <c r="D70" s="48"/>
      <c r="E70" s="159"/>
      <c r="F70" s="165"/>
      <c r="G70" s="165"/>
      <c r="H70" s="48"/>
      <c r="I70" s="48"/>
      <c r="J70" s="48"/>
      <c r="K70" s="48"/>
      <c r="L70" s="135"/>
    </row>
    <row r="71" spans="1:12" s="155" customFormat="1" ht="16.5">
      <c r="A71" s="48"/>
      <c r="B71" s="48"/>
      <c r="C71" s="48" t="s">
        <v>16</v>
      </c>
      <c r="D71" s="48"/>
      <c r="E71" s="180">
        <v>11</v>
      </c>
      <c r="F71" s="156">
        <v>6.5</v>
      </c>
      <c r="G71" s="166">
        <f>SUM(E71*F71:F71)</f>
        <v>71.5</v>
      </c>
      <c r="H71" s="172"/>
      <c r="I71" s="48"/>
      <c r="J71" s="48"/>
      <c r="K71" s="48"/>
      <c r="L71" s="135"/>
    </row>
    <row r="72" spans="1:12" s="155" customFormat="1" ht="16.5">
      <c r="A72" s="48"/>
      <c r="B72" s="48"/>
      <c r="C72" s="48" t="s">
        <v>17</v>
      </c>
      <c r="D72" s="48"/>
      <c r="E72" s="180">
        <v>2</v>
      </c>
      <c r="F72" s="156">
        <v>20</v>
      </c>
      <c r="G72" s="166">
        <f>SUM(E72*F72:F72)</f>
        <v>40</v>
      </c>
      <c r="H72" s="172"/>
      <c r="I72" s="48"/>
      <c r="J72" s="48"/>
      <c r="K72" s="48"/>
      <c r="L72" s="135"/>
    </row>
    <row r="73" spans="1:12" s="155" customFormat="1" ht="16.5">
      <c r="A73" s="48"/>
      <c r="B73" s="48"/>
      <c r="C73" s="48" t="s">
        <v>412</v>
      </c>
      <c r="D73" s="48"/>
      <c r="E73" s="180">
        <v>3</v>
      </c>
      <c r="F73" s="156">
        <v>26.67</v>
      </c>
      <c r="G73" s="166">
        <f>SUM(E73*F73:F73)</f>
        <v>80.01</v>
      </c>
      <c r="H73" s="172"/>
      <c r="I73" s="48"/>
      <c r="J73" s="48"/>
      <c r="K73" s="48"/>
      <c r="L73" s="135"/>
    </row>
    <row r="74" spans="1:12" s="155" customFormat="1" ht="16.5">
      <c r="A74" s="48"/>
      <c r="B74" s="48"/>
      <c r="C74" s="48" t="s">
        <v>18</v>
      </c>
      <c r="D74" s="48"/>
      <c r="E74" s="180">
        <v>1</v>
      </c>
      <c r="F74" s="156">
        <v>20</v>
      </c>
      <c r="G74" s="167">
        <f>SUM(E74*F74:F74)</f>
        <v>20</v>
      </c>
      <c r="H74" s="161"/>
      <c r="I74" s="48"/>
      <c r="J74" s="48"/>
      <c r="K74" s="48"/>
      <c r="L74" s="135"/>
    </row>
    <row r="75" spans="1:12" s="155" customFormat="1" ht="16.5">
      <c r="A75" s="48"/>
      <c r="B75" s="48"/>
      <c r="C75" s="57"/>
      <c r="D75" s="48"/>
      <c r="E75" s="57"/>
      <c r="F75" s="161"/>
      <c r="G75" s="166">
        <f>SUM(G71:G74)</f>
        <v>211.51</v>
      </c>
      <c r="H75" s="161"/>
      <c r="I75" s="48"/>
      <c r="J75" s="48"/>
      <c r="K75" s="48"/>
      <c r="L75" s="135"/>
    </row>
    <row r="76" spans="1:12" s="155" customFormat="1" ht="7.5" customHeight="1">
      <c r="A76" s="48"/>
      <c r="B76" s="159"/>
      <c r="C76" s="140"/>
      <c r="D76" s="48"/>
      <c r="E76" s="48"/>
      <c r="F76" s="48"/>
      <c r="G76" s="48"/>
      <c r="H76" s="48"/>
      <c r="I76" s="48"/>
      <c r="J76" s="48"/>
      <c r="K76" s="48"/>
      <c r="L76" s="135"/>
    </row>
    <row r="77" spans="1:12" s="155" customFormat="1" ht="16.5">
      <c r="A77" s="48"/>
      <c r="B77" s="57" t="s">
        <v>172</v>
      </c>
      <c r="C77" s="140"/>
      <c r="D77" s="48"/>
      <c r="E77" s="48" t="s">
        <v>338</v>
      </c>
      <c r="F77" s="48"/>
      <c r="G77" s="156">
        <v>0.85</v>
      </c>
      <c r="H77" s="48"/>
      <c r="I77" s="48"/>
      <c r="J77" s="48"/>
      <c r="K77" s="48"/>
      <c r="L77" s="135"/>
    </row>
    <row r="78" spans="1:12" s="155" customFormat="1" ht="7.5" customHeight="1">
      <c r="A78" s="48"/>
      <c r="B78" s="48"/>
      <c r="C78" s="48"/>
      <c r="D78" s="48"/>
      <c r="E78" s="48"/>
      <c r="F78" s="48"/>
      <c r="G78" s="48"/>
      <c r="H78" s="48"/>
      <c r="I78" s="48"/>
      <c r="J78" s="48"/>
      <c r="K78" s="48"/>
      <c r="L78" s="135"/>
    </row>
    <row r="79" spans="1:12" s="155" customFormat="1" ht="16.5">
      <c r="A79" s="48"/>
      <c r="B79" s="214"/>
      <c r="D79" s="213" t="s">
        <v>14</v>
      </c>
      <c r="E79" s="213" t="s">
        <v>271</v>
      </c>
      <c r="F79" s="165" t="s">
        <v>271</v>
      </c>
      <c r="G79" s="165" t="s">
        <v>264</v>
      </c>
      <c r="H79" s="48"/>
      <c r="I79" s="48"/>
      <c r="J79" s="48"/>
      <c r="K79" s="48"/>
      <c r="L79" s="135"/>
    </row>
    <row r="80" spans="1:12" s="155" customFormat="1" ht="16.5">
      <c r="A80" s="48"/>
      <c r="B80" s="255" t="s">
        <v>372</v>
      </c>
      <c r="C80" s="255"/>
      <c r="D80" s="169" t="s">
        <v>22</v>
      </c>
      <c r="E80" s="169" t="s">
        <v>273</v>
      </c>
      <c r="F80" s="154" t="s">
        <v>272</v>
      </c>
      <c r="G80" s="154" t="s">
        <v>265</v>
      </c>
      <c r="H80" s="48"/>
      <c r="I80" s="48"/>
      <c r="J80" s="48"/>
      <c r="K80" s="48"/>
      <c r="L80" s="135"/>
    </row>
    <row r="81" spans="1:12" s="155" customFormat="1" ht="16.5">
      <c r="A81" s="48"/>
      <c r="B81" s="48" t="s">
        <v>23</v>
      </c>
      <c r="D81" s="193">
        <v>0</v>
      </c>
      <c r="E81" s="215">
        <v>0.75</v>
      </c>
      <c r="F81" s="173">
        <f>SUM(E81/4.546)</f>
        <v>0.1649802023757149</v>
      </c>
      <c r="G81" s="166">
        <f>SUM($G$77*E81*D81)</f>
        <v>0</v>
      </c>
      <c r="H81" s="48"/>
      <c r="I81" s="48"/>
      <c r="J81" s="48"/>
      <c r="K81" s="48"/>
      <c r="L81" s="135"/>
    </row>
    <row r="82" spans="1:12" s="155" customFormat="1" ht="16.5">
      <c r="A82" s="48"/>
      <c r="B82" s="48" t="s">
        <v>207</v>
      </c>
      <c r="D82" s="193">
        <v>1</v>
      </c>
      <c r="E82" s="215">
        <v>4.6</v>
      </c>
      <c r="F82" s="173">
        <f aca="true" t="shared" si="1" ref="F82:F91">SUM(E82/4.546)</f>
        <v>1.0118785745710512</v>
      </c>
      <c r="G82" s="166">
        <f aca="true" t="shared" si="2" ref="G82:G91">SUM($G$77*E82*D82)</f>
        <v>3.9099999999999997</v>
      </c>
      <c r="H82" s="48"/>
      <c r="I82" s="48"/>
      <c r="J82" s="48"/>
      <c r="K82" s="48"/>
      <c r="L82" s="135"/>
    </row>
    <row r="83" spans="1:12" s="155" customFormat="1" ht="16.5">
      <c r="A83" s="48"/>
      <c r="B83" s="48" t="s">
        <v>24</v>
      </c>
      <c r="D83" s="193">
        <v>1</v>
      </c>
      <c r="E83" s="215">
        <v>1.29</v>
      </c>
      <c r="F83" s="173">
        <f t="shared" si="1"/>
        <v>0.2837659480862296</v>
      </c>
      <c r="G83" s="166">
        <f t="shared" si="2"/>
        <v>1.0965</v>
      </c>
      <c r="H83" s="48"/>
      <c r="I83" s="48"/>
      <c r="J83" s="48"/>
      <c r="K83" s="48"/>
      <c r="L83" s="135"/>
    </row>
    <row r="84" spans="1:12" s="155" customFormat="1" ht="16.5">
      <c r="A84" s="48"/>
      <c r="B84" s="48" t="s">
        <v>25</v>
      </c>
      <c r="D84" s="193">
        <v>1</v>
      </c>
      <c r="E84" s="215">
        <v>1.4</v>
      </c>
      <c r="F84" s="173">
        <f t="shared" si="1"/>
        <v>0.3079630444346678</v>
      </c>
      <c r="G84" s="166">
        <f t="shared" si="2"/>
        <v>1.19</v>
      </c>
      <c r="H84" s="48"/>
      <c r="I84" s="48"/>
      <c r="J84" s="48"/>
      <c r="K84" s="48"/>
      <c r="L84" s="135"/>
    </row>
    <row r="85" spans="1:12" s="155" customFormat="1" ht="16.5">
      <c r="A85" s="48"/>
      <c r="B85" s="48" t="s">
        <v>26</v>
      </c>
      <c r="D85" s="193">
        <v>3</v>
      </c>
      <c r="E85" s="215">
        <v>0.42</v>
      </c>
      <c r="F85" s="173">
        <f t="shared" si="1"/>
        <v>0.09238891333040035</v>
      </c>
      <c r="G85" s="166">
        <f t="shared" si="2"/>
        <v>1.071</v>
      </c>
      <c r="H85" s="48"/>
      <c r="I85" s="48"/>
      <c r="J85" s="48"/>
      <c r="K85" s="48"/>
      <c r="L85" s="135"/>
    </row>
    <row r="86" spans="1:12" s="155" customFormat="1" ht="16.5">
      <c r="A86" s="48"/>
      <c r="B86" s="48" t="s">
        <v>24</v>
      </c>
      <c r="D86" s="193">
        <v>1</v>
      </c>
      <c r="E86" s="215">
        <v>1.74</v>
      </c>
      <c r="F86" s="173">
        <f t="shared" si="1"/>
        <v>0.3827540695116586</v>
      </c>
      <c r="G86" s="166">
        <f t="shared" si="2"/>
        <v>1.4789999999999999</v>
      </c>
      <c r="H86" s="48"/>
      <c r="I86" s="48"/>
      <c r="J86" s="48"/>
      <c r="K86" s="48"/>
      <c r="L86" s="135"/>
    </row>
    <row r="87" spans="1:12" s="155" customFormat="1" ht="16.5">
      <c r="A87" s="48"/>
      <c r="B87" s="48" t="s">
        <v>27</v>
      </c>
      <c r="D87" s="193">
        <v>2</v>
      </c>
      <c r="E87" s="215">
        <v>1.74</v>
      </c>
      <c r="F87" s="173">
        <f t="shared" si="1"/>
        <v>0.3827540695116586</v>
      </c>
      <c r="G87" s="166">
        <f t="shared" si="2"/>
        <v>2.9579999999999997</v>
      </c>
      <c r="H87" s="48"/>
      <c r="I87" s="48"/>
      <c r="J87" s="48"/>
      <c r="K87" s="48"/>
      <c r="L87" s="135"/>
    </row>
    <row r="88" spans="1:12" s="155" customFormat="1" ht="16.5">
      <c r="A88" s="48"/>
      <c r="B88" s="48" t="s">
        <v>28</v>
      </c>
      <c r="D88" s="193">
        <v>1</v>
      </c>
      <c r="E88" s="215">
        <v>0.42</v>
      </c>
      <c r="F88" s="173">
        <f t="shared" si="1"/>
        <v>0.09238891333040035</v>
      </c>
      <c r="G88" s="166">
        <f t="shared" si="2"/>
        <v>0.357</v>
      </c>
      <c r="H88" s="48"/>
      <c r="I88" s="48"/>
      <c r="J88" s="48"/>
      <c r="K88" s="48"/>
      <c r="L88" s="135"/>
    </row>
    <row r="89" spans="1:12" s="155" customFormat="1" ht="16.5">
      <c r="A89" s="48"/>
      <c r="B89" s="48" t="s">
        <v>29</v>
      </c>
      <c r="D89" s="193">
        <v>1</v>
      </c>
      <c r="E89" s="215">
        <v>8.5</v>
      </c>
      <c r="F89" s="173">
        <f t="shared" si="1"/>
        <v>1.869775626924769</v>
      </c>
      <c r="G89" s="166">
        <f t="shared" si="2"/>
        <v>7.225</v>
      </c>
      <c r="H89" s="48"/>
      <c r="I89" s="48"/>
      <c r="J89" s="48"/>
      <c r="K89" s="48"/>
      <c r="L89" s="135"/>
    </row>
    <row r="90" spans="1:12" s="155" customFormat="1" ht="16.5">
      <c r="A90" s="48"/>
      <c r="B90" s="48" t="s">
        <v>274</v>
      </c>
      <c r="D90" s="193">
        <v>1</v>
      </c>
      <c r="E90" s="215">
        <v>5.75</v>
      </c>
      <c r="F90" s="173">
        <f t="shared" si="1"/>
        <v>1.2648482182138143</v>
      </c>
      <c r="G90" s="166">
        <f>SUM($G$77*E90*D90)</f>
        <v>4.8875</v>
      </c>
      <c r="H90" s="48"/>
      <c r="I90" s="48"/>
      <c r="J90" s="48"/>
      <c r="K90" s="48"/>
      <c r="L90" s="135"/>
    </row>
    <row r="91" spans="1:12" s="155" customFormat="1" ht="16.5">
      <c r="A91" s="48"/>
      <c r="B91" s="48" t="s">
        <v>95</v>
      </c>
      <c r="D91" s="193">
        <v>1</v>
      </c>
      <c r="E91" s="215">
        <v>1.85</v>
      </c>
      <c r="F91" s="173">
        <f t="shared" si="1"/>
        <v>0.4069511658600968</v>
      </c>
      <c r="G91" s="167">
        <f t="shared" si="2"/>
        <v>1.5725</v>
      </c>
      <c r="H91" s="48"/>
      <c r="I91" s="48"/>
      <c r="J91" s="48"/>
      <c r="K91" s="48"/>
      <c r="L91" s="135"/>
    </row>
    <row r="92" spans="1:12" s="155" customFormat="1" ht="16.5">
      <c r="A92" s="48"/>
      <c r="B92" s="48"/>
      <c r="C92" s="161"/>
      <c r="D92" s="161"/>
      <c r="E92" s="161"/>
      <c r="F92" s="161"/>
      <c r="G92" s="166">
        <f>SUM(G81:G91)</f>
        <v>25.746499999999997</v>
      </c>
      <c r="H92" s="48"/>
      <c r="I92" s="48"/>
      <c r="J92" s="48"/>
      <c r="K92" s="48"/>
      <c r="L92" s="135"/>
    </row>
    <row r="93" spans="1:12" s="155" customFormat="1" ht="16.5">
      <c r="A93" s="48"/>
      <c r="B93" s="57" t="s">
        <v>30</v>
      </c>
      <c r="C93" s="48"/>
      <c r="D93" s="48"/>
      <c r="E93" s="48"/>
      <c r="F93" s="48"/>
      <c r="G93" s="48"/>
      <c r="H93" s="48"/>
      <c r="I93" s="48" t="s">
        <v>1</v>
      </c>
      <c r="J93" s="48"/>
      <c r="K93" s="48"/>
      <c r="L93" s="135"/>
    </row>
    <row r="94" spans="1:12" s="155" customFormat="1" ht="16.5">
      <c r="A94" s="48"/>
      <c r="B94" s="48"/>
      <c r="C94" s="48" t="s">
        <v>31</v>
      </c>
      <c r="D94" s="48"/>
      <c r="E94" s="48"/>
      <c r="F94" s="48"/>
      <c r="G94" s="180">
        <v>275</v>
      </c>
      <c r="H94" s="48"/>
      <c r="I94" s="48"/>
      <c r="J94" s="48"/>
      <c r="K94" s="48"/>
      <c r="L94" s="135"/>
    </row>
    <row r="95" spans="1:12" s="155" customFormat="1" ht="16.5">
      <c r="A95" s="48"/>
      <c r="B95" s="48"/>
      <c r="C95" s="48" t="s">
        <v>32</v>
      </c>
      <c r="D95" s="48"/>
      <c r="E95" s="48"/>
      <c r="F95" s="48"/>
      <c r="G95" s="180">
        <v>2.5</v>
      </c>
      <c r="H95" s="48"/>
      <c r="I95" s="48"/>
      <c r="J95" s="48"/>
      <c r="K95" s="48"/>
      <c r="L95" s="135"/>
    </row>
    <row r="96" spans="1:12" s="155" customFormat="1" ht="16.5">
      <c r="A96" s="48"/>
      <c r="B96" s="48"/>
      <c r="C96" s="48" t="s">
        <v>33</v>
      </c>
      <c r="D96" s="48"/>
      <c r="E96" s="48"/>
      <c r="F96" s="48"/>
      <c r="G96" s="180">
        <v>15</v>
      </c>
      <c r="H96" s="48"/>
      <c r="I96" s="48"/>
      <c r="J96" s="48"/>
      <c r="K96" s="48"/>
      <c r="L96" s="135"/>
    </row>
    <row r="97" spans="1:12" s="155" customFormat="1" ht="7.5" customHeight="1">
      <c r="A97" s="48"/>
      <c r="B97" s="48"/>
      <c r="C97" s="48"/>
      <c r="D97" s="48"/>
      <c r="E97" s="48"/>
      <c r="F97" s="48"/>
      <c r="G97" s="48"/>
      <c r="H97" s="48"/>
      <c r="I97" s="48"/>
      <c r="J97" s="48"/>
      <c r="K97" s="48"/>
      <c r="L97" s="135"/>
    </row>
    <row r="98" spans="1:12" s="155" customFormat="1" ht="16.5">
      <c r="A98" s="48"/>
      <c r="B98" s="57" t="s">
        <v>339</v>
      </c>
      <c r="C98" s="48"/>
      <c r="D98" s="48"/>
      <c r="E98" s="48"/>
      <c r="F98" s="48"/>
      <c r="G98" s="48"/>
      <c r="H98" s="48"/>
      <c r="I98" s="48"/>
      <c r="J98" s="48"/>
      <c r="K98" s="48"/>
      <c r="L98" s="135"/>
    </row>
    <row r="99" spans="1:12" s="155" customFormat="1" ht="16.5">
      <c r="A99" s="48"/>
      <c r="B99" s="48" t="s">
        <v>413</v>
      </c>
      <c r="D99" s="48"/>
      <c r="E99" s="48"/>
      <c r="F99" s="48"/>
      <c r="G99" s="156">
        <v>0.96</v>
      </c>
      <c r="H99" s="48"/>
      <c r="I99" s="48"/>
      <c r="J99" s="48"/>
      <c r="K99" s="48"/>
      <c r="L99" s="135"/>
    </row>
    <row r="100" spans="1:12" s="155" customFormat="1" ht="16.5">
      <c r="A100" s="48"/>
      <c r="B100" s="48" t="s">
        <v>371</v>
      </c>
      <c r="D100" s="48"/>
      <c r="E100" s="48"/>
      <c r="F100" s="48"/>
      <c r="G100" s="156">
        <v>0.35</v>
      </c>
      <c r="H100" s="48"/>
      <c r="I100" s="48"/>
      <c r="J100" s="48"/>
      <c r="K100" s="48"/>
      <c r="L100" s="135"/>
    </row>
    <row r="101" spans="1:12" s="155" customFormat="1" ht="7.5" customHeight="1">
      <c r="A101" s="48"/>
      <c r="B101" s="48"/>
      <c r="C101" s="48"/>
      <c r="D101" s="48"/>
      <c r="E101" s="48"/>
      <c r="F101" s="48"/>
      <c r="G101" s="48"/>
      <c r="H101" s="48"/>
      <c r="I101" s="48"/>
      <c r="J101" s="48"/>
      <c r="K101" s="48"/>
      <c r="L101" s="135"/>
    </row>
    <row r="102" spans="1:12" s="155" customFormat="1" ht="16.5">
      <c r="A102" s="48"/>
      <c r="B102" s="57" t="s">
        <v>275</v>
      </c>
      <c r="C102" s="48"/>
      <c r="D102" s="48"/>
      <c r="E102" s="48"/>
      <c r="F102" s="48"/>
      <c r="G102" s="48"/>
      <c r="H102" s="48"/>
      <c r="I102" s="48"/>
      <c r="J102" s="48"/>
      <c r="K102" s="48"/>
      <c r="L102" s="135"/>
    </row>
    <row r="103" spans="1:12" s="155" customFormat="1" ht="16.5">
      <c r="A103" s="48"/>
      <c r="B103" s="48"/>
      <c r="C103" s="48" t="s">
        <v>34</v>
      </c>
      <c r="D103" s="48"/>
      <c r="E103" s="48"/>
      <c r="F103" s="48"/>
      <c r="G103" s="180">
        <v>12</v>
      </c>
      <c r="H103" s="48"/>
      <c r="I103" s="48"/>
      <c r="J103" s="48"/>
      <c r="K103" s="48"/>
      <c r="L103" s="135"/>
    </row>
    <row r="104" spans="1:12" s="155" customFormat="1" ht="16.5">
      <c r="A104" s="48"/>
      <c r="B104" s="48"/>
      <c r="C104" s="48" t="s">
        <v>211</v>
      </c>
      <c r="D104" s="48"/>
      <c r="E104" s="48"/>
      <c r="F104" s="48"/>
      <c r="G104" s="180">
        <v>72</v>
      </c>
      <c r="H104" s="48"/>
      <c r="I104" s="161"/>
      <c r="J104" s="48"/>
      <c r="K104" s="48"/>
      <c r="L104" s="135"/>
    </row>
    <row r="105" spans="1:12" s="155" customFormat="1" ht="16.5">
      <c r="A105" s="48"/>
      <c r="B105" s="48"/>
      <c r="C105" s="48" t="s">
        <v>278</v>
      </c>
      <c r="D105" s="48"/>
      <c r="E105" s="48"/>
      <c r="F105" s="48"/>
      <c r="G105" s="192">
        <v>0.6</v>
      </c>
      <c r="H105" s="48"/>
      <c r="I105" s="161"/>
      <c r="J105" s="48"/>
      <c r="K105" s="48"/>
      <c r="L105" s="135"/>
    </row>
    <row r="106" spans="1:12" s="155" customFormat="1" ht="16.5">
      <c r="A106" s="48"/>
      <c r="B106" s="48"/>
      <c r="C106" s="48" t="s">
        <v>276</v>
      </c>
      <c r="D106" s="48"/>
      <c r="E106" s="48"/>
      <c r="F106" s="48"/>
      <c r="G106" s="156">
        <v>5.25</v>
      </c>
      <c r="H106" s="48"/>
      <c r="I106" s="48"/>
      <c r="J106" s="48"/>
      <c r="K106" s="48"/>
      <c r="L106" s="135"/>
    </row>
    <row r="107" spans="1:12" s="155" customFormat="1" ht="16.5">
      <c r="A107" s="48"/>
      <c r="B107" s="48"/>
      <c r="C107" s="48" t="s">
        <v>279</v>
      </c>
      <c r="D107" s="48"/>
      <c r="E107" s="48"/>
      <c r="F107" s="48"/>
      <c r="G107" s="192">
        <v>0.4</v>
      </c>
      <c r="H107" s="48"/>
      <c r="I107" s="161"/>
      <c r="J107" s="48"/>
      <c r="K107" s="48"/>
      <c r="L107" s="135"/>
    </row>
    <row r="108" spans="1:12" s="155" customFormat="1" ht="16.5">
      <c r="A108" s="48"/>
      <c r="B108" s="48"/>
      <c r="C108" s="48" t="s">
        <v>277</v>
      </c>
      <c r="D108" s="48"/>
      <c r="E108" s="48"/>
      <c r="F108" s="48"/>
      <c r="G108" s="156">
        <v>8</v>
      </c>
      <c r="H108" s="48"/>
      <c r="I108" s="48"/>
      <c r="J108" s="48"/>
      <c r="K108" s="48"/>
      <c r="L108" s="135"/>
    </row>
    <row r="109" spans="1:12" s="155" customFormat="1" ht="15.75" customHeight="1">
      <c r="A109" s="48"/>
      <c r="B109" s="48"/>
      <c r="C109" s="48"/>
      <c r="D109" s="48"/>
      <c r="E109" s="48"/>
      <c r="F109" s="48"/>
      <c r="G109" s="205">
        <f>IF(G105+G107=100%,"","ERROR - Pumping % Must Total 100%")</f>
      </c>
      <c r="H109" s="48"/>
      <c r="I109" s="48"/>
      <c r="J109" s="48"/>
      <c r="K109" s="48"/>
      <c r="L109" s="135"/>
    </row>
    <row r="110" spans="1:12" s="155" customFormat="1" ht="16.5">
      <c r="A110" s="48"/>
      <c r="B110" s="57" t="s">
        <v>191</v>
      </c>
      <c r="C110" s="48"/>
      <c r="D110" s="48"/>
      <c r="E110" s="154" t="s">
        <v>7</v>
      </c>
      <c r="F110" s="154" t="s">
        <v>264</v>
      </c>
      <c r="G110" s="154" t="s">
        <v>326</v>
      </c>
      <c r="H110" s="48"/>
      <c r="I110" s="48"/>
      <c r="J110" s="48"/>
      <c r="K110" s="48"/>
      <c r="L110" s="135"/>
    </row>
    <row r="111" spans="1:12" s="155" customFormat="1" ht="16.5">
      <c r="A111" s="48"/>
      <c r="B111" s="48"/>
      <c r="C111" s="48" t="s">
        <v>170</v>
      </c>
      <c r="D111" s="48"/>
      <c r="E111" s="222">
        <v>0.0625</v>
      </c>
      <c r="F111" s="146">
        <f>SUM(E111*G209)</f>
        <v>248143.75</v>
      </c>
      <c r="G111" s="188">
        <f>SUM(F111/$G$18)</f>
        <v>318.1330128205128</v>
      </c>
      <c r="H111" s="48"/>
      <c r="I111" s="48"/>
      <c r="J111" s="179"/>
      <c r="K111" s="158"/>
      <c r="L111" s="135"/>
    </row>
    <row r="112" spans="1:12" s="155" customFormat="1" ht="16.5">
      <c r="A112" s="48"/>
      <c r="B112" s="48"/>
      <c r="C112" s="48" t="s">
        <v>171</v>
      </c>
      <c r="D112" s="48"/>
      <c r="E112" s="222">
        <v>0.015</v>
      </c>
      <c r="F112" s="146">
        <f>SUM(E112*G169)</f>
        <v>84240</v>
      </c>
      <c r="G112" s="188">
        <f>SUM(F112/$G$18)</f>
        <v>108</v>
      </c>
      <c r="H112" s="48"/>
      <c r="I112" s="48"/>
      <c r="J112" s="179"/>
      <c r="K112" s="158"/>
      <c r="L112" s="135"/>
    </row>
    <row r="113" spans="1:12" s="155" customFormat="1" ht="16.5">
      <c r="A113" s="48"/>
      <c r="B113" s="48"/>
      <c r="C113" s="48" t="s">
        <v>167</v>
      </c>
      <c r="D113" s="48"/>
      <c r="E113" s="222">
        <v>0.015</v>
      </c>
      <c r="F113" s="146">
        <f>SUM(E113*G182)</f>
        <v>17385</v>
      </c>
      <c r="G113" s="188">
        <f>SUM(F113/$G$18)</f>
        <v>22.28846153846154</v>
      </c>
      <c r="H113" s="48"/>
      <c r="I113" s="48"/>
      <c r="J113" s="179"/>
      <c r="K113" s="158"/>
      <c r="L113" s="135"/>
    </row>
    <row r="114" spans="1:12" s="155" customFormat="1" ht="16.5">
      <c r="A114" s="48"/>
      <c r="B114" s="48"/>
      <c r="C114" s="48"/>
      <c r="D114" s="48"/>
      <c r="E114" s="48"/>
      <c r="F114" s="48"/>
      <c r="G114" s="48"/>
      <c r="H114" s="48"/>
      <c r="I114" s="48"/>
      <c r="J114" s="48"/>
      <c r="K114" s="48"/>
      <c r="L114" s="135"/>
    </row>
    <row r="115" spans="1:12" s="155" customFormat="1" ht="16.5">
      <c r="A115" s="48"/>
      <c r="B115" s="57" t="s">
        <v>35</v>
      </c>
      <c r="C115" s="48"/>
      <c r="D115" s="48"/>
      <c r="E115" s="154" t="s">
        <v>37</v>
      </c>
      <c r="F115" s="154" t="s">
        <v>325</v>
      </c>
      <c r="G115" s="154" t="s">
        <v>326</v>
      </c>
      <c r="H115" s="48"/>
      <c r="I115" s="48"/>
      <c r="J115" s="48"/>
      <c r="K115" s="48"/>
      <c r="L115" s="135"/>
    </row>
    <row r="116" spans="1:12" s="155" customFormat="1" ht="16.5">
      <c r="A116" s="48"/>
      <c r="B116" s="48"/>
      <c r="C116" s="57" t="s">
        <v>355</v>
      </c>
      <c r="D116" s="159"/>
      <c r="E116" s="199">
        <v>14</v>
      </c>
      <c r="F116" s="156">
        <v>9</v>
      </c>
      <c r="G116" s="146">
        <f>(+E116*F116)</f>
        <v>126</v>
      </c>
      <c r="H116" s="48"/>
      <c r="I116" s="48"/>
      <c r="J116" s="48"/>
      <c r="K116" s="48"/>
      <c r="L116" s="135"/>
    </row>
    <row r="117" spans="1:12" s="155" customFormat="1" ht="16.5">
      <c r="A117" s="48"/>
      <c r="B117" s="48"/>
      <c r="C117" s="57" t="s">
        <v>356</v>
      </c>
      <c r="D117" s="159"/>
      <c r="E117" s="199">
        <v>2</v>
      </c>
      <c r="F117" s="156">
        <v>9</v>
      </c>
      <c r="G117" s="146">
        <f>(+E117*F117)</f>
        <v>18</v>
      </c>
      <c r="H117" s="48"/>
      <c r="I117" s="48"/>
      <c r="J117" s="48"/>
      <c r="K117" s="48"/>
      <c r="L117" s="135"/>
    </row>
    <row r="118" spans="1:12" s="155" customFormat="1" ht="7.5" customHeight="1">
      <c r="A118" s="48"/>
      <c r="B118" s="48"/>
      <c r="C118" s="48"/>
      <c r="D118" s="48"/>
      <c r="E118" s="48"/>
      <c r="F118" s="48"/>
      <c r="G118" s="48"/>
      <c r="H118" s="48"/>
      <c r="I118" s="48"/>
      <c r="J118" s="48"/>
      <c r="K118" s="48"/>
      <c r="L118" s="135"/>
    </row>
    <row r="119" spans="1:12" s="155" customFormat="1" ht="16.5">
      <c r="A119" s="48"/>
      <c r="B119" s="57" t="s">
        <v>36</v>
      </c>
      <c r="C119" s="48"/>
      <c r="D119" s="48"/>
      <c r="E119" s="154" t="s">
        <v>38</v>
      </c>
      <c r="F119" s="154" t="s">
        <v>7</v>
      </c>
      <c r="G119" s="154" t="s">
        <v>326</v>
      </c>
      <c r="H119" s="48"/>
      <c r="I119" s="48"/>
      <c r="J119" s="48"/>
      <c r="K119" s="48"/>
      <c r="L119" s="135"/>
    </row>
    <row r="120" spans="1:12" s="155" customFormat="1" ht="16.5">
      <c r="A120" s="48"/>
      <c r="B120" s="48"/>
      <c r="C120" s="48" t="s">
        <v>297</v>
      </c>
      <c r="D120" s="48"/>
      <c r="E120" s="180">
        <v>16</v>
      </c>
      <c r="F120" s="200">
        <v>25</v>
      </c>
      <c r="G120" s="174">
        <f>SUM(E120*F120)</f>
        <v>400</v>
      </c>
      <c r="H120" s="48"/>
      <c r="I120" s="48"/>
      <c r="J120" s="48"/>
      <c r="K120" s="48"/>
      <c r="L120" s="135"/>
    </row>
    <row r="121" spans="1:12" s="155" customFormat="1" ht="16.5">
      <c r="A121" s="48"/>
      <c r="B121" s="48"/>
      <c r="C121" s="48" t="s">
        <v>296</v>
      </c>
      <c r="D121" s="48"/>
      <c r="E121" s="48"/>
      <c r="F121" s="48"/>
      <c r="G121" s="175">
        <f>G18</f>
        <v>780</v>
      </c>
      <c r="H121" s="48"/>
      <c r="I121" s="48"/>
      <c r="J121" s="48"/>
      <c r="K121" s="48"/>
      <c r="L121" s="135"/>
    </row>
    <row r="122" spans="1:12" s="155" customFormat="1" ht="16.5">
      <c r="A122" s="48"/>
      <c r="B122" s="48"/>
      <c r="C122" s="159"/>
      <c r="D122" s="48"/>
      <c r="E122" s="48"/>
      <c r="F122" s="165" t="s">
        <v>39</v>
      </c>
      <c r="G122" s="146">
        <f>SUM(G120*G121)</f>
        <v>312000</v>
      </c>
      <c r="H122" s="48"/>
      <c r="I122" s="48"/>
      <c r="J122" s="48"/>
      <c r="K122" s="48"/>
      <c r="L122" s="135"/>
    </row>
    <row r="123" spans="1:12" s="155" customFormat="1" ht="7.5" customHeight="1">
      <c r="A123" s="48"/>
      <c r="B123" s="48"/>
      <c r="C123" s="48"/>
      <c r="D123" s="48"/>
      <c r="E123" s="48"/>
      <c r="F123" s="48"/>
      <c r="G123" s="48"/>
      <c r="H123" s="48"/>
      <c r="I123" s="48"/>
      <c r="J123" s="48"/>
      <c r="K123" s="48"/>
      <c r="L123" s="135"/>
    </row>
    <row r="124" spans="1:12" s="155" customFormat="1" ht="16.5">
      <c r="A124" s="48"/>
      <c r="B124" s="57" t="s">
        <v>40</v>
      </c>
      <c r="C124" s="48"/>
      <c r="D124" s="48"/>
      <c r="E124" s="154" t="s">
        <v>7</v>
      </c>
      <c r="F124" s="154" t="s">
        <v>296</v>
      </c>
      <c r="G124" s="48"/>
      <c r="H124" s="48" t="s">
        <v>1</v>
      </c>
      <c r="I124" s="48"/>
      <c r="J124" s="48"/>
      <c r="K124" s="48"/>
      <c r="L124" s="135"/>
    </row>
    <row r="125" spans="1:12" s="155" customFormat="1" ht="16.5">
      <c r="A125" s="48"/>
      <c r="B125" s="48"/>
      <c r="C125" s="48" t="s">
        <v>156</v>
      </c>
      <c r="D125" s="48"/>
      <c r="E125" s="196">
        <v>51.75</v>
      </c>
      <c r="F125" s="162">
        <f>G18</f>
        <v>780</v>
      </c>
      <c r="G125" s="146">
        <f>E125*G18</f>
        <v>40365</v>
      </c>
      <c r="H125" s="48"/>
      <c r="I125" s="48"/>
      <c r="J125" s="48"/>
      <c r="K125" s="48"/>
      <c r="L125" s="135"/>
    </row>
    <row r="126" spans="1:12" s="155" customFormat="1" ht="16.5">
      <c r="A126" s="48"/>
      <c r="B126" s="48"/>
      <c r="C126" s="48" t="s">
        <v>158</v>
      </c>
      <c r="D126" s="48"/>
      <c r="E126" s="196">
        <v>0</v>
      </c>
      <c r="F126" s="162">
        <f>G18</f>
        <v>780</v>
      </c>
      <c r="G126" s="174">
        <f>E126*G18</f>
        <v>0</v>
      </c>
      <c r="H126" s="48"/>
      <c r="I126" s="48"/>
      <c r="J126" s="48"/>
      <c r="K126" s="48"/>
      <c r="L126" s="135"/>
    </row>
    <row r="127" spans="1:12" s="155" customFormat="1" ht="16.5">
      <c r="A127" s="48"/>
      <c r="B127" s="48"/>
      <c r="C127" s="48" t="s">
        <v>157</v>
      </c>
      <c r="D127" s="48"/>
      <c r="E127" s="222">
        <v>0.0025</v>
      </c>
      <c r="F127" s="161"/>
      <c r="G127" s="146">
        <f>SUM(G172+G209)*E127</f>
        <v>24340.75</v>
      </c>
      <c r="H127" s="48"/>
      <c r="I127" s="48"/>
      <c r="J127" s="48"/>
      <c r="K127" s="48"/>
      <c r="L127" s="135"/>
    </row>
    <row r="128" spans="1:12" s="155" customFormat="1" ht="16.5">
      <c r="A128" s="48"/>
      <c r="B128" s="48"/>
      <c r="C128" s="48" t="s">
        <v>400</v>
      </c>
      <c r="D128" s="48"/>
      <c r="E128" s="147">
        <v>500</v>
      </c>
      <c r="F128" s="57">
        <f>F200</f>
        <v>10</v>
      </c>
      <c r="G128" s="146">
        <f>SUM(F128*E128)</f>
        <v>5000</v>
      </c>
      <c r="H128" s="48"/>
      <c r="I128" s="48"/>
      <c r="J128" s="48"/>
      <c r="K128" s="48"/>
      <c r="L128" s="135"/>
    </row>
    <row r="129" spans="1:12" s="155" customFormat="1" ht="16.5">
      <c r="A129" s="48"/>
      <c r="B129" s="48"/>
      <c r="C129" s="48" t="s">
        <v>401</v>
      </c>
      <c r="D129" s="48"/>
      <c r="E129" s="147">
        <v>1000</v>
      </c>
      <c r="F129" s="180">
        <v>5</v>
      </c>
      <c r="G129" s="146">
        <f>SUM(F129*E129)</f>
        <v>5000</v>
      </c>
      <c r="H129" s="48"/>
      <c r="I129" s="48"/>
      <c r="J129" s="48"/>
      <c r="K129" s="48"/>
      <c r="L129" s="135"/>
    </row>
    <row r="130" spans="1:12" s="155" customFormat="1" ht="16.5">
      <c r="A130" s="48"/>
      <c r="B130" s="48"/>
      <c r="C130" s="48" t="s">
        <v>300</v>
      </c>
      <c r="D130" s="48"/>
      <c r="E130" s="161"/>
      <c r="F130" s="161"/>
      <c r="G130" s="195">
        <v>0.005</v>
      </c>
      <c r="H130" s="48"/>
      <c r="I130" s="48"/>
      <c r="J130" s="48"/>
      <c r="K130" s="48"/>
      <c r="L130" s="135"/>
    </row>
    <row r="131" spans="1:12" s="155" customFormat="1" ht="16.5">
      <c r="A131" s="48"/>
      <c r="B131" s="48"/>
      <c r="C131" s="48" t="s">
        <v>301</v>
      </c>
      <c r="D131" s="48"/>
      <c r="E131" s="161"/>
      <c r="F131" s="161"/>
      <c r="G131" s="156">
        <f>E36</f>
        <v>11.66</v>
      </c>
      <c r="H131" s="48"/>
      <c r="I131" s="48"/>
      <c r="J131" s="48"/>
      <c r="K131" s="48"/>
      <c r="L131" s="135"/>
    </row>
    <row r="132" spans="1:12" s="155" customFormat="1" ht="7.5" customHeight="1">
      <c r="A132" s="48"/>
      <c r="B132" s="48"/>
      <c r="C132" s="48"/>
      <c r="D132" s="48"/>
      <c r="E132" s="48"/>
      <c r="F132" s="48"/>
      <c r="G132" s="48"/>
      <c r="H132" s="48"/>
      <c r="I132" s="48"/>
      <c r="J132" s="48"/>
      <c r="K132" s="48"/>
      <c r="L132" s="135"/>
    </row>
    <row r="133" spans="1:12" s="155" customFormat="1" ht="16.5">
      <c r="A133" s="48"/>
      <c r="B133" s="57" t="s">
        <v>41</v>
      </c>
      <c r="C133" s="48"/>
      <c r="D133" s="154" t="s">
        <v>37</v>
      </c>
      <c r="E133" s="154" t="s">
        <v>7</v>
      </c>
      <c r="F133" s="154" t="s">
        <v>321</v>
      </c>
      <c r="G133" s="154" t="s">
        <v>264</v>
      </c>
      <c r="H133" s="48" t="s">
        <v>1</v>
      </c>
      <c r="I133" s="48"/>
      <c r="J133" s="48"/>
      <c r="K133" s="48"/>
      <c r="L133" s="135"/>
    </row>
    <row r="134" spans="1:12" s="155" customFormat="1" ht="16.5">
      <c r="A134" s="48"/>
      <c r="B134" s="48"/>
      <c r="C134" s="48" t="s">
        <v>159</v>
      </c>
      <c r="D134" s="158"/>
      <c r="E134" s="144">
        <v>7875</v>
      </c>
      <c r="F134" s="180">
        <v>10</v>
      </c>
      <c r="G134" s="146">
        <f>SUM(F134*E134)</f>
        <v>78750</v>
      </c>
      <c r="H134" s="48"/>
      <c r="I134" s="48"/>
      <c r="J134" s="48"/>
      <c r="K134" s="48"/>
      <c r="L134" s="135"/>
    </row>
    <row r="135" spans="1:12" s="155" customFormat="1" ht="16.5">
      <c r="A135" s="48"/>
      <c r="B135" s="48"/>
      <c r="C135" s="48" t="s">
        <v>404</v>
      </c>
      <c r="D135" s="223">
        <v>6</v>
      </c>
      <c r="E135" s="144">
        <v>100</v>
      </c>
      <c r="F135" s="180">
        <v>12</v>
      </c>
      <c r="G135" s="146">
        <f>SUM(E135*F135*D135)</f>
        <v>7200</v>
      </c>
      <c r="H135" s="48"/>
      <c r="I135" s="48"/>
      <c r="J135" s="48"/>
      <c r="K135" s="48"/>
      <c r="L135" s="135"/>
    </row>
    <row r="136" spans="1:12" s="155" customFormat="1" ht="16.5">
      <c r="A136" s="48"/>
      <c r="B136" s="48"/>
      <c r="C136" s="48"/>
      <c r="D136" s="48"/>
      <c r="E136" s="48"/>
      <c r="F136" s="48"/>
      <c r="G136" s="144"/>
      <c r="H136" s="48"/>
      <c r="I136" s="48"/>
      <c r="J136" s="48"/>
      <c r="K136" s="48"/>
      <c r="L136" s="135"/>
    </row>
    <row r="137" spans="1:12" s="155" customFormat="1" ht="7.5" customHeight="1">
      <c r="A137" s="48"/>
      <c r="B137" s="48"/>
      <c r="C137" s="48"/>
      <c r="D137" s="48"/>
      <c r="E137" s="48"/>
      <c r="F137" s="48"/>
      <c r="G137" s="48"/>
      <c r="H137" s="48"/>
      <c r="I137" s="48"/>
      <c r="J137" s="48"/>
      <c r="K137" s="48"/>
      <c r="L137" s="135"/>
    </row>
    <row r="138" spans="1:12" s="155" customFormat="1" ht="16.5">
      <c r="A138" s="48"/>
      <c r="B138" s="57" t="s">
        <v>183</v>
      </c>
      <c r="C138" s="48"/>
      <c r="D138" s="48"/>
      <c r="E138" s="154" t="s">
        <v>7</v>
      </c>
      <c r="F138" s="154" t="s">
        <v>296</v>
      </c>
      <c r="G138" s="48"/>
      <c r="H138" s="48" t="s">
        <v>1</v>
      </c>
      <c r="I138" s="48"/>
      <c r="J138" s="48"/>
      <c r="K138" s="48"/>
      <c r="L138" s="135"/>
    </row>
    <row r="139" spans="1:12" s="155" customFormat="1" ht="16.5">
      <c r="A139" s="48"/>
      <c r="B139" s="48"/>
      <c r="C139" s="48" t="s">
        <v>160</v>
      </c>
      <c r="D139" s="48"/>
      <c r="E139" s="196"/>
      <c r="F139" s="162">
        <f>G35</f>
        <v>0</v>
      </c>
      <c r="G139" s="144">
        <v>6500</v>
      </c>
      <c r="H139" s="48"/>
      <c r="I139" s="48"/>
      <c r="J139" s="48"/>
      <c r="K139" s="48"/>
      <c r="L139" s="135"/>
    </row>
    <row r="140" spans="1:12" s="155" customFormat="1" ht="16.5">
      <c r="A140" s="48"/>
      <c r="B140" s="48"/>
      <c r="C140" s="48" t="s">
        <v>161</v>
      </c>
      <c r="D140" s="48"/>
      <c r="E140" s="48"/>
      <c r="F140" s="48"/>
      <c r="G140" s="144">
        <v>2000</v>
      </c>
      <c r="H140" s="48"/>
      <c r="I140" s="48"/>
      <c r="J140" s="48"/>
      <c r="K140" s="48"/>
      <c r="L140" s="135"/>
    </row>
    <row r="141" spans="1:12" s="155" customFormat="1" ht="16.5">
      <c r="A141" s="48"/>
      <c r="B141" s="48"/>
      <c r="C141" s="176" t="s">
        <v>295</v>
      </c>
      <c r="D141" s="48"/>
      <c r="E141" s="144">
        <v>40</v>
      </c>
      <c r="F141" s="162">
        <f>G18</f>
        <v>780</v>
      </c>
      <c r="G141" s="146">
        <f>SUM(E141*F141)</f>
        <v>31200</v>
      </c>
      <c r="H141" s="48"/>
      <c r="I141" s="48"/>
      <c r="J141" s="48"/>
      <c r="K141" s="48"/>
      <c r="L141" s="135"/>
    </row>
    <row r="142" spans="1:12" s="155" customFormat="1" ht="16.5">
      <c r="A142" s="48"/>
      <c r="B142" s="48"/>
      <c r="C142" s="48" t="s">
        <v>192</v>
      </c>
      <c r="D142" s="48"/>
      <c r="E142" s="196">
        <v>25</v>
      </c>
      <c r="F142" s="162">
        <f>ROUND(G18*(G23/G20),0)</f>
        <v>693</v>
      </c>
      <c r="G142" s="146">
        <f>SUM(E142*F142)</f>
        <v>17325</v>
      </c>
      <c r="H142" s="48"/>
      <c r="I142" s="48"/>
      <c r="J142" s="48"/>
      <c r="K142" s="48"/>
      <c r="L142" s="135"/>
    </row>
    <row r="143" spans="1:12" s="155" customFormat="1" ht="16.5">
      <c r="A143" s="48"/>
      <c r="B143" s="48"/>
      <c r="C143" s="48" t="s">
        <v>367</v>
      </c>
      <c r="D143" s="48"/>
      <c r="E143" s="123">
        <f>G22</f>
        <v>225</v>
      </c>
      <c r="F143" s="162">
        <f>ROUND(G18*(G21/G20),0)</f>
        <v>87</v>
      </c>
      <c r="G143" s="146">
        <f>SUM(E143*F143)</f>
        <v>19575</v>
      </c>
      <c r="H143" s="48"/>
      <c r="I143" s="48"/>
      <c r="J143" s="48"/>
      <c r="K143" s="48"/>
      <c r="L143" s="135"/>
    </row>
    <row r="144" spans="1:12" s="155" customFormat="1" ht="16.5">
      <c r="A144" s="48"/>
      <c r="B144" s="48"/>
      <c r="C144" s="48" t="s">
        <v>162</v>
      </c>
      <c r="D144" s="48"/>
      <c r="E144" s="48"/>
      <c r="F144" s="48"/>
      <c r="G144" s="144">
        <v>2000</v>
      </c>
      <c r="H144" s="48"/>
      <c r="I144" s="48"/>
      <c r="J144" s="48"/>
      <c r="K144" s="48"/>
      <c r="L144" s="135"/>
    </row>
    <row r="145" spans="1:12" s="155" customFormat="1" ht="16.5">
      <c r="A145" s="48"/>
      <c r="B145" s="48"/>
      <c r="C145" s="48" t="s">
        <v>181</v>
      </c>
      <c r="D145" s="48"/>
      <c r="E145" s="48"/>
      <c r="F145" s="48"/>
      <c r="G145" s="144">
        <v>2000</v>
      </c>
      <c r="H145" s="48"/>
      <c r="I145" s="48"/>
      <c r="J145" s="48"/>
      <c r="K145" s="48"/>
      <c r="L145" s="135"/>
    </row>
    <row r="146" spans="1:12" s="155" customFormat="1" ht="7.5" customHeight="1">
      <c r="A146" s="48"/>
      <c r="B146" s="48"/>
      <c r="C146" s="48"/>
      <c r="D146" s="48"/>
      <c r="E146" s="48"/>
      <c r="F146" s="48"/>
      <c r="G146" s="48"/>
      <c r="H146" s="48"/>
      <c r="I146" s="48"/>
      <c r="J146" s="48"/>
      <c r="K146" s="48"/>
      <c r="L146" s="135"/>
    </row>
    <row r="147" spans="1:12" s="155" customFormat="1" ht="16.5">
      <c r="A147" s="48"/>
      <c r="B147" s="257" t="s">
        <v>188</v>
      </c>
      <c r="C147" s="258"/>
      <c r="D147" s="258"/>
      <c r="E147" s="258"/>
      <c r="F147" s="258"/>
      <c r="G147" s="258"/>
      <c r="H147" s="258"/>
      <c r="I147" s="48"/>
      <c r="J147" s="48"/>
      <c r="K147" s="48"/>
      <c r="L147" s="135"/>
    </row>
    <row r="148" spans="1:12" s="155" customFormat="1" ht="7.5" customHeight="1">
      <c r="A148" s="48"/>
      <c r="B148" s="48"/>
      <c r="C148" s="48"/>
      <c r="D148" s="48"/>
      <c r="E148" s="48"/>
      <c r="F148" s="48"/>
      <c r="G148" s="48"/>
      <c r="H148" s="48" t="s">
        <v>1</v>
      </c>
      <c r="I148" s="48"/>
      <c r="J148" s="48"/>
      <c r="K148" s="48"/>
      <c r="L148" s="135"/>
    </row>
    <row r="149" spans="1:12" s="155" customFormat="1" ht="16.5">
      <c r="A149" s="48"/>
      <c r="B149" s="57" t="s">
        <v>173</v>
      </c>
      <c r="C149" s="48"/>
      <c r="D149" s="48"/>
      <c r="E149" s="48"/>
      <c r="F149" s="48"/>
      <c r="G149" s="48"/>
      <c r="H149" s="48"/>
      <c r="I149" s="48"/>
      <c r="J149" s="48"/>
      <c r="K149" s="48"/>
      <c r="L149" s="135"/>
    </row>
    <row r="150" spans="1:12" s="155" customFormat="1" ht="16.5">
      <c r="A150" s="48"/>
      <c r="B150" s="48"/>
      <c r="C150" s="48"/>
      <c r="D150" s="48"/>
      <c r="E150" s="48"/>
      <c r="F150" s="48"/>
      <c r="G150" s="48"/>
      <c r="H150" s="48"/>
      <c r="I150" s="48"/>
      <c r="J150" s="48"/>
      <c r="K150" s="48"/>
      <c r="L150" s="135"/>
    </row>
    <row r="151" spans="1:12" s="155" customFormat="1" ht="16.5">
      <c r="A151" s="48"/>
      <c r="B151" s="159"/>
      <c r="C151" s="57" t="s">
        <v>168</v>
      </c>
      <c r="D151" s="48"/>
      <c r="E151" s="48"/>
      <c r="F151" s="48"/>
      <c r="G151" s="48"/>
      <c r="H151" s="48"/>
      <c r="I151" s="48"/>
      <c r="J151" s="48"/>
      <c r="K151" s="48"/>
      <c r="L151" s="135"/>
    </row>
    <row r="152" spans="1:12" s="155" customFormat="1" ht="16.5">
      <c r="A152" s="48"/>
      <c r="B152" s="159"/>
      <c r="C152" s="48" t="s">
        <v>165</v>
      </c>
      <c r="D152" s="48"/>
      <c r="E152" s="48"/>
      <c r="F152" s="48"/>
      <c r="G152" s="180">
        <v>20</v>
      </c>
      <c r="H152" s="48" t="s">
        <v>42</v>
      </c>
      <c r="I152" s="48"/>
      <c r="J152" s="48"/>
      <c r="K152" s="48"/>
      <c r="L152" s="135"/>
    </row>
    <row r="153" spans="1:12" s="155" customFormat="1" ht="16.5">
      <c r="A153" s="48"/>
      <c r="B153" s="159"/>
      <c r="C153" s="48" t="s">
        <v>166</v>
      </c>
      <c r="D153" s="48"/>
      <c r="E153" s="48"/>
      <c r="F153" s="48"/>
      <c r="G153" s="180">
        <v>20</v>
      </c>
      <c r="H153" s="48" t="s">
        <v>42</v>
      </c>
      <c r="I153" s="48"/>
      <c r="J153" s="48"/>
      <c r="K153" s="48"/>
      <c r="L153" s="135"/>
    </row>
    <row r="154" spans="1:12" s="155" customFormat="1" ht="16.5">
      <c r="A154" s="48"/>
      <c r="B154" s="159"/>
      <c r="C154" s="48" t="s">
        <v>47</v>
      </c>
      <c r="D154" s="48"/>
      <c r="E154" s="48"/>
      <c r="F154" s="48"/>
      <c r="G154" s="180">
        <v>15</v>
      </c>
      <c r="H154" s="48" t="s">
        <v>42</v>
      </c>
      <c r="I154" s="48"/>
      <c r="J154" s="48"/>
      <c r="K154" s="48"/>
      <c r="L154" s="135"/>
    </row>
    <row r="155" spans="1:12" s="155" customFormat="1" ht="16.5">
      <c r="A155" s="48"/>
      <c r="B155" s="159"/>
      <c r="C155" s="48" t="s">
        <v>167</v>
      </c>
      <c r="D155" s="48"/>
      <c r="E155" s="48"/>
      <c r="F155" s="48"/>
      <c r="G155" s="180">
        <v>15</v>
      </c>
      <c r="H155" s="48" t="s">
        <v>42</v>
      </c>
      <c r="I155" s="48"/>
      <c r="J155" s="48"/>
      <c r="K155" s="48"/>
      <c r="L155" s="135"/>
    </row>
    <row r="156" spans="1:12" s="155" customFormat="1" ht="7.5" customHeight="1">
      <c r="A156" s="48"/>
      <c r="B156" s="48"/>
      <c r="C156" s="48"/>
      <c r="D156" s="48"/>
      <c r="E156" s="48"/>
      <c r="F156" s="48"/>
      <c r="G156" s="48"/>
      <c r="H156" s="48"/>
      <c r="I156" s="48"/>
      <c r="J156" s="48"/>
      <c r="K156" s="48"/>
      <c r="L156" s="135"/>
    </row>
    <row r="157" spans="1:12" s="155" customFormat="1" ht="16.5">
      <c r="A157" s="48"/>
      <c r="B157" s="159"/>
      <c r="C157" s="57" t="s">
        <v>169</v>
      </c>
      <c r="D157" s="48"/>
      <c r="E157" s="48"/>
      <c r="F157" s="48"/>
      <c r="G157" s="48"/>
      <c r="H157" s="48"/>
      <c r="I157" s="48"/>
      <c r="J157" s="48"/>
      <c r="K157" s="48"/>
      <c r="L157" s="135"/>
    </row>
    <row r="158" spans="1:12" s="155" customFormat="1" ht="16.5">
      <c r="A158" s="48"/>
      <c r="B158" s="159"/>
      <c r="C158" s="48" t="s">
        <v>165</v>
      </c>
      <c r="D158" s="48"/>
      <c r="E158" s="48"/>
      <c r="F158" s="48"/>
      <c r="G158" s="195">
        <v>0.05</v>
      </c>
      <c r="H158" s="48"/>
      <c r="I158" s="48"/>
      <c r="J158" s="48"/>
      <c r="K158" s="48"/>
      <c r="L158" s="135"/>
    </row>
    <row r="159" spans="1:12" s="155" customFormat="1" ht="16.5">
      <c r="A159" s="48"/>
      <c r="B159" s="159"/>
      <c r="C159" s="48" t="s">
        <v>166</v>
      </c>
      <c r="D159" s="48"/>
      <c r="E159" s="48"/>
      <c r="F159" s="48"/>
      <c r="G159" s="195">
        <v>0.05</v>
      </c>
      <c r="H159" s="48"/>
      <c r="I159" s="48"/>
      <c r="J159" s="48"/>
      <c r="K159" s="48"/>
      <c r="L159" s="135"/>
    </row>
    <row r="160" spans="1:12" s="155" customFormat="1" ht="16.5">
      <c r="A160" s="48"/>
      <c r="B160" s="159"/>
      <c r="C160" s="48" t="s">
        <v>47</v>
      </c>
      <c r="D160" s="48"/>
      <c r="E160" s="48"/>
      <c r="F160" s="48"/>
      <c r="G160" s="195">
        <v>0.15</v>
      </c>
      <c r="H160" s="48"/>
      <c r="I160" s="48"/>
      <c r="J160" s="48"/>
      <c r="K160" s="48"/>
      <c r="L160" s="135"/>
    </row>
    <row r="161" spans="1:12" s="155" customFormat="1" ht="16.5">
      <c r="A161" s="48"/>
      <c r="B161" s="159"/>
      <c r="C161" s="48" t="s">
        <v>167</v>
      </c>
      <c r="D161" s="48"/>
      <c r="E161" s="48"/>
      <c r="F161" s="48"/>
      <c r="G161" s="195">
        <v>0.3</v>
      </c>
      <c r="H161" s="48"/>
      <c r="I161" s="48"/>
      <c r="J161" s="48"/>
      <c r="K161" s="48"/>
      <c r="L161" s="135"/>
    </row>
    <row r="162" spans="1:12" s="155" customFormat="1" ht="7.5" customHeight="1">
      <c r="A162" s="48"/>
      <c r="B162" s="48"/>
      <c r="C162" s="48"/>
      <c r="D162" s="48"/>
      <c r="E162" s="48"/>
      <c r="F162" s="48"/>
      <c r="G162" s="48"/>
      <c r="H162" s="48"/>
      <c r="I162" s="48"/>
      <c r="J162" s="48"/>
      <c r="K162" s="48"/>
      <c r="L162" s="135"/>
    </row>
    <row r="163" spans="1:12" s="155" customFormat="1" ht="18">
      <c r="A163" s="48"/>
      <c r="B163" s="259" t="s">
        <v>151</v>
      </c>
      <c r="C163" s="260"/>
      <c r="D163" s="260"/>
      <c r="E163" s="260"/>
      <c r="F163" s="260"/>
      <c r="G163" s="260"/>
      <c r="H163" s="260"/>
      <c r="I163" s="48"/>
      <c r="J163" s="48"/>
      <c r="K163" s="48"/>
      <c r="L163" s="135"/>
    </row>
    <row r="164" spans="1:12" s="155" customFormat="1" ht="7.5" customHeight="1">
      <c r="A164" s="48"/>
      <c r="B164" s="48"/>
      <c r="C164" s="48"/>
      <c r="D164" s="48"/>
      <c r="E164" s="48"/>
      <c r="F164" s="48"/>
      <c r="G164" s="48"/>
      <c r="H164" s="48" t="s">
        <v>1</v>
      </c>
      <c r="I164" s="48"/>
      <c r="J164" s="48"/>
      <c r="K164" s="48"/>
      <c r="L164" s="135"/>
    </row>
    <row r="165" spans="1:12" s="155" customFormat="1" ht="16.5">
      <c r="A165" s="48"/>
      <c r="B165" s="159"/>
      <c r="C165" s="57" t="s">
        <v>164</v>
      </c>
      <c r="D165" s="48"/>
      <c r="E165" s="48"/>
      <c r="F165" s="48"/>
      <c r="G165" s="48" t="s">
        <v>1</v>
      </c>
      <c r="H165" s="48"/>
      <c r="I165" s="48" t="s">
        <v>1</v>
      </c>
      <c r="J165" s="48"/>
      <c r="K165" s="48"/>
      <c r="L165" s="135"/>
    </row>
    <row r="166" spans="1:12" s="155" customFormat="1" ht="16.5">
      <c r="A166" s="48"/>
      <c r="B166" s="159"/>
      <c r="C166" s="177" t="str">
        <f>"Owned land "&amp;TEXT(G23,"#,###")&amp;" ac. @ "&amp;TEXT(G24,"$#,###")&amp;"/acre"</f>
        <v>Owned land 2,560 ac. @ $6,900/acre</v>
      </c>
      <c r="D166" s="48"/>
      <c r="E166" s="48"/>
      <c r="F166" s="48"/>
      <c r="G166" s="146">
        <f>$G$23*$G$24</f>
        <v>17664000</v>
      </c>
      <c r="H166" s="48"/>
      <c r="I166" s="48"/>
      <c r="J166" s="48"/>
      <c r="K166" s="48"/>
      <c r="L166" s="135"/>
    </row>
    <row r="167" spans="1:12" s="155" customFormat="1" ht="7.5" customHeight="1">
      <c r="A167" s="48"/>
      <c r="B167" s="48"/>
      <c r="C167" s="48"/>
      <c r="D167" s="48"/>
      <c r="E167" s="48"/>
      <c r="F167" s="48"/>
      <c r="G167" s="48"/>
      <c r="H167" s="48"/>
      <c r="I167" s="48"/>
      <c r="J167" s="48"/>
      <c r="K167" s="48"/>
      <c r="L167" s="135"/>
    </row>
    <row r="168" spans="1:12" s="155" customFormat="1" ht="16.5">
      <c r="A168" s="48"/>
      <c r="B168" s="48"/>
      <c r="C168" s="57" t="s">
        <v>91</v>
      </c>
      <c r="D168" s="48"/>
      <c r="E168" s="154" t="s">
        <v>319</v>
      </c>
      <c r="F168" s="154" t="s">
        <v>318</v>
      </c>
      <c r="G168" s="48"/>
      <c r="H168" s="48"/>
      <c r="I168" s="48"/>
      <c r="J168" s="48"/>
      <c r="K168" s="48"/>
      <c r="L168" s="135"/>
    </row>
    <row r="169" spans="1:12" s="155" customFormat="1" ht="16.5">
      <c r="A169" s="48"/>
      <c r="B169" s="48"/>
      <c r="C169" s="256" t="s">
        <v>317</v>
      </c>
      <c r="D169" s="256"/>
      <c r="E169" s="209">
        <v>312000</v>
      </c>
      <c r="F169" s="156">
        <v>18</v>
      </c>
      <c r="G169" s="146">
        <f>F169*E169</f>
        <v>5616000</v>
      </c>
      <c r="H169" s="48"/>
      <c r="I169" s="48"/>
      <c r="J169" s="48"/>
      <c r="K169" s="48"/>
      <c r="L169" s="135"/>
    </row>
    <row r="170" spans="1:12" s="155" customFormat="1" ht="16.5">
      <c r="A170" s="48"/>
      <c r="B170" s="48"/>
      <c r="C170" s="256"/>
      <c r="D170" s="256"/>
      <c r="E170" s="48"/>
      <c r="F170" s="48"/>
      <c r="G170" s="159"/>
      <c r="H170" s="48"/>
      <c r="I170" s="160"/>
      <c r="J170" s="48"/>
      <c r="K170" s="48"/>
      <c r="L170" s="135"/>
    </row>
    <row r="171" spans="1:12" s="155" customFormat="1" ht="16.5">
      <c r="A171" s="48"/>
      <c r="B171" s="48"/>
      <c r="C171" s="48" t="s">
        <v>212</v>
      </c>
      <c r="D171" s="48"/>
      <c r="E171" s="48"/>
      <c r="F171" s="48"/>
      <c r="G171" s="201">
        <v>150000</v>
      </c>
      <c r="H171" s="48"/>
      <c r="I171" s="48"/>
      <c r="J171" s="48"/>
      <c r="K171" s="48"/>
      <c r="L171" s="135"/>
    </row>
    <row r="172" spans="1:12" s="155" customFormat="1" ht="16.5">
      <c r="A172" s="48"/>
      <c r="B172" s="48"/>
      <c r="C172" s="57" t="s">
        <v>44</v>
      </c>
      <c r="D172" s="48"/>
      <c r="E172" s="48"/>
      <c r="F172" s="48"/>
      <c r="G172" s="146">
        <f>SUM(G169:G171)</f>
        <v>5766000</v>
      </c>
      <c r="H172" s="48"/>
      <c r="I172" s="48"/>
      <c r="J172" s="48"/>
      <c r="K172" s="48"/>
      <c r="L172" s="135"/>
    </row>
    <row r="173" spans="1:12" s="155" customFormat="1" ht="7.5" customHeight="1">
      <c r="A173" s="48"/>
      <c r="B173" s="159"/>
      <c r="C173" s="159"/>
      <c r="D173" s="159"/>
      <c r="E173" s="159"/>
      <c r="F173" s="159"/>
      <c r="G173" s="159"/>
      <c r="H173" s="48"/>
      <c r="I173" s="48"/>
      <c r="J173" s="48"/>
      <c r="K173" s="48"/>
      <c r="L173" s="135"/>
    </row>
    <row r="174" spans="1:12" s="155" customFormat="1" ht="16.5">
      <c r="A174" s="48"/>
      <c r="B174" s="48"/>
      <c r="C174" s="57" t="s">
        <v>45</v>
      </c>
      <c r="D174" s="48"/>
      <c r="E174" s="154" t="s">
        <v>304</v>
      </c>
      <c r="F174" s="154" t="s">
        <v>37</v>
      </c>
      <c r="G174" s="48"/>
      <c r="H174" s="48"/>
      <c r="I174" s="48"/>
      <c r="J174" s="48"/>
      <c r="K174" s="48"/>
      <c r="L174" s="135"/>
    </row>
    <row r="175" spans="1:12" s="155" customFormat="1" ht="16.5">
      <c r="A175" s="48"/>
      <c r="B175" s="48"/>
      <c r="C175" s="48" t="s">
        <v>185</v>
      </c>
      <c r="D175" s="48"/>
      <c r="E175" s="144">
        <v>74000</v>
      </c>
      <c r="F175" s="145">
        <v>1</v>
      </c>
      <c r="G175" s="146">
        <f aca="true" t="shared" si="3" ref="G175:G181">SUM(F175*E175)</f>
        <v>74000</v>
      </c>
      <c r="H175" s="48"/>
      <c r="I175" s="160"/>
      <c r="J175" s="48"/>
      <c r="K175" s="48"/>
      <c r="L175" s="135"/>
    </row>
    <row r="176" spans="1:12" s="155" customFormat="1" ht="16.5">
      <c r="A176" s="48"/>
      <c r="B176" s="48"/>
      <c r="C176" s="48" t="s">
        <v>186</v>
      </c>
      <c r="D176" s="48"/>
      <c r="E176" s="147">
        <v>45000</v>
      </c>
      <c r="F176" s="145">
        <v>1</v>
      </c>
      <c r="G176" s="146">
        <f t="shared" si="3"/>
        <v>45000</v>
      </c>
      <c r="H176" s="48"/>
      <c r="I176" s="48"/>
      <c r="J176" s="48"/>
      <c r="K176" s="48"/>
      <c r="L176" s="135"/>
    </row>
    <row r="177" spans="1:12" s="155" customFormat="1" ht="16.5">
      <c r="A177" s="48"/>
      <c r="B177" s="48"/>
      <c r="C177" s="48" t="s">
        <v>306</v>
      </c>
      <c r="D177" s="48"/>
      <c r="E177" s="147">
        <v>50000</v>
      </c>
      <c r="F177" s="145">
        <v>1</v>
      </c>
      <c r="G177" s="146">
        <f t="shared" si="3"/>
        <v>50000</v>
      </c>
      <c r="H177" s="48"/>
      <c r="I177" s="48"/>
      <c r="J177" s="48"/>
      <c r="K177" s="48"/>
      <c r="L177" s="135"/>
    </row>
    <row r="178" spans="1:12" s="155" customFormat="1" ht="16.5">
      <c r="A178" s="48"/>
      <c r="B178" s="48"/>
      <c r="C178" s="48" t="s">
        <v>307</v>
      </c>
      <c r="D178" s="48"/>
      <c r="E178" s="147">
        <v>150000</v>
      </c>
      <c r="F178" s="145">
        <v>0</v>
      </c>
      <c r="G178" s="146">
        <f t="shared" si="3"/>
        <v>0</v>
      </c>
      <c r="H178" s="48"/>
      <c r="I178" s="48"/>
      <c r="J178" s="48"/>
      <c r="K178" s="48"/>
      <c r="L178" s="135"/>
    </row>
    <row r="179" spans="1:12" s="155" customFormat="1" ht="16.5">
      <c r="A179" s="48"/>
      <c r="B179" s="48"/>
      <c r="C179" s="48" t="s">
        <v>305</v>
      </c>
      <c r="D179" s="48"/>
      <c r="E179" s="147">
        <v>40000</v>
      </c>
      <c r="F179" s="145">
        <v>3</v>
      </c>
      <c r="G179" s="146">
        <f t="shared" si="3"/>
        <v>120000</v>
      </c>
      <c r="H179" s="48"/>
      <c r="I179" s="48"/>
      <c r="J179" s="48"/>
      <c r="K179" s="48"/>
      <c r="L179" s="135"/>
    </row>
    <row r="180" spans="1:12" s="155" customFormat="1" ht="16.5">
      <c r="A180" s="48"/>
      <c r="B180" s="48"/>
      <c r="C180" s="48" t="s">
        <v>308</v>
      </c>
      <c r="D180" s="48"/>
      <c r="E180" s="147">
        <v>25000</v>
      </c>
      <c r="F180" s="57">
        <f>G16</f>
        <v>6</v>
      </c>
      <c r="G180" s="146">
        <f t="shared" si="3"/>
        <v>150000</v>
      </c>
      <c r="H180" s="48"/>
      <c r="I180" s="48"/>
      <c r="J180" s="48"/>
      <c r="K180" s="48"/>
      <c r="L180" s="135"/>
    </row>
    <row r="181" spans="1:12" s="155" customFormat="1" ht="16.5">
      <c r="A181" s="48"/>
      <c r="B181" s="48"/>
      <c r="C181" s="48" t="s">
        <v>187</v>
      </c>
      <c r="D181" s="48"/>
      <c r="E181" s="144">
        <v>120000</v>
      </c>
      <c r="F181" s="57">
        <f>G16</f>
        <v>6</v>
      </c>
      <c r="G181" s="148">
        <f t="shared" si="3"/>
        <v>720000</v>
      </c>
      <c r="H181" s="48"/>
      <c r="I181" s="48"/>
      <c r="J181" s="48"/>
      <c r="K181" s="48"/>
      <c r="L181" s="135"/>
    </row>
    <row r="182" spans="1:12" s="155" customFormat="1" ht="16.5">
      <c r="A182" s="48"/>
      <c r="B182" s="48"/>
      <c r="C182" s="57" t="s">
        <v>46</v>
      </c>
      <c r="D182" s="48"/>
      <c r="E182" s="48"/>
      <c r="F182" s="48"/>
      <c r="G182" s="146">
        <f>SUM(G175:G181)</f>
        <v>1159000</v>
      </c>
      <c r="H182" s="48"/>
      <c r="I182" s="48"/>
      <c r="J182" s="48"/>
      <c r="K182" s="48"/>
      <c r="L182" s="135"/>
    </row>
    <row r="183" spans="1:12" s="155" customFormat="1" ht="7.5" customHeight="1">
      <c r="A183" s="48"/>
      <c r="B183" s="48"/>
      <c r="C183" s="48"/>
      <c r="D183" s="48"/>
      <c r="E183" s="48"/>
      <c r="F183" s="48"/>
      <c r="G183" s="48"/>
      <c r="H183" s="48"/>
      <c r="I183" s="48"/>
      <c r="J183" s="48"/>
      <c r="K183" s="48"/>
      <c r="L183" s="135"/>
    </row>
    <row r="184" spans="1:12" s="155" customFormat="1" ht="16.5">
      <c r="A184" s="48"/>
      <c r="B184" s="159"/>
      <c r="C184" s="57" t="s">
        <v>47</v>
      </c>
      <c r="D184" s="48"/>
      <c r="E184" s="154" t="s">
        <v>304</v>
      </c>
      <c r="F184" s="154" t="s">
        <v>37</v>
      </c>
      <c r="G184" s="48"/>
      <c r="H184" s="48"/>
      <c r="I184" s="48"/>
      <c r="J184" s="48"/>
      <c r="K184" s="48"/>
      <c r="L184" s="135"/>
    </row>
    <row r="185" spans="1:12" s="155" customFormat="1" ht="16.5">
      <c r="A185" s="48"/>
      <c r="B185" s="159"/>
      <c r="C185" s="145" t="s">
        <v>340</v>
      </c>
      <c r="D185" s="48"/>
      <c r="E185" s="144">
        <v>110000</v>
      </c>
      <c r="F185" s="145">
        <v>1</v>
      </c>
      <c r="G185" s="146">
        <f>SUM(E185*F185)</f>
        <v>110000</v>
      </c>
      <c r="H185" s="48"/>
      <c r="I185" s="48"/>
      <c r="J185" s="48"/>
      <c r="K185" s="48"/>
      <c r="L185" s="135"/>
    </row>
    <row r="186" spans="1:12" s="155" customFormat="1" ht="16.5">
      <c r="A186" s="48"/>
      <c r="B186" s="159"/>
      <c r="C186" s="145" t="s">
        <v>341</v>
      </c>
      <c r="D186" s="48"/>
      <c r="E186" s="144">
        <v>33600</v>
      </c>
      <c r="F186" s="145">
        <v>1</v>
      </c>
      <c r="G186" s="146">
        <f aca="true" t="shared" si="4" ref="G186:G208">SUM(E186*F186)</f>
        <v>33600</v>
      </c>
      <c r="H186" s="48"/>
      <c r="I186" s="48"/>
      <c r="J186" s="48"/>
      <c r="K186" s="48"/>
      <c r="L186" s="135"/>
    </row>
    <row r="187" spans="1:12" s="155" customFormat="1" ht="16.5">
      <c r="A187" s="48"/>
      <c r="B187" s="159"/>
      <c r="C187" s="145" t="s">
        <v>358</v>
      </c>
      <c r="D187" s="48"/>
      <c r="E187" s="144">
        <v>300000</v>
      </c>
      <c r="F187" s="145">
        <v>1</v>
      </c>
      <c r="G187" s="146">
        <f t="shared" si="4"/>
        <v>300000</v>
      </c>
      <c r="H187" s="48"/>
      <c r="I187" s="48"/>
      <c r="J187" s="48"/>
      <c r="K187" s="48"/>
      <c r="L187" s="135"/>
    </row>
    <row r="188" spans="1:12" s="155" customFormat="1" ht="16.5">
      <c r="A188" s="48"/>
      <c r="B188" s="159"/>
      <c r="C188" s="145" t="s">
        <v>343</v>
      </c>
      <c r="D188" s="48"/>
      <c r="E188" s="144">
        <v>56000</v>
      </c>
      <c r="F188" s="145">
        <v>3</v>
      </c>
      <c r="G188" s="146">
        <f t="shared" si="4"/>
        <v>168000</v>
      </c>
      <c r="H188" s="48"/>
      <c r="I188" s="48"/>
      <c r="J188" s="48"/>
      <c r="K188" s="48"/>
      <c r="L188" s="135"/>
    </row>
    <row r="189" spans="1:12" s="155" customFormat="1" ht="16.5">
      <c r="A189" s="48"/>
      <c r="B189" s="159"/>
      <c r="C189" s="145" t="s">
        <v>360</v>
      </c>
      <c r="D189" s="48"/>
      <c r="E189" s="144">
        <v>22400</v>
      </c>
      <c r="F189" s="145">
        <v>1</v>
      </c>
      <c r="G189" s="146">
        <f t="shared" si="4"/>
        <v>22400</v>
      </c>
      <c r="H189" s="48"/>
      <c r="I189" s="48"/>
      <c r="J189" s="48"/>
      <c r="K189" s="48"/>
      <c r="L189" s="135"/>
    </row>
    <row r="190" spans="1:12" s="155" customFormat="1" ht="16.5">
      <c r="A190" s="48"/>
      <c r="B190" s="159"/>
      <c r="C190" s="145" t="s">
        <v>344</v>
      </c>
      <c r="D190" s="48"/>
      <c r="E190" s="144">
        <v>320000</v>
      </c>
      <c r="F190" s="145">
        <v>2</v>
      </c>
      <c r="G190" s="146">
        <f t="shared" si="4"/>
        <v>640000</v>
      </c>
      <c r="H190" s="48"/>
      <c r="I190" s="48"/>
      <c r="J190" s="48"/>
      <c r="K190" s="48"/>
      <c r="L190" s="135"/>
    </row>
    <row r="191" spans="1:12" s="155" customFormat="1" ht="16.5">
      <c r="A191" s="48"/>
      <c r="B191" s="159"/>
      <c r="C191" s="145" t="s">
        <v>345</v>
      </c>
      <c r="D191" s="48"/>
      <c r="E191" s="144">
        <v>89600</v>
      </c>
      <c r="F191" s="145">
        <v>1</v>
      </c>
      <c r="G191" s="146">
        <f t="shared" si="4"/>
        <v>89600</v>
      </c>
      <c r="H191" s="48"/>
      <c r="I191" s="48"/>
      <c r="J191" s="48"/>
      <c r="K191" s="48"/>
      <c r="L191" s="135"/>
    </row>
    <row r="192" spans="1:12" s="155" customFormat="1" ht="16.5">
      <c r="A192" s="48"/>
      <c r="B192" s="159"/>
      <c r="C192" s="145" t="s">
        <v>346</v>
      </c>
      <c r="D192" s="48"/>
      <c r="E192" s="144">
        <v>72800</v>
      </c>
      <c r="F192" s="145">
        <v>1</v>
      </c>
      <c r="G192" s="146">
        <f t="shared" si="4"/>
        <v>72800</v>
      </c>
      <c r="H192" s="48"/>
      <c r="I192" s="48"/>
      <c r="J192" s="48"/>
      <c r="K192" s="48"/>
      <c r="L192" s="135"/>
    </row>
    <row r="193" spans="1:12" s="155" customFormat="1" ht="16.5">
      <c r="A193" s="48"/>
      <c r="B193" s="159"/>
      <c r="C193" s="145" t="s">
        <v>347</v>
      </c>
      <c r="D193" s="48"/>
      <c r="E193" s="144">
        <v>437700</v>
      </c>
      <c r="F193" s="145">
        <v>2</v>
      </c>
      <c r="G193" s="146">
        <f t="shared" si="4"/>
        <v>875400</v>
      </c>
      <c r="H193" s="48"/>
      <c r="I193" s="48"/>
      <c r="J193" s="48"/>
      <c r="K193" s="48"/>
      <c r="L193" s="135"/>
    </row>
    <row r="194" spans="1:12" s="155" customFormat="1" ht="16.5">
      <c r="A194" s="48"/>
      <c r="B194" s="159"/>
      <c r="C194" s="145" t="s">
        <v>420</v>
      </c>
      <c r="D194" s="48"/>
      <c r="E194" s="144">
        <v>524100</v>
      </c>
      <c r="F194" s="145">
        <v>1</v>
      </c>
      <c r="G194" s="146">
        <f t="shared" si="4"/>
        <v>524100</v>
      </c>
      <c r="H194" s="48"/>
      <c r="I194" s="48"/>
      <c r="J194" s="48"/>
      <c r="K194" s="48"/>
      <c r="L194" s="135"/>
    </row>
    <row r="195" spans="1:12" s="155" customFormat="1" ht="16.5">
      <c r="A195" s="48"/>
      <c r="B195" s="159"/>
      <c r="C195" s="145" t="s">
        <v>274</v>
      </c>
      <c r="D195" s="48"/>
      <c r="E195" s="144">
        <v>28000</v>
      </c>
      <c r="F195" s="145">
        <v>1</v>
      </c>
      <c r="G195" s="146">
        <f t="shared" si="4"/>
        <v>28000</v>
      </c>
      <c r="H195" s="48"/>
      <c r="I195" s="48"/>
      <c r="J195" s="48"/>
      <c r="K195" s="48"/>
      <c r="L195" s="135"/>
    </row>
    <row r="196" spans="1:12" s="155" customFormat="1" ht="16.5">
      <c r="A196" s="48"/>
      <c r="B196" s="159"/>
      <c r="C196" s="145" t="s">
        <v>348</v>
      </c>
      <c r="D196" s="48"/>
      <c r="E196" s="144">
        <v>22400</v>
      </c>
      <c r="F196" s="145">
        <v>1</v>
      </c>
      <c r="G196" s="146">
        <f t="shared" si="4"/>
        <v>22400</v>
      </c>
      <c r="H196" s="48"/>
      <c r="I196" s="48"/>
      <c r="J196" s="48"/>
      <c r="K196" s="48"/>
      <c r="L196" s="135"/>
    </row>
    <row r="197" spans="1:12" s="155" customFormat="1" ht="16.5">
      <c r="A197" s="48"/>
      <c r="B197" s="159"/>
      <c r="C197" s="145" t="s">
        <v>349</v>
      </c>
      <c r="D197" s="48"/>
      <c r="E197" s="144">
        <v>28000</v>
      </c>
      <c r="F197" s="145">
        <v>1</v>
      </c>
      <c r="G197" s="146">
        <f t="shared" si="4"/>
        <v>28000</v>
      </c>
      <c r="H197" s="48"/>
      <c r="I197" s="48"/>
      <c r="J197" s="48"/>
      <c r="K197" s="48"/>
      <c r="L197" s="135"/>
    </row>
    <row r="198" spans="1:12" s="155" customFormat="1" ht="16.5">
      <c r="A198" s="48"/>
      <c r="B198" s="159"/>
      <c r="C198" s="145" t="s">
        <v>350</v>
      </c>
      <c r="D198" s="48"/>
      <c r="E198" s="144">
        <v>22400</v>
      </c>
      <c r="F198" s="145">
        <v>1</v>
      </c>
      <c r="G198" s="146">
        <f t="shared" si="4"/>
        <v>22400</v>
      </c>
      <c r="H198" s="48"/>
      <c r="I198" s="48"/>
      <c r="J198" s="48"/>
      <c r="K198" s="48"/>
      <c r="L198" s="135"/>
    </row>
    <row r="199" spans="1:12" s="155" customFormat="1" ht="16.5">
      <c r="A199" s="48"/>
      <c r="B199" s="159"/>
      <c r="C199" s="145" t="s">
        <v>351</v>
      </c>
      <c r="D199" s="48"/>
      <c r="E199" s="144">
        <v>89600</v>
      </c>
      <c r="F199" s="145">
        <v>1</v>
      </c>
      <c r="G199" s="146">
        <f t="shared" si="4"/>
        <v>89600</v>
      </c>
      <c r="H199" s="48"/>
      <c r="I199" s="48"/>
      <c r="J199" s="48"/>
      <c r="K199" s="48"/>
      <c r="L199" s="135"/>
    </row>
    <row r="200" spans="1:12" s="155" customFormat="1" ht="16.5">
      <c r="A200" s="48"/>
      <c r="B200" s="159"/>
      <c r="C200" s="145" t="s">
        <v>352</v>
      </c>
      <c r="D200" s="48"/>
      <c r="E200" s="144">
        <v>44800</v>
      </c>
      <c r="F200" s="145">
        <v>10</v>
      </c>
      <c r="G200" s="146">
        <f aca="true" t="shared" si="5" ref="G200:G207">SUM(E200*F200)</f>
        <v>448000</v>
      </c>
      <c r="H200" s="48"/>
      <c r="I200" s="48"/>
      <c r="J200" s="48"/>
      <c r="K200" s="48"/>
      <c r="L200" s="135"/>
    </row>
    <row r="201" spans="1:12" s="155" customFormat="1" ht="16.5">
      <c r="A201" s="48"/>
      <c r="B201" s="159"/>
      <c r="C201" s="145" t="s">
        <v>353</v>
      </c>
      <c r="D201" s="48"/>
      <c r="E201" s="144">
        <v>33600</v>
      </c>
      <c r="F201" s="145">
        <v>10</v>
      </c>
      <c r="G201" s="146">
        <f t="shared" si="5"/>
        <v>336000</v>
      </c>
      <c r="H201" s="48"/>
      <c r="I201" s="48"/>
      <c r="J201" s="48"/>
      <c r="K201" s="48"/>
      <c r="L201" s="135"/>
    </row>
    <row r="202" spans="1:12" s="155" customFormat="1" ht="16.5">
      <c r="A202" s="48"/>
      <c r="B202" s="159"/>
      <c r="C202" s="145" t="s">
        <v>421</v>
      </c>
      <c r="D202" s="48"/>
      <c r="E202" s="144">
        <v>160000</v>
      </c>
      <c r="F202" s="145">
        <v>1</v>
      </c>
      <c r="G202" s="146">
        <f t="shared" si="5"/>
        <v>160000</v>
      </c>
      <c r="H202" s="48"/>
      <c r="I202" s="48"/>
      <c r="J202" s="48"/>
      <c r="K202" s="48"/>
      <c r="L202" s="135"/>
    </row>
    <row r="203" spans="1:12" s="155" customFormat="1" ht="16.5">
      <c r="A203" s="48"/>
      <c r="B203" s="159"/>
      <c r="C203" s="145" t="s">
        <v>354</v>
      </c>
      <c r="D203" s="48"/>
      <c r="E203" s="144">
        <v>0</v>
      </c>
      <c r="F203" s="145">
        <v>1</v>
      </c>
      <c r="G203" s="146">
        <f t="shared" si="5"/>
        <v>0</v>
      </c>
      <c r="H203" s="48"/>
      <c r="I203" s="48"/>
      <c r="J203" s="48"/>
      <c r="K203" s="48"/>
      <c r="L203" s="135"/>
    </row>
    <row r="204" spans="1:12" s="155" customFormat="1" ht="16.5">
      <c r="A204" s="48"/>
      <c r="B204" s="159"/>
      <c r="C204" s="145" t="s">
        <v>354</v>
      </c>
      <c r="D204" s="48"/>
      <c r="E204" s="144">
        <v>0</v>
      </c>
      <c r="F204" s="145">
        <v>1</v>
      </c>
      <c r="G204" s="146">
        <f t="shared" si="5"/>
        <v>0</v>
      </c>
      <c r="H204" s="48"/>
      <c r="I204" s="48"/>
      <c r="J204" s="48"/>
      <c r="K204" s="48"/>
      <c r="L204" s="135"/>
    </row>
    <row r="205" spans="1:12" s="155" customFormat="1" ht="16.5">
      <c r="A205" s="48"/>
      <c r="B205" s="159"/>
      <c r="C205" s="145" t="s">
        <v>354</v>
      </c>
      <c r="D205" s="48"/>
      <c r="E205" s="144">
        <v>0</v>
      </c>
      <c r="F205" s="145">
        <v>1</v>
      </c>
      <c r="G205" s="146">
        <f t="shared" si="5"/>
        <v>0</v>
      </c>
      <c r="H205" s="48"/>
      <c r="I205" s="48"/>
      <c r="J205" s="48"/>
      <c r="K205" s="48"/>
      <c r="L205" s="135"/>
    </row>
    <row r="206" spans="1:12" s="155" customFormat="1" ht="16.5">
      <c r="A206" s="48"/>
      <c r="B206" s="159"/>
      <c r="C206" s="145" t="s">
        <v>354</v>
      </c>
      <c r="D206" s="48"/>
      <c r="E206" s="144">
        <v>0</v>
      </c>
      <c r="F206" s="145">
        <v>1</v>
      </c>
      <c r="G206" s="146">
        <f t="shared" si="5"/>
        <v>0</v>
      </c>
      <c r="H206" s="48"/>
      <c r="I206" s="48"/>
      <c r="J206" s="48"/>
      <c r="K206" s="48"/>
      <c r="L206" s="135"/>
    </row>
    <row r="207" spans="1:12" s="155" customFormat="1" ht="16.5">
      <c r="A207" s="48"/>
      <c r="B207" s="159"/>
      <c r="C207" s="145" t="s">
        <v>354</v>
      </c>
      <c r="D207" s="48"/>
      <c r="E207" s="144">
        <v>0</v>
      </c>
      <c r="F207" s="145">
        <v>1</v>
      </c>
      <c r="G207" s="146">
        <f t="shared" si="5"/>
        <v>0</v>
      </c>
      <c r="H207" s="48"/>
      <c r="I207" s="48"/>
      <c r="J207" s="48"/>
      <c r="K207" s="48"/>
      <c r="L207" s="135"/>
    </row>
    <row r="208" spans="1:12" s="155" customFormat="1" ht="17.25" thickBot="1">
      <c r="A208" s="48"/>
      <c r="B208" s="159"/>
      <c r="C208" s="145" t="s">
        <v>354</v>
      </c>
      <c r="D208" s="48"/>
      <c r="E208" s="144">
        <v>0</v>
      </c>
      <c r="F208" s="145">
        <v>1</v>
      </c>
      <c r="G208" s="146">
        <f t="shared" si="4"/>
        <v>0</v>
      </c>
      <c r="H208" s="48"/>
      <c r="I208" s="48"/>
      <c r="J208" s="48"/>
      <c r="K208" s="48"/>
      <c r="L208" s="135"/>
    </row>
    <row r="209" spans="1:12" s="155" customFormat="1" ht="16.5">
      <c r="A209" s="48"/>
      <c r="B209" s="159"/>
      <c r="C209" s="57" t="s">
        <v>342</v>
      </c>
      <c r="D209" s="48"/>
      <c r="E209" s="144"/>
      <c r="F209" s="145"/>
      <c r="G209" s="208">
        <f>SUM(G185:G208)</f>
        <v>3970300</v>
      </c>
      <c r="H209" s="48"/>
      <c r="I209" s="48"/>
      <c r="J209" s="48"/>
      <c r="K209" s="48"/>
      <c r="L209" s="135"/>
    </row>
    <row r="210" spans="1:12" s="155" customFormat="1" ht="16.5">
      <c r="A210" s="48"/>
      <c r="B210" s="159"/>
      <c r="C210" s="57"/>
      <c r="D210" s="48"/>
      <c r="E210" s="144"/>
      <c r="F210" s="165" t="s">
        <v>265</v>
      </c>
      <c r="G210" s="146">
        <f>SUM(G209/G18)</f>
        <v>5090.128205128205</v>
      </c>
      <c r="H210" s="48"/>
      <c r="I210" s="48"/>
      <c r="J210" s="48"/>
      <c r="K210" s="48"/>
      <c r="L210" s="135"/>
    </row>
    <row r="211" spans="1:12" s="155" customFormat="1" ht="16.5" customHeight="1">
      <c r="A211" s="48"/>
      <c r="B211" s="159"/>
      <c r="C211" s="57"/>
      <c r="D211" s="48"/>
      <c r="E211" s="144"/>
      <c r="F211" s="165"/>
      <c r="G211" s="146"/>
      <c r="H211" s="48"/>
      <c r="I211" s="48"/>
      <c r="J211" s="48"/>
      <c r="K211" s="48"/>
      <c r="L211" s="135"/>
    </row>
    <row r="212" spans="1:12" s="155" customFormat="1" ht="16.5">
      <c r="A212" s="48"/>
      <c r="B212" s="57" t="s">
        <v>152</v>
      </c>
      <c r="C212" s="48"/>
      <c r="D212" s="48"/>
      <c r="E212" s="48"/>
      <c r="F212" s="48"/>
      <c r="G212" s="146">
        <f>+G166+G172+G182+G209</f>
        <v>28559300</v>
      </c>
      <c r="H212" s="48"/>
      <c r="I212" s="48"/>
      <c r="J212" s="48"/>
      <c r="K212" s="48"/>
      <c r="L212" s="135"/>
    </row>
    <row r="213" spans="1:12" s="155" customFormat="1" ht="7.5" customHeight="1">
      <c r="A213" s="48"/>
      <c r="B213" s="48"/>
      <c r="C213" s="48"/>
      <c r="D213" s="48"/>
      <c r="E213" s="48"/>
      <c r="F213" s="48"/>
      <c r="G213" s="48"/>
      <c r="H213" s="48" t="s">
        <v>1</v>
      </c>
      <c r="I213" s="48"/>
      <c r="J213" s="48"/>
      <c r="K213" s="48"/>
      <c r="L213" s="135"/>
    </row>
    <row r="214" spans="1:12" s="155" customFormat="1" ht="16.5">
      <c r="A214" s="48"/>
      <c r="B214" s="57" t="s">
        <v>314</v>
      </c>
      <c r="C214" s="48"/>
      <c r="D214" s="48"/>
      <c r="E214" s="48"/>
      <c r="F214" s="48"/>
      <c r="G214" s="48"/>
      <c r="H214" s="48"/>
      <c r="I214" s="48"/>
      <c r="J214" s="48"/>
      <c r="K214" s="48"/>
      <c r="L214" s="135"/>
    </row>
    <row r="215" spans="1:12" s="155" customFormat="1" ht="16.5">
      <c r="A215" s="48"/>
      <c r="B215" s="48"/>
      <c r="C215" s="48" t="s">
        <v>199</v>
      </c>
      <c r="D215" s="48"/>
      <c r="E215" s="48"/>
      <c r="F215" s="48"/>
      <c r="G215" s="180">
        <v>4</v>
      </c>
      <c r="H215" s="48"/>
      <c r="I215" s="48"/>
      <c r="J215" s="48"/>
      <c r="K215" s="48"/>
      <c r="L215" s="135"/>
    </row>
    <row r="216" spans="1:12" s="155" customFormat="1" ht="16.5">
      <c r="A216" s="48"/>
      <c r="B216" s="48"/>
      <c r="C216" s="48" t="s">
        <v>200</v>
      </c>
      <c r="D216" s="48"/>
      <c r="E216" s="48"/>
      <c r="F216" s="48"/>
      <c r="G216" s="156">
        <v>25</v>
      </c>
      <c r="H216" s="48"/>
      <c r="I216" s="48"/>
      <c r="J216" s="48"/>
      <c r="K216" s="48"/>
      <c r="L216" s="135"/>
    </row>
    <row r="217" spans="1:12" s="155" customFormat="1" ht="7.5" customHeight="1">
      <c r="A217" s="48"/>
      <c r="B217" s="48"/>
      <c r="C217" s="48"/>
      <c r="D217" s="48"/>
      <c r="E217" s="48"/>
      <c r="F217" s="48"/>
      <c r="G217" s="48"/>
      <c r="H217" s="48"/>
      <c r="I217" s="48"/>
      <c r="J217" s="48"/>
      <c r="K217" s="48"/>
      <c r="L217" s="135"/>
    </row>
    <row r="218" spans="1:12" s="155" customFormat="1" ht="16.5">
      <c r="A218" s="48"/>
      <c r="B218" s="57" t="s">
        <v>328</v>
      </c>
      <c r="C218" s="48"/>
      <c r="D218" s="48"/>
      <c r="E218" s="48"/>
      <c r="F218" s="48"/>
      <c r="G218" s="48"/>
      <c r="H218" s="48"/>
      <c r="I218" s="48"/>
      <c r="J218" s="48"/>
      <c r="K218" s="48"/>
      <c r="L218" s="135"/>
    </row>
    <row r="219" spans="1:12" s="155" customFormat="1" ht="16.5">
      <c r="A219" s="48"/>
      <c r="B219" s="48"/>
      <c r="C219" s="48" t="s">
        <v>316</v>
      </c>
      <c r="D219" s="48"/>
      <c r="E219" s="48"/>
      <c r="F219" s="48"/>
      <c r="G219" s="178">
        <f>G20-G18</f>
        <v>2100</v>
      </c>
      <c r="H219" s="48"/>
      <c r="I219" s="48"/>
      <c r="J219" s="48"/>
      <c r="K219" s="48"/>
      <c r="L219" s="135"/>
    </row>
    <row r="220" spans="1:12" s="155" customFormat="1" ht="16.5" customHeight="1">
      <c r="A220" s="48"/>
      <c r="B220" s="48"/>
      <c r="C220" s="48" t="s">
        <v>322</v>
      </c>
      <c r="D220" s="48"/>
      <c r="E220" s="48"/>
      <c r="F220" s="48"/>
      <c r="G220" s="159"/>
      <c r="H220" s="48"/>
      <c r="I220" s="48"/>
      <c r="J220" s="48"/>
      <c r="K220" s="48"/>
      <c r="L220" s="135"/>
    </row>
    <row r="221" spans="1:12" s="155" customFormat="1" ht="16.5">
      <c r="A221" s="48"/>
      <c r="B221" s="48"/>
      <c r="C221" s="48" t="s">
        <v>323</v>
      </c>
      <c r="D221" s="48"/>
      <c r="E221" s="48"/>
      <c r="F221" s="48"/>
      <c r="G221" s="156">
        <v>25</v>
      </c>
      <c r="H221" s="48"/>
      <c r="I221" s="48"/>
      <c r="J221" s="48"/>
      <c r="K221" s="48"/>
      <c r="L221" s="135"/>
    </row>
    <row r="222" spans="1:12" s="155" customFormat="1" ht="16.5">
      <c r="A222" s="48"/>
      <c r="B222" s="48"/>
      <c r="C222" s="48" t="s">
        <v>365</v>
      </c>
      <c r="D222" s="48"/>
      <c r="E222" s="48"/>
      <c r="F222" s="48"/>
      <c r="G222" s="166">
        <f>SUM(Details!E330/2)</f>
        <v>84.33333333333333</v>
      </c>
      <c r="H222" s="48"/>
      <c r="I222" s="48"/>
      <c r="J222" s="48"/>
      <c r="K222" s="48"/>
      <c r="L222" s="135"/>
    </row>
    <row r="223" spans="1:12" s="155" customFormat="1" ht="16.5">
      <c r="A223" s="48"/>
      <c r="B223" s="48"/>
      <c r="C223" s="48" t="s">
        <v>366</v>
      </c>
      <c r="D223" s="48"/>
      <c r="E223" s="48"/>
      <c r="F223" s="48"/>
      <c r="G223" s="166">
        <f>SUM(G42*(450))</f>
        <v>12.375</v>
      </c>
      <c r="H223" s="48"/>
      <c r="I223" s="48"/>
      <c r="J223" s="48"/>
      <c r="K223" s="48"/>
      <c r="L223" s="135"/>
    </row>
    <row r="224" spans="1:12" s="155" customFormat="1" ht="16.5">
      <c r="A224" s="48"/>
      <c r="B224" s="48"/>
      <c r="C224" s="48" t="s">
        <v>324</v>
      </c>
      <c r="D224" s="48"/>
      <c r="E224" s="48"/>
      <c r="F224" s="48"/>
      <c r="G224" s="166">
        <f>SUM(250/2)*G41</f>
        <v>6.25</v>
      </c>
      <c r="H224" s="48"/>
      <c r="I224" s="48"/>
      <c r="J224" s="48"/>
      <c r="K224" s="48"/>
      <c r="L224" s="135"/>
    </row>
    <row r="225" spans="1:12" s="155" customFormat="1" ht="16.5">
      <c r="A225" s="48"/>
      <c r="B225" s="48"/>
      <c r="C225" s="48"/>
      <c r="D225" s="48"/>
      <c r="E225" s="48"/>
      <c r="F225" s="48"/>
      <c r="G225" s="48"/>
      <c r="H225" s="48"/>
      <c r="I225" s="48"/>
      <c r="J225" s="48"/>
      <c r="K225" s="48"/>
      <c r="L225" s="135"/>
    </row>
    <row r="226" spans="1:12" ht="16.5">
      <c r="A226" s="5"/>
      <c r="B226" s="5"/>
      <c r="C226" s="5"/>
      <c r="D226" s="5"/>
      <c r="E226" s="5"/>
      <c r="F226" s="5"/>
      <c r="G226" s="5"/>
      <c r="H226" s="5"/>
      <c r="I226" s="5"/>
      <c r="J226" s="5"/>
      <c r="K226" s="5"/>
      <c r="L226" s="2"/>
    </row>
    <row r="227" spans="1:12" ht="16.5">
      <c r="A227" s="5"/>
      <c r="B227" s="5"/>
      <c r="C227" s="5"/>
      <c r="D227" s="5"/>
      <c r="E227" s="5"/>
      <c r="F227" s="5"/>
      <c r="G227" s="5"/>
      <c r="H227" s="5"/>
      <c r="I227" s="5"/>
      <c r="J227" s="5"/>
      <c r="K227" s="5"/>
      <c r="L227" s="2"/>
    </row>
  </sheetData>
  <sheetProtection password="C6A6" sheet="1"/>
  <mergeCells count="11">
    <mergeCell ref="B10:I10"/>
    <mergeCell ref="B80:C80"/>
    <mergeCell ref="C169:D170"/>
    <mergeCell ref="A1:I1"/>
    <mergeCell ref="B147:H147"/>
    <mergeCell ref="B163:H163"/>
    <mergeCell ref="B4:I4"/>
    <mergeCell ref="B5:I6"/>
    <mergeCell ref="B7:I8"/>
    <mergeCell ref="B9:I9"/>
    <mergeCell ref="B11:I13"/>
  </mergeCells>
  <printOptions/>
  <pageMargins left="0.7480314960629921" right="0.7480314960629921" top="0.984251968503937" bottom="0.984251968503937" header="0.5118110236220472" footer="0.5118110236220472"/>
  <pageSetup firstPageNumber="4" useFirstPageNumber="1" fitToHeight="4" fitToWidth="1" horizontalDpi="600" verticalDpi="600" orientation="portrait" scale="75" r:id="rId1"/>
  <headerFooter alignWithMargins="0">
    <oddHeader>&amp;LGuidelines: Potato Production Costs&amp;R&amp;P</oddHeader>
    <oddFooter>&amp;R&amp;10Manitoba Agriculture, Farm Management</oddFooter>
  </headerFooter>
  <ignoredErrors>
    <ignoredError sqref="G169 G128" unlockedFormula="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A1:Q428"/>
  <sheetViews>
    <sheetView workbookViewId="0" topLeftCell="A1">
      <selection activeCell="A1" sqref="A1:I1"/>
    </sheetView>
  </sheetViews>
  <sheetFormatPr defaultColWidth="8.88671875" defaultRowHeight="15"/>
  <cols>
    <col min="1" max="1" width="4.5546875" style="2" customWidth="1"/>
    <col min="2" max="2" width="6.99609375" style="2" customWidth="1"/>
    <col min="3" max="3" width="12.77734375" style="2" customWidth="1"/>
    <col min="4" max="4" width="6.10546875" style="2" customWidth="1"/>
    <col min="5" max="5" width="12.4453125" style="2" customWidth="1"/>
    <col min="6" max="6" width="3.10546875" style="2" customWidth="1"/>
    <col min="7" max="7" width="13.21484375" style="2" customWidth="1"/>
    <col min="8" max="8" width="11.10546875" style="2" customWidth="1"/>
    <col min="9" max="9" width="11.21484375" style="2" customWidth="1"/>
    <col min="10" max="10" width="10.10546875" style="2" customWidth="1"/>
    <col min="11" max="16384" width="8.88671875" style="2" customWidth="1"/>
  </cols>
  <sheetData>
    <row r="1" spans="1:10" ht="18">
      <c r="A1" s="279" t="s">
        <v>0</v>
      </c>
      <c r="B1" s="280"/>
      <c r="C1" s="280"/>
      <c r="D1" s="280"/>
      <c r="E1" s="280"/>
      <c r="F1" s="280"/>
      <c r="G1" s="280"/>
      <c r="H1" s="280"/>
      <c r="I1" s="280"/>
      <c r="J1" s="5"/>
    </row>
    <row r="2" spans="1:10" ht="15.75">
      <c r="A2" s="5"/>
      <c r="B2" s="5"/>
      <c r="C2" s="5"/>
      <c r="D2" s="5"/>
      <c r="E2" s="6"/>
      <c r="F2" s="5"/>
      <c r="G2" s="5"/>
      <c r="H2" s="5"/>
      <c r="I2" s="5"/>
      <c r="J2" s="5"/>
    </row>
    <row r="3" spans="1:10" ht="15">
      <c r="A3" s="59" t="str">
        <f>"1."</f>
        <v>1.</v>
      </c>
      <c r="B3" s="282" t="s">
        <v>329</v>
      </c>
      <c r="C3" s="283"/>
      <c r="D3" s="283"/>
      <c r="E3" s="283"/>
      <c r="F3" s="283"/>
      <c r="G3" s="283"/>
      <c r="H3" s="283"/>
      <c r="I3" s="283"/>
      <c r="J3" s="5"/>
    </row>
    <row r="4" spans="1:10" ht="15">
      <c r="A4" s="5"/>
      <c r="B4" s="283"/>
      <c r="C4" s="283"/>
      <c r="D4" s="283"/>
      <c r="E4" s="283"/>
      <c r="F4" s="283"/>
      <c r="G4" s="283"/>
      <c r="H4" s="283"/>
      <c r="I4" s="283"/>
      <c r="J4" s="5"/>
    </row>
    <row r="5" spans="1:10" ht="15">
      <c r="A5" s="5"/>
      <c r="B5" s="5"/>
      <c r="C5" s="5"/>
      <c r="D5" s="5"/>
      <c r="E5" s="5"/>
      <c r="F5" s="5"/>
      <c r="G5" s="5"/>
      <c r="H5" s="5"/>
      <c r="I5" s="5"/>
      <c r="J5" s="5"/>
    </row>
    <row r="6" spans="1:10" ht="15">
      <c r="A6" s="59" t="str">
        <f>"2."</f>
        <v>2.</v>
      </c>
      <c r="B6" s="263" t="str">
        <f>"A potato land base of "&amp;TEXT(Input!G20,"#,###")&amp;" harvested acres was assumed in developing this budget. The cost of production does not include the cost of maintaining the corners not under irrigation. The crop rotation was based on growing potatoes no more than 1 in "&amp;Input!G19&amp;" years. "</f>
        <v>A potato land base of 2,880 harvested acres was assumed in developing this budget. The cost of production does not include the cost of maintaining the corners not under irrigation. The crop rotation was based on growing potatoes no more than 1 in 3 years. </v>
      </c>
      <c r="C6" s="284"/>
      <c r="D6" s="284"/>
      <c r="E6" s="284"/>
      <c r="F6" s="284"/>
      <c r="G6" s="284"/>
      <c r="H6" s="284"/>
      <c r="I6" s="284"/>
      <c r="J6" s="27"/>
    </row>
    <row r="7" spans="1:10" ht="15">
      <c r="A7" s="5"/>
      <c r="B7" s="284"/>
      <c r="C7" s="284"/>
      <c r="D7" s="284"/>
      <c r="E7" s="284"/>
      <c r="F7" s="284"/>
      <c r="G7" s="284"/>
      <c r="H7" s="284"/>
      <c r="I7" s="284"/>
      <c r="J7" s="27"/>
    </row>
    <row r="8" spans="1:10" ht="15">
      <c r="A8" s="5"/>
      <c r="B8" s="273"/>
      <c r="C8" s="273"/>
      <c r="D8" s="273"/>
      <c r="E8" s="273"/>
      <c r="F8" s="273"/>
      <c r="G8" s="273"/>
      <c r="H8" s="273"/>
      <c r="I8" s="273"/>
      <c r="J8" s="27"/>
    </row>
    <row r="9" spans="1:10" ht="15">
      <c r="A9" s="5"/>
      <c r="B9" s="5"/>
      <c r="C9" s="5"/>
      <c r="D9" s="5"/>
      <c r="E9" s="5"/>
      <c r="F9" s="5"/>
      <c r="G9" s="5"/>
      <c r="H9" s="5"/>
      <c r="I9" s="5"/>
      <c r="J9" s="5"/>
    </row>
    <row r="10" spans="1:10" ht="18" customHeight="1">
      <c r="A10" s="59" t="str">
        <f>"3."</f>
        <v>3.</v>
      </c>
      <c r="B10" s="266" t="str">
        <f>"Total gross yield per acre was estimated at "&amp;Input!D31&amp;" to "&amp;Input!G31&amp;" cwt/acre with marketable yield estimated at "&amp;ROUND(Input!D33,0)&amp;" to "&amp;Input!G33&amp;" cwt/acre."</f>
        <v>Total gross yield per acre was estimated at 305 to 395 cwt/acre with marketable yield estimated at 259 to 336 cwt/acre.</v>
      </c>
      <c r="C10" s="266"/>
      <c r="D10" s="266"/>
      <c r="E10" s="266"/>
      <c r="F10" s="266"/>
      <c r="G10" s="266"/>
      <c r="H10" s="266"/>
      <c r="I10" s="266"/>
      <c r="J10" s="28"/>
    </row>
    <row r="11" spans="1:10" ht="18" customHeight="1">
      <c r="A11" s="5"/>
      <c r="B11" s="266"/>
      <c r="C11" s="266"/>
      <c r="D11" s="266"/>
      <c r="E11" s="266"/>
      <c r="F11" s="266"/>
      <c r="G11" s="266"/>
      <c r="H11" s="266"/>
      <c r="I11" s="266"/>
      <c r="J11" s="28"/>
    </row>
    <row r="12" spans="1:10" ht="18" customHeight="1">
      <c r="A12" s="5"/>
      <c r="B12" s="45"/>
      <c r="C12" s="45"/>
      <c r="D12" s="45"/>
      <c r="E12" s="45"/>
      <c r="F12" s="45"/>
      <c r="G12" s="45"/>
      <c r="H12" s="45"/>
      <c r="I12" s="45"/>
      <c r="J12" s="28"/>
    </row>
    <row r="13" spans="1:10" ht="15" customHeight="1">
      <c r="A13" s="59" t="str">
        <f>"4."</f>
        <v>4.</v>
      </c>
      <c r="B13" s="267" t="s">
        <v>422</v>
      </c>
      <c r="C13" s="265"/>
      <c r="D13" s="265"/>
      <c r="E13" s="265"/>
      <c r="F13" s="265"/>
      <c r="G13" s="265"/>
      <c r="H13" s="265"/>
      <c r="I13" s="265"/>
      <c r="J13" s="5"/>
    </row>
    <row r="14" spans="1:10" ht="15">
      <c r="A14" s="5"/>
      <c r="B14" s="48"/>
      <c r="C14" s="48"/>
      <c r="D14" s="48"/>
      <c r="E14" s="48"/>
      <c r="F14" s="48"/>
      <c r="G14" s="48"/>
      <c r="H14" s="48"/>
      <c r="I14" s="48"/>
      <c r="J14" s="5"/>
    </row>
    <row r="15" spans="1:10" ht="15">
      <c r="A15" s="59" t="str">
        <f>"5."</f>
        <v>5.</v>
      </c>
      <c r="B15" s="268" t="str">
        <f>"All trucking operations related to marketing of processed potatoes were assumed to be custom hauled to the processors. A rate applicable to hauling potatoes approximately 70 miles was assumed. "</f>
        <v>All trucking operations related to marketing of processed potatoes were assumed to be custom hauled to the processors. A rate applicable to hauling potatoes approximately 70 miles was assumed. </v>
      </c>
      <c r="C15" s="273"/>
      <c r="D15" s="273"/>
      <c r="E15" s="273"/>
      <c r="F15" s="273"/>
      <c r="G15" s="273"/>
      <c r="H15" s="273"/>
      <c r="I15" s="273"/>
      <c r="J15" s="5"/>
    </row>
    <row r="16" spans="1:10" ht="15">
      <c r="A16" s="5"/>
      <c r="B16" s="273"/>
      <c r="C16" s="273"/>
      <c r="D16" s="273"/>
      <c r="E16" s="273"/>
      <c r="F16" s="273"/>
      <c r="G16" s="273"/>
      <c r="H16" s="273"/>
      <c r="I16" s="273"/>
      <c r="J16" s="5"/>
    </row>
    <row r="17" spans="1:10" ht="15">
      <c r="A17" s="5"/>
      <c r="B17" s="273"/>
      <c r="C17" s="273"/>
      <c r="D17" s="273"/>
      <c r="E17" s="273"/>
      <c r="F17" s="273"/>
      <c r="G17" s="273"/>
      <c r="H17" s="273"/>
      <c r="I17" s="273"/>
      <c r="J17" s="5"/>
    </row>
    <row r="18" spans="1:10" ht="15">
      <c r="A18" s="5"/>
      <c r="B18" s="5"/>
      <c r="C18" s="5"/>
      <c r="D18" s="5"/>
      <c r="E18" s="5"/>
      <c r="F18" s="5"/>
      <c r="G18" s="5"/>
      <c r="H18" s="5"/>
      <c r="I18" s="5"/>
      <c r="J18" s="5"/>
    </row>
    <row r="19" spans="1:10" ht="21.75" customHeight="1">
      <c r="A19" s="249" t="s">
        <v>130</v>
      </c>
      <c r="B19" s="281"/>
      <c r="C19" s="281"/>
      <c r="D19" s="281"/>
      <c r="E19" s="281"/>
      <c r="F19" s="281"/>
      <c r="G19" s="281"/>
      <c r="H19" s="281"/>
      <c r="I19" s="281"/>
      <c r="J19" s="5"/>
    </row>
    <row r="20" spans="1:10" ht="15">
      <c r="A20" s="5"/>
      <c r="B20" s="5"/>
      <c r="C20" s="5"/>
      <c r="D20" s="5"/>
      <c r="E20" s="5"/>
      <c r="F20" s="5"/>
      <c r="G20" s="5"/>
      <c r="H20" s="5"/>
      <c r="I20" s="5"/>
      <c r="J20" s="5"/>
    </row>
    <row r="21" spans="1:10" ht="15.75">
      <c r="A21" s="6" t="s">
        <v>150</v>
      </c>
      <c r="B21" s="5"/>
      <c r="C21" s="5"/>
      <c r="D21" s="5"/>
      <c r="E21" s="5"/>
      <c r="F21" s="5"/>
      <c r="G21" s="5"/>
      <c r="H21" s="5"/>
      <c r="I21" s="29" t="s">
        <v>174</v>
      </c>
      <c r="J21" s="5"/>
    </row>
    <row r="22" spans="1:10" ht="15">
      <c r="A22" s="5"/>
      <c r="B22" s="5"/>
      <c r="C22" s="5"/>
      <c r="D22" s="5"/>
      <c r="E22" s="5"/>
      <c r="F22" s="5"/>
      <c r="G22" s="5"/>
      <c r="H22" s="5"/>
      <c r="I22" s="5"/>
      <c r="J22" s="5"/>
    </row>
    <row r="23" spans="1:10" ht="15.75">
      <c r="A23" s="5"/>
      <c r="B23" s="6" t="s">
        <v>283</v>
      </c>
      <c r="C23" s="5"/>
      <c r="D23" s="5"/>
      <c r="E23" s="5"/>
      <c r="F23" s="5"/>
      <c r="G23" s="5"/>
      <c r="H23" s="5"/>
      <c r="I23" s="5"/>
      <c r="J23" s="5"/>
    </row>
    <row r="24" spans="1:10" ht="15">
      <c r="A24" s="5"/>
      <c r="B24" s="5"/>
      <c r="C24" s="5" t="s">
        <v>48</v>
      </c>
      <c r="D24" s="5"/>
      <c r="E24" s="30">
        <f>Input!F46</f>
        <v>18</v>
      </c>
      <c r="F24" s="5"/>
      <c r="G24" s="5" t="s">
        <v>63</v>
      </c>
      <c r="H24" s="5"/>
      <c r="I24" s="15"/>
      <c r="J24" s="5"/>
    </row>
    <row r="25" spans="1:10" ht="15">
      <c r="A25" s="5"/>
      <c r="B25" s="5"/>
      <c r="C25" s="5"/>
      <c r="D25" s="5" t="s">
        <v>64</v>
      </c>
      <c r="E25" s="31">
        <f>Input!E46</f>
        <v>15</v>
      </c>
      <c r="F25" s="11"/>
      <c r="G25" s="11" t="s">
        <v>65</v>
      </c>
      <c r="H25" s="5"/>
      <c r="I25" s="16"/>
      <c r="J25" s="5"/>
    </row>
    <row r="26" spans="1:10" ht="15">
      <c r="A26" s="5"/>
      <c r="B26" s="5"/>
      <c r="C26" s="5"/>
      <c r="D26" s="5" t="s">
        <v>66</v>
      </c>
      <c r="E26" s="19">
        <f>ROUND(E25*E24,2)</f>
        <v>270</v>
      </c>
      <c r="F26" s="5"/>
      <c r="G26" s="5" t="s">
        <v>71</v>
      </c>
      <c r="H26" s="5"/>
      <c r="I26" s="16"/>
      <c r="J26" s="5"/>
    </row>
    <row r="27" spans="1:10" ht="7.5" customHeight="1">
      <c r="A27" s="5"/>
      <c r="B27" s="5"/>
      <c r="C27" s="5"/>
      <c r="D27" s="5"/>
      <c r="E27" s="5"/>
      <c r="F27" s="5"/>
      <c r="G27" s="5"/>
      <c r="H27" s="5"/>
      <c r="I27" s="5"/>
      <c r="J27" s="5"/>
    </row>
    <row r="28" spans="1:10" ht="15">
      <c r="A28" s="5"/>
      <c r="B28" s="5"/>
      <c r="C28" s="5" t="s">
        <v>67</v>
      </c>
      <c r="D28" s="5"/>
      <c r="E28" s="30">
        <f>Input!F46</f>
        <v>18</v>
      </c>
      <c r="F28" s="5"/>
      <c r="G28" s="5" t="s">
        <v>63</v>
      </c>
      <c r="H28" s="5"/>
      <c r="I28" s="15"/>
      <c r="J28" s="32"/>
    </row>
    <row r="29" spans="1:10" ht="15">
      <c r="A29" s="5"/>
      <c r="B29" s="5"/>
      <c r="C29" s="5"/>
      <c r="D29" s="5" t="s">
        <v>64</v>
      </c>
      <c r="E29" s="31">
        <f>Input!E47</f>
        <v>2</v>
      </c>
      <c r="F29" s="11"/>
      <c r="G29" s="11" t="s">
        <v>65</v>
      </c>
      <c r="H29" s="5"/>
      <c r="I29" s="5"/>
      <c r="J29" s="32"/>
    </row>
    <row r="30" spans="1:10" ht="15">
      <c r="A30" s="5"/>
      <c r="B30" s="5"/>
      <c r="C30" s="5"/>
      <c r="D30" s="5" t="s">
        <v>66</v>
      </c>
      <c r="E30" s="19">
        <f>ROUND(E28*E29,2)</f>
        <v>36</v>
      </c>
      <c r="F30" s="5"/>
      <c r="G30" s="5" t="s">
        <v>71</v>
      </c>
      <c r="H30" s="5"/>
      <c r="I30" s="16"/>
      <c r="J30" s="32"/>
    </row>
    <row r="31" spans="1:10" ht="15">
      <c r="A31" s="5"/>
      <c r="B31" s="5"/>
      <c r="C31" s="5"/>
      <c r="D31" s="5"/>
      <c r="E31" s="5"/>
      <c r="F31" s="5"/>
      <c r="G31" s="5"/>
      <c r="H31" s="5"/>
      <c r="I31" s="5"/>
      <c r="J31" s="5"/>
    </row>
    <row r="32" spans="1:10" ht="15.75">
      <c r="A32" s="5"/>
      <c r="B32" s="5"/>
      <c r="C32" s="6" t="s">
        <v>39</v>
      </c>
      <c r="D32" s="6" t="s">
        <v>66</v>
      </c>
      <c r="E32" s="123">
        <f>E26+E30</f>
        <v>306</v>
      </c>
      <c r="F32" s="6"/>
      <c r="G32" s="6" t="s">
        <v>204</v>
      </c>
      <c r="H32" s="5"/>
      <c r="I32" s="5"/>
      <c r="J32" s="5"/>
    </row>
    <row r="33" spans="1:10" ht="7.5" customHeight="1">
      <c r="A33" s="5"/>
      <c r="B33" s="5"/>
      <c r="C33" s="5"/>
      <c r="D33" s="5"/>
      <c r="E33" s="48"/>
      <c r="F33" s="5"/>
      <c r="G33" s="5"/>
      <c r="H33" s="5"/>
      <c r="I33" s="5"/>
      <c r="J33" s="5"/>
    </row>
    <row r="34" spans="1:10" ht="15.75">
      <c r="A34" s="5"/>
      <c r="B34" s="6" t="s">
        <v>388</v>
      </c>
      <c r="C34" s="5"/>
      <c r="D34" s="5"/>
      <c r="E34" s="48"/>
      <c r="F34" s="5"/>
      <c r="G34" s="5"/>
      <c r="H34" s="5"/>
      <c r="I34" s="5"/>
      <c r="J34" s="5"/>
    </row>
    <row r="35" spans="1:10" ht="15">
      <c r="A35" s="5"/>
      <c r="B35" s="5"/>
      <c r="C35" s="5"/>
      <c r="D35" s="5"/>
      <c r="E35" s="124">
        <f>Input!E48</f>
        <v>2.4</v>
      </c>
      <c r="F35" s="5"/>
      <c r="G35" s="5" t="s">
        <v>195</v>
      </c>
      <c r="H35" s="5"/>
      <c r="I35" s="15"/>
      <c r="J35" s="5"/>
    </row>
    <row r="36" spans="1:10" ht="15">
      <c r="A36" s="5"/>
      <c r="B36" s="5"/>
      <c r="C36" s="5"/>
      <c r="D36" s="2" t="s">
        <v>75</v>
      </c>
      <c r="E36" s="125">
        <f>Input!E49</f>
        <v>2</v>
      </c>
      <c r="G36" s="5" t="s">
        <v>196</v>
      </c>
      <c r="H36" s="5"/>
      <c r="I36" s="15"/>
      <c r="J36" s="5"/>
    </row>
    <row r="37" spans="1:10" ht="15">
      <c r="A37" s="5"/>
      <c r="B37" s="5"/>
      <c r="C37" s="5"/>
      <c r="D37" s="11" t="s">
        <v>64</v>
      </c>
      <c r="E37" s="126">
        <f>Input!F46</f>
        <v>18</v>
      </c>
      <c r="F37" s="11"/>
      <c r="G37" s="11" t="s">
        <v>63</v>
      </c>
      <c r="H37" s="5"/>
      <c r="I37" s="16"/>
      <c r="J37" s="5"/>
    </row>
    <row r="38" spans="1:10" ht="15.75">
      <c r="A38" s="5"/>
      <c r="B38" s="5"/>
      <c r="C38" s="5"/>
      <c r="D38" s="6" t="s">
        <v>66</v>
      </c>
      <c r="E38" s="123">
        <f>ROUND((E35+E36)*E37,2)</f>
        <v>79.2</v>
      </c>
      <c r="F38" s="6"/>
      <c r="G38" s="6" t="s">
        <v>204</v>
      </c>
      <c r="H38" s="5"/>
      <c r="I38" s="16"/>
      <c r="J38" s="5"/>
    </row>
    <row r="39" spans="1:10" ht="7.5" customHeight="1">
      <c r="A39" s="5"/>
      <c r="B39" s="5"/>
      <c r="C39" s="5"/>
      <c r="D39" s="5"/>
      <c r="E39" s="5"/>
      <c r="F39" s="5"/>
      <c r="G39" s="5"/>
      <c r="H39" s="5"/>
      <c r="I39" s="5"/>
      <c r="J39" s="5"/>
    </row>
    <row r="40" spans="1:10" ht="15.75">
      <c r="A40" s="5"/>
      <c r="B40" s="6" t="s">
        <v>389</v>
      </c>
      <c r="C40" s="5"/>
      <c r="D40" s="5"/>
      <c r="E40" s="5"/>
      <c r="F40" s="5"/>
      <c r="G40" s="5"/>
      <c r="H40" s="5"/>
      <c r="I40" s="5"/>
      <c r="J40" s="5"/>
    </row>
    <row r="41" spans="1:11" ht="15">
      <c r="A41" s="5"/>
      <c r="B41" s="5"/>
      <c r="C41" s="5" t="s">
        <v>260</v>
      </c>
      <c r="D41" s="5"/>
      <c r="E41" s="30">
        <f>Input!E55</f>
        <v>105</v>
      </c>
      <c r="F41" s="5"/>
      <c r="G41" s="5" t="s">
        <v>68</v>
      </c>
      <c r="H41" s="5"/>
      <c r="I41" s="15"/>
      <c r="J41" s="5"/>
      <c r="K41" s="5"/>
    </row>
    <row r="42" spans="1:11" ht="15">
      <c r="A42" s="5"/>
      <c r="B42" s="5"/>
      <c r="C42" s="5"/>
      <c r="D42" s="5" t="s">
        <v>64</v>
      </c>
      <c r="E42" s="35">
        <f>Input!F55</f>
        <v>0.45846000788551206</v>
      </c>
      <c r="F42" s="11"/>
      <c r="G42" s="11" t="s">
        <v>69</v>
      </c>
      <c r="H42" s="5"/>
      <c r="I42" s="16"/>
      <c r="J42" s="5"/>
      <c r="K42" s="5"/>
    </row>
    <row r="43" spans="1:11" ht="15">
      <c r="A43" s="5"/>
      <c r="B43" s="5"/>
      <c r="C43" s="5"/>
      <c r="D43" s="5" t="s">
        <v>66</v>
      </c>
      <c r="E43" s="34">
        <f>ROUND(+E41*E42,2)</f>
        <v>48.14</v>
      </c>
      <c r="F43" s="5"/>
      <c r="G43" s="5" t="s">
        <v>71</v>
      </c>
      <c r="H43" s="5"/>
      <c r="I43" s="16"/>
      <c r="J43" s="5"/>
      <c r="K43" s="5"/>
    </row>
    <row r="44" spans="1:11" ht="7.5" customHeight="1">
      <c r="A44" s="5"/>
      <c r="B44" s="5"/>
      <c r="C44" s="5"/>
      <c r="D44" s="5"/>
      <c r="E44" s="5"/>
      <c r="F44" s="5"/>
      <c r="G44" s="5"/>
      <c r="H44" s="5"/>
      <c r="I44" s="5"/>
      <c r="J44" s="5"/>
      <c r="K44" s="5"/>
    </row>
    <row r="45" spans="1:11" ht="15">
      <c r="A45" s="5"/>
      <c r="B45" s="5"/>
      <c r="C45" s="5" t="s">
        <v>229</v>
      </c>
      <c r="D45" s="5"/>
      <c r="E45" s="30">
        <f>Input!E56</f>
        <v>105</v>
      </c>
      <c r="F45" s="5"/>
      <c r="G45" s="5" t="s">
        <v>68</v>
      </c>
      <c r="H45" s="5"/>
      <c r="I45" s="15"/>
      <c r="J45" s="5"/>
      <c r="K45" s="5"/>
    </row>
    <row r="46" spans="1:11" ht="15">
      <c r="A46" s="5"/>
      <c r="B46" s="5"/>
      <c r="C46" s="5"/>
      <c r="D46" s="5" t="s">
        <v>64</v>
      </c>
      <c r="E46" s="35">
        <f>Input!F56</f>
        <v>0.4338782683322714</v>
      </c>
      <c r="F46" s="11"/>
      <c r="G46" s="11" t="s">
        <v>69</v>
      </c>
      <c r="H46" s="5"/>
      <c r="I46" s="16"/>
      <c r="J46" s="5"/>
      <c r="K46" s="5"/>
    </row>
    <row r="47" spans="1:11" ht="15">
      <c r="A47" s="5"/>
      <c r="B47" s="5"/>
      <c r="C47" s="5"/>
      <c r="D47" s="5" t="s">
        <v>66</v>
      </c>
      <c r="E47" s="34">
        <f>ROUND(+E45*E46,2)</f>
        <v>45.56</v>
      </c>
      <c r="F47" s="5"/>
      <c r="G47" s="5" t="s">
        <v>71</v>
      </c>
      <c r="H47" s="5"/>
      <c r="I47" s="16"/>
      <c r="J47" s="5"/>
      <c r="K47" s="5"/>
    </row>
    <row r="48" spans="1:10" ht="7.5" customHeight="1">
      <c r="A48" s="5"/>
      <c r="B48" s="5"/>
      <c r="C48" s="5"/>
      <c r="D48" s="5"/>
      <c r="E48" s="5"/>
      <c r="F48" s="5"/>
      <c r="G48" s="5"/>
      <c r="H48" s="5"/>
      <c r="I48" s="5"/>
      <c r="J48" s="5"/>
    </row>
    <row r="49" spans="1:10" ht="15">
      <c r="A49" s="5"/>
      <c r="B49" s="5"/>
      <c r="C49" s="5" t="s">
        <v>261</v>
      </c>
      <c r="D49" s="5"/>
      <c r="E49" s="30">
        <f>Input!E57</f>
        <v>65</v>
      </c>
      <c r="F49" s="5"/>
      <c r="G49" s="5" t="s">
        <v>68</v>
      </c>
      <c r="H49" s="5"/>
      <c r="I49" s="15"/>
      <c r="J49" s="5"/>
    </row>
    <row r="50" spans="1:10" ht="15">
      <c r="A50" s="5"/>
      <c r="B50" s="5"/>
      <c r="C50" s="5"/>
      <c r="D50" s="5" t="s">
        <v>64</v>
      </c>
      <c r="E50" s="122">
        <f>Input!F57</f>
        <v>0.657237325882487</v>
      </c>
      <c r="F50" s="11"/>
      <c r="G50" s="11" t="s">
        <v>69</v>
      </c>
      <c r="H50" s="5"/>
      <c r="I50" s="16"/>
      <c r="J50" s="5"/>
    </row>
    <row r="51" spans="1:10" ht="15">
      <c r="A51" s="5"/>
      <c r="B51" s="5"/>
      <c r="C51" s="5"/>
      <c r="D51" s="5" t="s">
        <v>66</v>
      </c>
      <c r="E51" s="34">
        <f>ROUND(+E49*E50,2)</f>
        <v>42.72</v>
      </c>
      <c r="F51" s="5"/>
      <c r="G51" s="5" t="s">
        <v>71</v>
      </c>
      <c r="H51" s="5"/>
      <c r="I51" s="16"/>
      <c r="J51" s="5"/>
    </row>
    <row r="52" spans="1:10" ht="7.5" customHeight="1">
      <c r="A52" s="5"/>
      <c r="B52" s="5"/>
      <c r="C52" s="5"/>
      <c r="D52" s="5"/>
      <c r="E52" s="5"/>
      <c r="F52" s="5"/>
      <c r="G52" s="5"/>
      <c r="H52" s="5"/>
      <c r="I52" s="5"/>
      <c r="J52" s="5"/>
    </row>
    <row r="53" spans="1:10" ht="15">
      <c r="A53" s="5"/>
      <c r="B53" s="5"/>
      <c r="C53" s="5" t="s">
        <v>230</v>
      </c>
      <c r="D53" s="5"/>
      <c r="E53" s="30">
        <f>Input!E58</f>
        <v>45</v>
      </c>
      <c r="F53" s="5"/>
      <c r="G53" s="5" t="s">
        <v>68</v>
      </c>
      <c r="H53" s="5"/>
      <c r="I53" s="15"/>
      <c r="J53" s="5"/>
    </row>
    <row r="54" spans="1:10" ht="15">
      <c r="A54" s="5"/>
      <c r="B54" s="5"/>
      <c r="C54" s="5"/>
      <c r="D54" s="5" t="s">
        <v>64</v>
      </c>
      <c r="E54" s="122">
        <f>Input!F58</f>
        <v>0.45866115337392155</v>
      </c>
      <c r="F54" s="11"/>
      <c r="G54" s="11" t="s">
        <v>69</v>
      </c>
      <c r="H54" s="5"/>
      <c r="I54" s="16"/>
      <c r="J54" s="5"/>
    </row>
    <row r="55" spans="1:10" ht="15">
      <c r="A55" s="5"/>
      <c r="B55" s="5"/>
      <c r="C55" s="5"/>
      <c r="D55" s="5" t="s">
        <v>66</v>
      </c>
      <c r="E55" s="34">
        <f>ROUND(+E53*E54,2)</f>
        <v>20.64</v>
      </c>
      <c r="F55" s="5"/>
      <c r="G55" s="5" t="s">
        <v>71</v>
      </c>
      <c r="H55" s="5"/>
      <c r="I55" s="16"/>
      <c r="J55" s="5"/>
    </row>
    <row r="56" spans="1:10" ht="7.5" customHeight="1">
      <c r="A56" s="5"/>
      <c r="B56" s="5"/>
      <c r="C56" s="5"/>
      <c r="D56" s="5"/>
      <c r="E56" s="5"/>
      <c r="F56" s="5"/>
      <c r="G56" s="5"/>
      <c r="H56" s="5"/>
      <c r="I56" s="5"/>
      <c r="J56" s="5"/>
    </row>
    <row r="57" spans="1:10" ht="15">
      <c r="A57" s="5"/>
      <c r="B57" s="5"/>
      <c r="C57" s="5" t="s">
        <v>70</v>
      </c>
      <c r="D57" s="5"/>
      <c r="E57" s="30">
        <f>Input!E59</f>
        <v>260</v>
      </c>
      <c r="F57" s="5"/>
      <c r="G57" s="5" t="s">
        <v>68</v>
      </c>
      <c r="H57" s="5"/>
      <c r="I57" s="15"/>
      <c r="J57" s="5"/>
    </row>
    <row r="58" spans="1:10" ht="15">
      <c r="A58" s="5"/>
      <c r="B58" s="5"/>
      <c r="C58" s="5"/>
      <c r="D58" s="5" t="s">
        <v>64</v>
      </c>
      <c r="E58" s="122">
        <f>Input!F59</f>
        <v>0.31374000539632807</v>
      </c>
      <c r="F58" s="11"/>
      <c r="G58" s="11" t="s">
        <v>69</v>
      </c>
      <c r="H58" s="5"/>
      <c r="I58" s="16"/>
      <c r="J58" s="5"/>
    </row>
    <row r="59" spans="1:10" ht="15">
      <c r="A59" s="5"/>
      <c r="B59" s="5"/>
      <c r="C59" s="5"/>
      <c r="D59" s="5" t="s">
        <v>66</v>
      </c>
      <c r="E59" s="34">
        <f>ROUND(+E57*E58,2)</f>
        <v>81.57</v>
      </c>
      <c r="F59" s="5"/>
      <c r="G59" s="5" t="s">
        <v>71</v>
      </c>
      <c r="H59" s="5"/>
      <c r="I59" s="16"/>
      <c r="J59" s="5"/>
    </row>
    <row r="60" spans="1:10" ht="7.5" customHeight="1">
      <c r="A60" s="5"/>
      <c r="B60" s="5"/>
      <c r="C60" s="5"/>
      <c r="D60" s="5"/>
      <c r="E60" s="5"/>
      <c r="F60" s="5"/>
      <c r="G60" s="5"/>
      <c r="H60" s="5"/>
      <c r="I60" s="5"/>
      <c r="J60" s="5"/>
    </row>
    <row r="61" spans="1:10" ht="15">
      <c r="A61" s="5"/>
      <c r="B61" s="5"/>
      <c r="C61" s="5" t="s">
        <v>9</v>
      </c>
      <c r="D61" s="5"/>
      <c r="E61" s="30">
        <f>Input!E60</f>
        <v>45</v>
      </c>
      <c r="F61" s="5"/>
      <c r="G61" s="5" t="s">
        <v>68</v>
      </c>
      <c r="H61" s="5"/>
      <c r="I61" s="15"/>
      <c r="J61" s="5"/>
    </row>
    <row r="62" spans="1:10" ht="15">
      <c r="A62" s="5"/>
      <c r="B62" s="5"/>
      <c r="C62" s="5"/>
      <c r="D62" s="5" t="s">
        <v>64</v>
      </c>
      <c r="E62" s="122">
        <f>Input!F60</f>
        <v>0.4240372083803966</v>
      </c>
      <c r="F62" s="11"/>
      <c r="G62" s="11" t="s">
        <v>69</v>
      </c>
      <c r="H62" s="5"/>
      <c r="I62" s="16"/>
      <c r="J62" s="5"/>
    </row>
    <row r="63" spans="1:10" ht="15">
      <c r="A63" s="5"/>
      <c r="B63" s="5"/>
      <c r="C63" s="5"/>
      <c r="D63" s="5" t="s">
        <v>66</v>
      </c>
      <c r="E63" s="34">
        <f>ROUND(+E61*E62,2)</f>
        <v>19.08</v>
      </c>
      <c r="F63" s="5"/>
      <c r="G63" s="5" t="s">
        <v>71</v>
      </c>
      <c r="H63" s="5"/>
      <c r="I63" s="16"/>
      <c r="J63" s="5"/>
    </row>
    <row r="64" spans="1:10" ht="7.5" customHeight="1">
      <c r="A64" s="5"/>
      <c r="B64" s="5"/>
      <c r="C64" s="5"/>
      <c r="D64" s="5"/>
      <c r="E64" s="34"/>
      <c r="F64" s="5"/>
      <c r="G64" s="5"/>
      <c r="H64" s="5"/>
      <c r="I64" s="32"/>
      <c r="J64" s="5"/>
    </row>
    <row r="65" spans="1:10" ht="15">
      <c r="A65" s="5"/>
      <c r="B65" s="5"/>
      <c r="C65" s="5" t="s">
        <v>209</v>
      </c>
      <c r="D65" s="5" t="s">
        <v>66</v>
      </c>
      <c r="E65" s="34">
        <f>Input!G61</f>
        <v>35</v>
      </c>
      <c r="F65" s="5"/>
      <c r="G65" s="5" t="s">
        <v>71</v>
      </c>
      <c r="H65" s="5"/>
      <c r="I65" s="15"/>
      <c r="J65" s="5"/>
    </row>
    <row r="66" spans="1:10" ht="7.5" customHeight="1">
      <c r="A66" s="5"/>
      <c r="B66" s="5"/>
      <c r="C66" s="5"/>
      <c r="D66" s="5"/>
      <c r="E66" s="34"/>
      <c r="F66" s="5"/>
      <c r="G66" s="5"/>
      <c r="H66" s="5"/>
      <c r="I66" s="32"/>
      <c r="J66" s="5"/>
    </row>
    <row r="67" spans="1:10" ht="15.75">
      <c r="A67" s="5"/>
      <c r="B67" s="6"/>
      <c r="C67" s="26" t="s">
        <v>39</v>
      </c>
      <c r="D67" s="6" t="s">
        <v>66</v>
      </c>
      <c r="E67" s="36">
        <f>E43+E55+E59+E63+E65+E47+E51</f>
        <v>292.71000000000004</v>
      </c>
      <c r="F67" s="6"/>
      <c r="G67" s="6" t="s">
        <v>71</v>
      </c>
      <c r="H67" s="5"/>
      <c r="I67" s="15"/>
      <c r="J67" s="5"/>
    </row>
    <row r="68" spans="1:10" ht="15">
      <c r="A68" s="5"/>
      <c r="B68" s="5"/>
      <c r="C68" s="5"/>
      <c r="D68" s="5"/>
      <c r="E68" s="5"/>
      <c r="F68" s="5"/>
      <c r="G68" s="5"/>
      <c r="H68" s="5"/>
      <c r="I68" s="5"/>
      <c r="J68" s="5"/>
    </row>
    <row r="69" spans="1:10" ht="15.75">
      <c r="A69" s="5"/>
      <c r="B69" s="6" t="s">
        <v>390</v>
      </c>
      <c r="C69" s="5"/>
      <c r="D69" s="5"/>
      <c r="E69" s="5"/>
      <c r="F69" s="5"/>
      <c r="G69" s="5"/>
      <c r="H69" s="5"/>
      <c r="I69" s="5"/>
      <c r="J69" s="5"/>
    </row>
    <row r="70" spans="1:10" ht="15">
      <c r="A70" s="5"/>
      <c r="B70" s="5"/>
      <c r="C70" s="5" t="s">
        <v>11</v>
      </c>
      <c r="D70" s="5"/>
      <c r="E70" s="10">
        <f>Input!G67</f>
        <v>3</v>
      </c>
      <c r="F70" s="5"/>
      <c r="G70" s="5" t="s">
        <v>71</v>
      </c>
      <c r="H70" s="5"/>
      <c r="I70" s="15"/>
      <c r="J70" s="5"/>
    </row>
    <row r="71" spans="1:10" ht="15">
      <c r="A71" s="5"/>
      <c r="B71" s="5"/>
      <c r="C71" s="5" t="s">
        <v>12</v>
      </c>
      <c r="D71" s="5"/>
      <c r="E71" s="31">
        <f>Input!G68</f>
        <v>45</v>
      </c>
      <c r="F71" s="11"/>
      <c r="G71" s="11" t="s">
        <v>71</v>
      </c>
      <c r="H71" s="5"/>
      <c r="I71" s="16"/>
      <c r="J71" s="5"/>
    </row>
    <row r="72" spans="1:10" ht="15.75">
      <c r="A72" s="5"/>
      <c r="B72" s="5"/>
      <c r="C72" s="8" t="s">
        <v>39</v>
      </c>
      <c r="D72" s="6"/>
      <c r="E72" s="36">
        <f>SUM(E70:E71)</f>
        <v>48</v>
      </c>
      <c r="F72" s="6"/>
      <c r="G72" s="6" t="s">
        <v>71</v>
      </c>
      <c r="H72" s="5"/>
      <c r="I72" s="16"/>
      <c r="J72" s="5"/>
    </row>
    <row r="73" spans="1:10" ht="15">
      <c r="A73" s="5"/>
      <c r="B73" s="5"/>
      <c r="C73" s="5"/>
      <c r="D73" s="5"/>
      <c r="E73" s="5"/>
      <c r="F73" s="5"/>
      <c r="G73" s="5"/>
      <c r="H73" s="5"/>
      <c r="I73" s="5"/>
      <c r="J73" s="5"/>
    </row>
    <row r="74" spans="1:10" ht="15.75">
      <c r="A74" s="5"/>
      <c r="B74" s="6" t="s">
        <v>391</v>
      </c>
      <c r="C74" s="5"/>
      <c r="D74" s="5"/>
      <c r="E74" s="37"/>
      <c r="F74" s="5"/>
      <c r="G74" s="5"/>
      <c r="H74" s="5"/>
      <c r="I74" s="5"/>
      <c r="J74" s="5"/>
    </row>
    <row r="75" spans="1:10" ht="15">
      <c r="A75" s="5"/>
      <c r="B75" s="5"/>
      <c r="C75" s="5" t="str">
        <f>Input!C71</f>
        <v>Contact Fungicide</v>
      </c>
      <c r="D75" s="5"/>
      <c r="E75" s="5">
        <f>Input!E71</f>
        <v>11</v>
      </c>
      <c r="F75" s="5"/>
      <c r="G75" s="5" t="s">
        <v>131</v>
      </c>
      <c r="H75" s="5"/>
      <c r="I75" s="15"/>
      <c r="J75" s="5"/>
    </row>
    <row r="76" spans="1:10" ht="15">
      <c r="A76" s="5"/>
      <c r="B76" s="5"/>
      <c r="C76" s="5"/>
      <c r="D76" s="5" t="s">
        <v>64</v>
      </c>
      <c r="E76" s="20">
        <f>Input!F71</f>
        <v>6.5</v>
      </c>
      <c r="F76" s="5"/>
      <c r="G76" s="5" t="s">
        <v>284</v>
      </c>
      <c r="H76" s="5"/>
      <c r="I76" s="16"/>
      <c r="J76" s="5"/>
    </row>
    <row r="77" spans="1:10" ht="15">
      <c r="A77" s="5"/>
      <c r="B77" s="5"/>
      <c r="C77" s="5"/>
      <c r="D77" s="5" t="s">
        <v>66</v>
      </c>
      <c r="E77" s="34">
        <f>ROUND((E75*E76),2)</f>
        <v>71.5</v>
      </c>
      <c r="F77" s="5"/>
      <c r="G77" s="5" t="s">
        <v>71</v>
      </c>
      <c r="H77" s="5"/>
      <c r="I77" s="16"/>
      <c r="J77" s="5"/>
    </row>
    <row r="78" spans="1:10" ht="7.5" customHeight="1">
      <c r="A78" s="5"/>
      <c r="B78" s="5"/>
      <c r="C78" s="5"/>
      <c r="D78" s="5"/>
      <c r="E78" s="5"/>
      <c r="F78" s="5"/>
      <c r="G78" s="5"/>
      <c r="H78" s="5"/>
      <c r="I78" s="5"/>
      <c r="J78" s="5"/>
    </row>
    <row r="79" spans="1:10" ht="15">
      <c r="A79" s="5"/>
      <c r="B79" s="5"/>
      <c r="C79" s="5" t="str">
        <f>Input!C72</f>
        <v>Systemic Fungicide</v>
      </c>
      <c r="D79" s="5"/>
      <c r="E79" s="5">
        <f>Input!E72</f>
        <v>2</v>
      </c>
      <c r="F79" s="5"/>
      <c r="G79" s="5" t="s">
        <v>131</v>
      </c>
      <c r="H79" s="5"/>
      <c r="I79" s="15"/>
      <c r="J79" s="5"/>
    </row>
    <row r="80" spans="1:10" ht="15">
      <c r="A80" s="5"/>
      <c r="B80" s="5"/>
      <c r="C80" s="5"/>
      <c r="D80" s="5" t="s">
        <v>64</v>
      </c>
      <c r="E80" s="20">
        <f>Input!F72</f>
        <v>20</v>
      </c>
      <c r="F80" s="5"/>
      <c r="G80" s="5" t="s">
        <v>284</v>
      </c>
      <c r="H80" s="5"/>
      <c r="I80" s="16"/>
      <c r="J80" s="5"/>
    </row>
    <row r="81" spans="1:10" ht="15">
      <c r="A81" s="5"/>
      <c r="B81" s="5"/>
      <c r="C81" s="5"/>
      <c r="D81" s="5" t="s">
        <v>66</v>
      </c>
      <c r="E81" s="34">
        <f>ROUND((E79*E80),2)</f>
        <v>40</v>
      </c>
      <c r="F81" s="5"/>
      <c r="G81" s="5" t="s">
        <v>71</v>
      </c>
      <c r="H81" s="5"/>
      <c r="I81" s="16"/>
      <c r="J81" s="5"/>
    </row>
    <row r="82" spans="1:10" ht="7.5" customHeight="1">
      <c r="A82" s="5"/>
      <c r="B82" s="5"/>
      <c r="C82" s="5"/>
      <c r="D82" s="5"/>
      <c r="E82" s="5"/>
      <c r="F82" s="5"/>
      <c r="G82" s="5"/>
      <c r="H82" s="5"/>
      <c r="I82" s="5"/>
      <c r="J82" s="5"/>
    </row>
    <row r="83" spans="1:10" ht="15">
      <c r="A83" s="5"/>
      <c r="B83" s="5"/>
      <c r="C83" s="5" t="str">
        <f>Input!C73</f>
        <v>Phos Acid Fungicide</v>
      </c>
      <c r="D83" s="5"/>
      <c r="E83" s="5">
        <f>Input!E73</f>
        <v>3</v>
      </c>
      <c r="F83" s="5"/>
      <c r="G83" s="5" t="s">
        <v>131</v>
      </c>
      <c r="H83" s="5"/>
      <c r="I83" s="15"/>
      <c r="J83" s="5"/>
    </row>
    <row r="84" spans="1:10" ht="15">
      <c r="A84" s="5"/>
      <c r="B84" s="5"/>
      <c r="C84" s="5"/>
      <c r="D84" s="5" t="s">
        <v>64</v>
      </c>
      <c r="E84" s="20">
        <f>Input!F73</f>
        <v>26.67</v>
      </c>
      <c r="F84" s="5"/>
      <c r="G84" s="5" t="s">
        <v>284</v>
      </c>
      <c r="H84" s="5"/>
      <c r="I84" s="16"/>
      <c r="J84" s="5"/>
    </row>
    <row r="85" spans="1:10" ht="15">
      <c r="A85" s="5"/>
      <c r="B85" s="5"/>
      <c r="C85" s="5"/>
      <c r="D85" s="5" t="s">
        <v>66</v>
      </c>
      <c r="E85" s="34">
        <f>ROUND((E83*E84),2)</f>
        <v>80.01</v>
      </c>
      <c r="F85" s="5"/>
      <c r="G85" s="5" t="s">
        <v>71</v>
      </c>
      <c r="H85" s="5"/>
      <c r="I85" s="16"/>
      <c r="J85" s="5"/>
    </row>
    <row r="86" spans="1:10" ht="7.5" customHeight="1">
      <c r="A86" s="5"/>
      <c r="B86" s="5"/>
      <c r="C86" s="5"/>
      <c r="D86" s="5"/>
      <c r="E86" s="5"/>
      <c r="F86" s="5"/>
      <c r="G86" s="5"/>
      <c r="H86" s="5"/>
      <c r="I86" s="5"/>
      <c r="J86" s="5"/>
    </row>
    <row r="87" spans="1:10" ht="15">
      <c r="A87" s="5"/>
      <c r="B87" s="5"/>
      <c r="C87" s="5" t="str">
        <f>Input!C74</f>
        <v>Insecticide</v>
      </c>
      <c r="D87" s="5"/>
      <c r="E87" s="5">
        <f>Input!E74</f>
        <v>1</v>
      </c>
      <c r="F87" s="5"/>
      <c r="G87" s="5" t="s">
        <v>131</v>
      </c>
      <c r="H87" s="5"/>
      <c r="I87" s="15"/>
      <c r="J87" s="5"/>
    </row>
    <row r="88" spans="1:10" ht="15">
      <c r="A88" s="5"/>
      <c r="B88" s="5"/>
      <c r="C88" s="5"/>
      <c r="D88" s="5" t="s">
        <v>64</v>
      </c>
      <c r="E88" s="20">
        <f>Input!F74</f>
        <v>20</v>
      </c>
      <c r="F88" s="5"/>
      <c r="G88" s="5" t="s">
        <v>284</v>
      </c>
      <c r="H88" s="5"/>
      <c r="I88" s="16"/>
      <c r="J88" s="5"/>
    </row>
    <row r="89" spans="1:10" ht="15">
      <c r="A89" s="5"/>
      <c r="B89" s="5"/>
      <c r="C89" s="5"/>
      <c r="D89" s="5" t="s">
        <v>66</v>
      </c>
      <c r="E89" s="34">
        <f>ROUND((E87*E88),2)</f>
        <v>20</v>
      </c>
      <c r="F89" s="5"/>
      <c r="G89" s="5" t="s">
        <v>71</v>
      </c>
      <c r="H89" s="5"/>
      <c r="I89" s="16"/>
      <c r="J89" s="5"/>
    </row>
    <row r="90" spans="1:10" ht="7.5" customHeight="1">
      <c r="A90" s="5"/>
      <c r="B90" s="5"/>
      <c r="C90" s="5"/>
      <c r="D90" s="5"/>
      <c r="E90" s="5"/>
      <c r="F90" s="5"/>
      <c r="G90" s="5"/>
      <c r="H90" s="5"/>
      <c r="I90" s="5"/>
      <c r="J90" s="5"/>
    </row>
    <row r="91" spans="1:10" ht="15.75">
      <c r="A91" s="5"/>
      <c r="B91" s="5"/>
      <c r="C91" s="8" t="s">
        <v>98</v>
      </c>
      <c r="D91" s="6" t="s">
        <v>66</v>
      </c>
      <c r="E91" s="36">
        <f>E77+E81+E89+E85</f>
        <v>211.51</v>
      </c>
      <c r="F91" s="6"/>
      <c r="G91" s="6" t="s">
        <v>71</v>
      </c>
      <c r="H91" s="5"/>
      <c r="I91" s="15"/>
      <c r="J91" s="5"/>
    </row>
    <row r="92" spans="1:10" ht="15">
      <c r="A92" s="5"/>
      <c r="B92" s="5"/>
      <c r="C92" s="5"/>
      <c r="D92" s="5"/>
      <c r="E92" s="5"/>
      <c r="F92" s="5"/>
      <c r="G92" s="5"/>
      <c r="H92" s="5"/>
      <c r="I92" s="5"/>
      <c r="J92" s="5"/>
    </row>
    <row r="93" spans="1:10" ht="15.75">
      <c r="A93" s="5"/>
      <c r="B93" s="6" t="s">
        <v>392</v>
      </c>
      <c r="C93" s="5"/>
      <c r="D93" s="5"/>
      <c r="E93" s="5"/>
      <c r="F93" s="5"/>
      <c r="G93" s="5"/>
      <c r="H93" s="5"/>
      <c r="I93" s="5"/>
      <c r="J93" s="5"/>
    </row>
    <row r="94" spans="1:10" ht="15">
      <c r="A94" s="5"/>
      <c r="B94" s="5"/>
      <c r="C94" s="5" t="s">
        <v>72</v>
      </c>
      <c r="D94" s="5"/>
      <c r="G94" s="119" t="s">
        <v>19</v>
      </c>
      <c r="H94" s="10">
        <f>Input!G77</f>
        <v>0.85</v>
      </c>
      <c r="I94" s="15"/>
      <c r="J94" s="5"/>
    </row>
    <row r="95" spans="1:10" ht="7.5" customHeight="1">
      <c r="A95" s="5"/>
      <c r="B95" s="5"/>
      <c r="C95" s="5"/>
      <c r="D95" s="5"/>
      <c r="G95" s="119"/>
      <c r="H95" s="10"/>
      <c r="I95" s="5"/>
      <c r="J95" s="5"/>
    </row>
    <row r="96" spans="1:10" ht="15.75">
      <c r="A96" s="5"/>
      <c r="B96" s="5"/>
      <c r="C96" s="127" t="s">
        <v>20</v>
      </c>
      <c r="D96" s="8" t="s">
        <v>14</v>
      </c>
      <c r="E96" s="8" t="s">
        <v>271</v>
      </c>
      <c r="G96" s="8" t="s">
        <v>271</v>
      </c>
      <c r="H96" s="8" t="s">
        <v>264</v>
      </c>
      <c r="I96" s="32"/>
      <c r="J96" s="5"/>
    </row>
    <row r="97" spans="1:10" ht="15.75">
      <c r="A97" s="5"/>
      <c r="B97" s="5"/>
      <c r="C97" s="128" t="s">
        <v>21</v>
      </c>
      <c r="D97" s="9" t="s">
        <v>22</v>
      </c>
      <c r="E97" s="9" t="s">
        <v>273</v>
      </c>
      <c r="G97" s="9" t="s">
        <v>272</v>
      </c>
      <c r="H97" s="9" t="s">
        <v>265</v>
      </c>
      <c r="I97" s="32"/>
      <c r="J97" s="5"/>
    </row>
    <row r="98" spans="1:10" ht="15.75">
      <c r="A98" s="5"/>
      <c r="B98" s="5"/>
      <c r="C98" s="5" t="s">
        <v>23</v>
      </c>
      <c r="D98" s="57">
        <f>Input!D81</f>
        <v>0</v>
      </c>
      <c r="E98" s="173">
        <f>Input!E81</f>
        <v>0.75</v>
      </c>
      <c r="G98" s="121">
        <f aca="true" t="shared" si="0" ref="G98:G108">SUM(E98/4.546)</f>
        <v>0.1649802023757149</v>
      </c>
      <c r="H98" s="62">
        <f aca="true" t="shared" si="1" ref="H98:H108">SUM($H$94*E98*D98)</f>
        <v>0</v>
      </c>
      <c r="I98" s="15"/>
      <c r="J98" s="5"/>
    </row>
    <row r="99" spans="1:10" ht="15.75">
      <c r="A99" s="5"/>
      <c r="B99" s="5"/>
      <c r="C99" s="5" t="s">
        <v>348</v>
      </c>
      <c r="D99" s="57">
        <f>Input!D82</f>
        <v>1</v>
      </c>
      <c r="E99" s="173">
        <f>Input!E82</f>
        <v>4.6</v>
      </c>
      <c r="G99" s="121">
        <f t="shared" si="0"/>
        <v>1.0118785745710512</v>
      </c>
      <c r="H99" s="62">
        <f t="shared" si="1"/>
        <v>3.9099999999999997</v>
      </c>
      <c r="I99" s="16"/>
      <c r="J99" s="5"/>
    </row>
    <row r="100" spans="1:10" ht="15.75">
      <c r="A100" s="5"/>
      <c r="B100" s="5"/>
      <c r="C100" s="5" t="s">
        <v>24</v>
      </c>
      <c r="D100" s="57">
        <f>Input!D83</f>
        <v>1</v>
      </c>
      <c r="E100" s="173">
        <f>Input!E83</f>
        <v>1.29</v>
      </c>
      <c r="G100" s="121">
        <f t="shared" si="0"/>
        <v>0.2837659480862296</v>
      </c>
      <c r="H100" s="62">
        <f t="shared" si="1"/>
        <v>1.0965</v>
      </c>
      <c r="I100" s="16"/>
      <c r="J100" s="5"/>
    </row>
    <row r="101" spans="1:10" ht="15.75">
      <c r="A101" s="5"/>
      <c r="B101" s="5"/>
      <c r="C101" s="5" t="s">
        <v>25</v>
      </c>
      <c r="D101" s="57">
        <f>Input!D84</f>
        <v>1</v>
      </c>
      <c r="E101" s="173">
        <f>Input!E84</f>
        <v>1.4</v>
      </c>
      <c r="G101" s="121">
        <f t="shared" si="0"/>
        <v>0.3079630444346678</v>
      </c>
      <c r="H101" s="62">
        <f t="shared" si="1"/>
        <v>1.19</v>
      </c>
      <c r="I101" s="16"/>
      <c r="J101" s="5"/>
    </row>
    <row r="102" spans="1:10" ht="15.75">
      <c r="A102" s="5"/>
      <c r="B102" s="5"/>
      <c r="C102" s="5" t="s">
        <v>26</v>
      </c>
      <c r="D102" s="57">
        <f>Input!D85</f>
        <v>3</v>
      </c>
      <c r="E102" s="173">
        <f>Input!E85</f>
        <v>0.42</v>
      </c>
      <c r="G102" s="121">
        <f t="shared" si="0"/>
        <v>0.09238891333040035</v>
      </c>
      <c r="H102" s="62">
        <f t="shared" si="1"/>
        <v>1.071</v>
      </c>
      <c r="I102" s="16"/>
      <c r="J102" s="5"/>
    </row>
    <row r="103" spans="1:10" ht="15.75">
      <c r="A103" s="5"/>
      <c r="B103" s="5"/>
      <c r="C103" s="5" t="s">
        <v>24</v>
      </c>
      <c r="D103" s="57">
        <f>Input!D86</f>
        <v>1</v>
      </c>
      <c r="E103" s="173">
        <f>Input!E86</f>
        <v>1.74</v>
      </c>
      <c r="G103" s="121">
        <f t="shared" si="0"/>
        <v>0.3827540695116586</v>
      </c>
      <c r="H103" s="62">
        <f t="shared" si="1"/>
        <v>1.4789999999999999</v>
      </c>
      <c r="I103" s="16"/>
      <c r="J103" s="5"/>
    </row>
    <row r="104" spans="1:10" ht="15.75">
      <c r="A104" s="5"/>
      <c r="B104" s="5"/>
      <c r="C104" s="5" t="s">
        <v>27</v>
      </c>
      <c r="D104" s="57">
        <f>Input!D87</f>
        <v>2</v>
      </c>
      <c r="E104" s="173">
        <f>Input!E87</f>
        <v>1.74</v>
      </c>
      <c r="G104" s="121">
        <f t="shared" si="0"/>
        <v>0.3827540695116586</v>
      </c>
      <c r="H104" s="62">
        <f t="shared" si="1"/>
        <v>2.9579999999999997</v>
      </c>
      <c r="I104" s="16"/>
      <c r="J104" s="5"/>
    </row>
    <row r="105" spans="1:10" ht="15.75">
      <c r="A105" s="5"/>
      <c r="B105" s="5"/>
      <c r="C105" s="5" t="s">
        <v>28</v>
      </c>
      <c r="D105" s="57">
        <f>Input!D88</f>
        <v>1</v>
      </c>
      <c r="E105" s="173">
        <f>Input!E88</f>
        <v>0.42</v>
      </c>
      <c r="G105" s="121">
        <f t="shared" si="0"/>
        <v>0.09238891333040035</v>
      </c>
      <c r="H105" s="62">
        <f t="shared" si="1"/>
        <v>0.357</v>
      </c>
      <c r="I105" s="16"/>
      <c r="J105" s="5"/>
    </row>
    <row r="106" spans="1:10" ht="15.75">
      <c r="A106" s="5"/>
      <c r="B106" s="5"/>
      <c r="C106" s="5" t="s">
        <v>29</v>
      </c>
      <c r="D106" s="57">
        <f>Input!D89</f>
        <v>1</v>
      </c>
      <c r="E106" s="173">
        <f>Input!E89</f>
        <v>8.5</v>
      </c>
      <c r="G106" s="121">
        <f t="shared" si="0"/>
        <v>1.869775626924769</v>
      </c>
      <c r="H106" s="62">
        <f t="shared" si="1"/>
        <v>7.225</v>
      </c>
      <c r="I106" s="16"/>
      <c r="J106" s="5"/>
    </row>
    <row r="107" spans="1:10" ht="15.75">
      <c r="A107" s="5"/>
      <c r="B107" s="5"/>
      <c r="C107" s="5" t="s">
        <v>274</v>
      </c>
      <c r="D107" s="57">
        <f>Input!D90</f>
        <v>1</v>
      </c>
      <c r="E107" s="173">
        <f>Input!E90</f>
        <v>5.75</v>
      </c>
      <c r="G107" s="121">
        <f t="shared" si="0"/>
        <v>1.2648482182138143</v>
      </c>
      <c r="H107" s="62">
        <f t="shared" si="1"/>
        <v>4.8875</v>
      </c>
      <c r="I107" s="16"/>
      <c r="J107" s="5"/>
    </row>
    <row r="108" spans="1:10" ht="15.75">
      <c r="A108" s="5"/>
      <c r="B108" s="5"/>
      <c r="C108" s="5" t="s">
        <v>95</v>
      </c>
      <c r="D108" s="57">
        <f>Input!D91</f>
        <v>1</v>
      </c>
      <c r="E108" s="173">
        <f>Input!E91</f>
        <v>1.85</v>
      </c>
      <c r="G108" s="121">
        <f t="shared" si="0"/>
        <v>0.4069511658600968</v>
      </c>
      <c r="H108" s="120">
        <f t="shared" si="1"/>
        <v>1.5725</v>
      </c>
      <c r="I108" s="15"/>
      <c r="J108" s="5"/>
    </row>
    <row r="109" spans="1:10" ht="15.75">
      <c r="A109" s="5"/>
      <c r="B109" s="5"/>
      <c r="C109" s="7"/>
      <c r="E109" s="7"/>
      <c r="F109" s="7"/>
      <c r="G109" s="7"/>
      <c r="H109" s="62">
        <f>SUM(H98:H108)</f>
        <v>25.746499999999997</v>
      </c>
      <c r="I109" s="15"/>
      <c r="J109" s="5"/>
    </row>
    <row r="110" spans="1:10" ht="15">
      <c r="A110" s="5"/>
      <c r="B110" s="5"/>
      <c r="C110" s="5"/>
      <c r="D110" s="5"/>
      <c r="E110" s="5"/>
      <c r="F110" s="5"/>
      <c r="G110" s="5"/>
      <c r="H110" s="5"/>
      <c r="I110" s="5"/>
      <c r="J110" s="5"/>
    </row>
    <row r="111" spans="1:10" ht="15.75">
      <c r="A111" s="5"/>
      <c r="B111" s="5"/>
      <c r="C111" s="5" t="s">
        <v>373</v>
      </c>
      <c r="D111" s="5"/>
      <c r="E111" s="5"/>
      <c r="F111" s="5"/>
      <c r="G111" s="5"/>
      <c r="I111" s="8"/>
      <c r="J111" s="5"/>
    </row>
    <row r="112" spans="1:10" ht="15">
      <c r="A112" s="5"/>
      <c r="B112" s="5"/>
      <c r="C112" s="5" t="str">
        <f>Input!$D$30&amp;" Yield"</f>
        <v>Low Yield</v>
      </c>
      <c r="D112" s="5"/>
      <c r="E112" s="5">
        <f>Input!D31</f>
        <v>305</v>
      </c>
      <c r="F112" s="5"/>
      <c r="G112" s="5" t="s">
        <v>205</v>
      </c>
      <c r="H112" s="5"/>
      <c r="I112" s="15"/>
      <c r="J112" s="5"/>
    </row>
    <row r="113" spans="1:9" ht="15">
      <c r="A113" s="5"/>
      <c r="B113" s="5"/>
      <c r="C113" s="5"/>
      <c r="D113" s="5" t="s">
        <v>66</v>
      </c>
      <c r="E113" s="37">
        <f>(E112*100)/2000</f>
        <v>15.25</v>
      </c>
      <c r="F113" s="5"/>
      <c r="G113" s="5" t="s">
        <v>206</v>
      </c>
      <c r="H113" s="5"/>
      <c r="I113" s="16"/>
    </row>
    <row r="114" spans="1:10" ht="15">
      <c r="A114" s="5"/>
      <c r="B114" s="5"/>
      <c r="C114" s="5"/>
      <c r="D114" s="5" t="s">
        <v>73</v>
      </c>
      <c r="E114" s="5">
        <f>Input!$G$94*100/2000</f>
        <v>13.75</v>
      </c>
      <c r="F114" s="5"/>
      <c r="G114" s="5" t="s">
        <v>175</v>
      </c>
      <c r="H114" s="5"/>
      <c r="I114" s="15"/>
      <c r="J114" s="5"/>
    </row>
    <row r="115" spans="1:10" ht="15">
      <c r="A115" s="5"/>
      <c r="B115" s="5"/>
      <c r="C115" s="5"/>
      <c r="D115" s="5" t="s">
        <v>66</v>
      </c>
      <c r="E115" s="37">
        <f>E113/E114</f>
        <v>1.1090909090909091</v>
      </c>
      <c r="F115" s="5"/>
      <c r="G115" s="5" t="s">
        <v>132</v>
      </c>
      <c r="H115" s="5"/>
      <c r="I115" s="16"/>
      <c r="J115" s="5"/>
    </row>
    <row r="116" spans="1:10" ht="15">
      <c r="A116" s="5"/>
      <c r="B116" s="5"/>
      <c r="C116" s="5"/>
      <c r="D116" s="5" t="s">
        <v>64</v>
      </c>
      <c r="E116" s="11">
        <f>Input!$G$96</f>
        <v>15</v>
      </c>
      <c r="F116" s="11"/>
      <c r="G116" s="11" t="s">
        <v>197</v>
      </c>
      <c r="H116" s="5"/>
      <c r="I116" s="16"/>
      <c r="J116" s="5"/>
    </row>
    <row r="117" spans="1:10" ht="15">
      <c r="A117" s="5"/>
      <c r="B117" s="5"/>
      <c r="C117" s="5"/>
      <c r="D117" s="5" t="s">
        <v>66</v>
      </c>
      <c r="E117" s="37">
        <f>E115*E116</f>
        <v>16.636363636363637</v>
      </c>
      <c r="F117" s="5"/>
      <c r="G117" s="5" t="s">
        <v>176</v>
      </c>
      <c r="H117" s="5"/>
      <c r="I117" s="16"/>
      <c r="J117" s="5"/>
    </row>
    <row r="118" spans="1:10" ht="15">
      <c r="A118" s="5"/>
      <c r="B118" s="5"/>
      <c r="C118" s="5"/>
      <c r="D118" s="5" t="s">
        <v>73</v>
      </c>
      <c r="E118" s="5">
        <f>Input!$G$95</f>
        <v>2.5</v>
      </c>
      <c r="F118" s="5"/>
      <c r="G118" s="5" t="s">
        <v>177</v>
      </c>
      <c r="H118" s="5"/>
      <c r="I118" s="15"/>
      <c r="J118" s="5"/>
    </row>
    <row r="119" spans="1:10" ht="15">
      <c r="A119" s="5"/>
      <c r="B119" s="5"/>
      <c r="C119" s="5"/>
      <c r="D119" s="5" t="s">
        <v>66</v>
      </c>
      <c r="E119" s="37">
        <f>E117/E118</f>
        <v>6.654545454545454</v>
      </c>
      <c r="F119" s="5"/>
      <c r="G119" s="5" t="s">
        <v>178</v>
      </c>
      <c r="H119" s="5"/>
      <c r="I119" s="16"/>
      <c r="J119" s="5"/>
    </row>
    <row r="120" spans="1:10" ht="15">
      <c r="A120" s="5"/>
      <c r="B120" s="5"/>
      <c r="C120" s="5"/>
      <c r="D120" s="5" t="s">
        <v>64</v>
      </c>
      <c r="E120" s="31">
        <f>Input!$G$77</f>
        <v>0.85</v>
      </c>
      <c r="F120" s="11"/>
      <c r="G120" s="11" t="s">
        <v>179</v>
      </c>
      <c r="H120" s="11"/>
      <c r="I120" s="16"/>
      <c r="J120" s="5"/>
    </row>
    <row r="121" spans="1:10" ht="15">
      <c r="A121" s="5"/>
      <c r="B121" s="5"/>
      <c r="D121" s="5" t="s">
        <v>66</v>
      </c>
      <c r="E121" s="34">
        <f>ROUND((E119*4.546)*E120,2)</f>
        <v>25.71</v>
      </c>
      <c r="F121" s="5"/>
      <c r="G121" s="5" t="s">
        <v>180</v>
      </c>
      <c r="H121" s="5"/>
      <c r="I121" s="16"/>
      <c r="J121" s="5"/>
    </row>
    <row r="122" spans="1:10" ht="15">
      <c r="A122" s="5"/>
      <c r="B122" s="5"/>
      <c r="D122" s="5" t="s">
        <v>75</v>
      </c>
      <c r="E122" s="44">
        <f>$H$109</f>
        <v>25.746499999999997</v>
      </c>
      <c r="F122" s="5"/>
      <c r="G122" s="5" t="s">
        <v>286</v>
      </c>
      <c r="H122" s="5"/>
      <c r="I122" s="15"/>
      <c r="J122" s="5"/>
    </row>
    <row r="123" spans="1:10" ht="15">
      <c r="A123" s="5"/>
      <c r="B123" s="5"/>
      <c r="D123" s="5" t="s">
        <v>66</v>
      </c>
      <c r="E123" s="34">
        <f>SUM(E121+E122)</f>
        <v>51.4565</v>
      </c>
      <c r="F123" s="5"/>
      <c r="G123" s="5" t="s">
        <v>285</v>
      </c>
      <c r="H123" s="5"/>
      <c r="I123" s="15"/>
      <c r="J123" s="5"/>
    </row>
    <row r="124" spans="1:10" ht="15.75">
      <c r="A124" s="5"/>
      <c r="B124" s="5"/>
      <c r="C124" s="8"/>
      <c r="D124" s="5" t="s">
        <v>73</v>
      </c>
      <c r="E124" s="129">
        <f>Input!D33</f>
        <v>259</v>
      </c>
      <c r="F124" s="5"/>
      <c r="G124" s="5" t="s">
        <v>288</v>
      </c>
      <c r="H124" s="5"/>
      <c r="I124" s="15"/>
      <c r="J124" s="5"/>
    </row>
    <row r="125" spans="1:10" ht="15.75">
      <c r="A125" s="5"/>
      <c r="B125" s="5"/>
      <c r="C125" s="8" t="s">
        <v>98</v>
      </c>
      <c r="D125" s="6" t="s">
        <v>66</v>
      </c>
      <c r="E125" s="131">
        <f>SUM(E123/E124)</f>
        <v>0.19867374517374517</v>
      </c>
      <c r="F125" s="6"/>
      <c r="G125" s="6" t="s">
        <v>289</v>
      </c>
      <c r="H125" s="5"/>
      <c r="I125" s="16"/>
      <c r="J125" s="5"/>
    </row>
    <row r="126" spans="1:10" ht="6.75" customHeight="1">
      <c r="A126" s="5"/>
      <c r="B126" s="5"/>
      <c r="C126" s="8"/>
      <c r="D126" s="5"/>
      <c r="E126" s="34"/>
      <c r="F126" s="5"/>
      <c r="G126" s="5"/>
      <c r="H126" s="5"/>
      <c r="I126" s="32"/>
      <c r="J126" s="5"/>
    </row>
    <row r="127" spans="1:10" ht="15">
      <c r="A127" s="5"/>
      <c r="B127" s="5"/>
      <c r="C127" s="5" t="str">
        <f>Input!E30&amp;" Yield"</f>
        <v>Medium Yield</v>
      </c>
      <c r="D127" s="5"/>
      <c r="E127" s="5">
        <f>Input!E31</f>
        <v>335</v>
      </c>
      <c r="F127" s="5"/>
      <c r="G127" s="5" t="s">
        <v>205</v>
      </c>
      <c r="H127" s="5"/>
      <c r="I127" s="15"/>
      <c r="J127" s="5"/>
    </row>
    <row r="128" spans="1:9" ht="15">
      <c r="A128" s="5"/>
      <c r="B128" s="5"/>
      <c r="C128" s="5"/>
      <c r="D128" s="5" t="s">
        <v>66</v>
      </c>
      <c r="E128" s="37">
        <f>(E127*100)/2000</f>
        <v>16.75</v>
      </c>
      <c r="F128" s="5"/>
      <c r="G128" s="5" t="s">
        <v>206</v>
      </c>
      <c r="H128" s="5"/>
      <c r="I128" s="16"/>
    </row>
    <row r="129" spans="1:10" ht="15">
      <c r="A129" s="5"/>
      <c r="B129" s="5"/>
      <c r="C129" s="5"/>
      <c r="D129" s="5" t="s">
        <v>73</v>
      </c>
      <c r="E129" s="5">
        <f>Input!$G$94*100/2000</f>
        <v>13.75</v>
      </c>
      <c r="F129" s="5"/>
      <c r="G129" s="5" t="s">
        <v>175</v>
      </c>
      <c r="H129" s="5"/>
      <c r="I129" s="15"/>
      <c r="J129" s="5"/>
    </row>
    <row r="130" spans="1:10" ht="15">
      <c r="A130" s="5"/>
      <c r="B130" s="5"/>
      <c r="C130" s="5"/>
      <c r="D130" s="5" t="s">
        <v>66</v>
      </c>
      <c r="E130" s="37">
        <f>E128/E129</f>
        <v>1.2181818181818183</v>
      </c>
      <c r="F130" s="5"/>
      <c r="G130" s="5" t="s">
        <v>132</v>
      </c>
      <c r="H130" s="5"/>
      <c r="I130" s="16"/>
      <c r="J130" s="5"/>
    </row>
    <row r="131" spans="1:10" ht="15">
      <c r="A131" s="5"/>
      <c r="B131" s="5"/>
      <c r="C131" s="5"/>
      <c r="D131" s="5" t="s">
        <v>64</v>
      </c>
      <c r="E131" s="11">
        <f>Input!$G$96</f>
        <v>15</v>
      </c>
      <c r="F131" s="11"/>
      <c r="G131" s="11" t="s">
        <v>197</v>
      </c>
      <c r="H131" s="5"/>
      <c r="I131" s="16"/>
      <c r="J131" s="5"/>
    </row>
    <row r="132" spans="1:10" ht="15">
      <c r="A132" s="5"/>
      <c r="B132" s="5"/>
      <c r="C132" s="5"/>
      <c r="D132" s="5" t="s">
        <v>66</v>
      </c>
      <c r="E132" s="37">
        <f>E130*E131</f>
        <v>18.272727272727273</v>
      </c>
      <c r="F132" s="5"/>
      <c r="G132" s="5" t="s">
        <v>176</v>
      </c>
      <c r="H132" s="5"/>
      <c r="I132" s="16"/>
      <c r="J132" s="5"/>
    </row>
    <row r="133" spans="1:10" ht="15">
      <c r="A133" s="5"/>
      <c r="B133" s="5"/>
      <c r="C133" s="5"/>
      <c r="D133" s="5" t="s">
        <v>73</v>
      </c>
      <c r="E133" s="5">
        <f>Input!$G$95</f>
        <v>2.5</v>
      </c>
      <c r="F133" s="5"/>
      <c r="G133" s="5" t="s">
        <v>177</v>
      </c>
      <c r="H133" s="5"/>
      <c r="I133" s="15"/>
      <c r="J133" s="5"/>
    </row>
    <row r="134" spans="1:10" ht="15">
      <c r="A134" s="5"/>
      <c r="B134" s="5"/>
      <c r="C134" s="5"/>
      <c r="D134" s="5" t="s">
        <v>66</v>
      </c>
      <c r="E134" s="37">
        <f>E132/E133</f>
        <v>7.3090909090909095</v>
      </c>
      <c r="F134" s="5"/>
      <c r="G134" s="5" t="s">
        <v>178</v>
      </c>
      <c r="H134" s="5"/>
      <c r="I134" s="16"/>
      <c r="J134" s="5"/>
    </row>
    <row r="135" spans="1:10" ht="15">
      <c r="A135" s="5"/>
      <c r="B135" s="5"/>
      <c r="C135" s="5"/>
      <c r="D135" s="5" t="s">
        <v>64</v>
      </c>
      <c r="E135" s="31">
        <f>Input!$G$77</f>
        <v>0.85</v>
      </c>
      <c r="F135" s="11"/>
      <c r="G135" s="11" t="s">
        <v>179</v>
      </c>
      <c r="H135" s="11"/>
      <c r="I135" s="16"/>
      <c r="J135" s="5"/>
    </row>
    <row r="136" spans="1:10" ht="15">
      <c r="A136" s="5"/>
      <c r="B136" s="5"/>
      <c r="D136" s="5" t="s">
        <v>66</v>
      </c>
      <c r="E136" s="34">
        <f>ROUND((E134*4.546)*E135,2)</f>
        <v>28.24</v>
      </c>
      <c r="F136" s="5"/>
      <c r="G136" s="5" t="s">
        <v>180</v>
      </c>
      <c r="H136" s="5"/>
      <c r="I136" s="16"/>
      <c r="J136" s="5"/>
    </row>
    <row r="137" spans="1:10" ht="15">
      <c r="A137" s="5"/>
      <c r="B137" s="5"/>
      <c r="D137" s="5" t="s">
        <v>75</v>
      </c>
      <c r="E137" s="44">
        <f>$H$109</f>
        <v>25.746499999999997</v>
      </c>
      <c r="F137" s="5"/>
      <c r="G137" s="5" t="s">
        <v>286</v>
      </c>
      <c r="H137" s="5"/>
      <c r="I137" s="15"/>
      <c r="J137" s="5"/>
    </row>
    <row r="138" spans="1:10" ht="15">
      <c r="A138" s="5"/>
      <c r="B138" s="5"/>
      <c r="C138" s="119"/>
      <c r="D138" s="5" t="s">
        <v>66</v>
      </c>
      <c r="E138" s="34">
        <f>SUM(E136+E137)</f>
        <v>53.98649999999999</v>
      </c>
      <c r="F138" s="5"/>
      <c r="G138" s="5" t="s">
        <v>285</v>
      </c>
      <c r="H138" s="5"/>
      <c r="I138" s="15"/>
      <c r="J138" s="5"/>
    </row>
    <row r="139" spans="1:10" ht="15.75">
      <c r="A139" s="5"/>
      <c r="B139" s="5"/>
      <c r="C139" s="8"/>
      <c r="D139" s="5" t="s">
        <v>73</v>
      </c>
      <c r="E139" s="129">
        <f>Input!E33</f>
        <v>285</v>
      </c>
      <c r="F139" s="5"/>
      <c r="G139" s="5" t="s">
        <v>288</v>
      </c>
      <c r="H139" s="5"/>
      <c r="I139" s="15"/>
      <c r="J139" s="5"/>
    </row>
    <row r="140" spans="1:10" ht="15.75">
      <c r="A140" s="5"/>
      <c r="B140" s="5"/>
      <c r="C140" s="8" t="s">
        <v>98</v>
      </c>
      <c r="D140" s="6" t="s">
        <v>66</v>
      </c>
      <c r="E140" s="131">
        <f>SUM(E138/E139)</f>
        <v>0.18942631578947366</v>
      </c>
      <c r="F140" s="6"/>
      <c r="G140" s="6" t="s">
        <v>289</v>
      </c>
      <c r="H140" s="5"/>
      <c r="I140" s="16"/>
      <c r="J140" s="5"/>
    </row>
    <row r="141" spans="1:10" ht="6.75" customHeight="1">
      <c r="A141" s="5"/>
      <c r="B141" s="5"/>
      <c r="C141" s="8"/>
      <c r="D141" s="5"/>
      <c r="E141" s="34"/>
      <c r="F141" s="5"/>
      <c r="G141" s="5"/>
      <c r="H141" s="5"/>
      <c r="I141" s="32"/>
      <c r="J141" s="5"/>
    </row>
    <row r="142" spans="1:10" ht="15">
      <c r="A142" s="5"/>
      <c r="B142" s="5"/>
      <c r="C142" s="5" t="str">
        <f>Input!F30&amp;" Yield"</f>
        <v>Med-High Yield</v>
      </c>
      <c r="D142" s="5"/>
      <c r="E142" s="5">
        <f>Input!F31</f>
        <v>365</v>
      </c>
      <c r="F142" s="5"/>
      <c r="G142" s="5" t="s">
        <v>205</v>
      </c>
      <c r="H142" s="5"/>
      <c r="I142" s="15"/>
      <c r="J142" s="5"/>
    </row>
    <row r="143" spans="1:9" ht="15">
      <c r="A143" s="5"/>
      <c r="B143" s="5"/>
      <c r="C143" s="5"/>
      <c r="D143" s="5" t="s">
        <v>66</v>
      </c>
      <c r="E143" s="37">
        <f>(E142*100)/2000</f>
        <v>18.25</v>
      </c>
      <c r="F143" s="5"/>
      <c r="G143" s="5" t="s">
        <v>206</v>
      </c>
      <c r="H143" s="5"/>
      <c r="I143" s="16"/>
    </row>
    <row r="144" spans="1:10" ht="15">
      <c r="A144" s="5"/>
      <c r="B144" s="5"/>
      <c r="C144" s="5"/>
      <c r="D144" s="5" t="s">
        <v>73</v>
      </c>
      <c r="E144" s="5">
        <f>Input!$G$94*100/2000</f>
        <v>13.75</v>
      </c>
      <c r="F144" s="5"/>
      <c r="G144" s="5" t="s">
        <v>175</v>
      </c>
      <c r="H144" s="5"/>
      <c r="I144" s="15"/>
      <c r="J144" s="5"/>
    </row>
    <row r="145" spans="1:10" ht="15">
      <c r="A145" s="5"/>
      <c r="B145" s="5"/>
      <c r="C145" s="5"/>
      <c r="D145" s="5" t="s">
        <v>66</v>
      </c>
      <c r="E145" s="37">
        <f>E143/E144</f>
        <v>1.3272727272727274</v>
      </c>
      <c r="F145" s="5"/>
      <c r="G145" s="5" t="s">
        <v>132</v>
      </c>
      <c r="H145" s="5"/>
      <c r="I145" s="16"/>
      <c r="J145" s="5"/>
    </row>
    <row r="146" spans="1:10" ht="15">
      <c r="A146" s="5"/>
      <c r="B146" s="5"/>
      <c r="C146" s="5"/>
      <c r="D146" s="5" t="s">
        <v>64</v>
      </c>
      <c r="E146" s="11">
        <f>Input!$G$96</f>
        <v>15</v>
      </c>
      <c r="F146" s="11"/>
      <c r="G146" s="11" t="s">
        <v>197</v>
      </c>
      <c r="H146" s="5"/>
      <c r="I146" s="16"/>
      <c r="J146" s="5"/>
    </row>
    <row r="147" spans="1:10" ht="15">
      <c r="A147" s="5"/>
      <c r="B147" s="5"/>
      <c r="C147" s="5"/>
      <c r="D147" s="5" t="s">
        <v>66</v>
      </c>
      <c r="E147" s="37">
        <f>E145*E146</f>
        <v>19.90909090909091</v>
      </c>
      <c r="F147" s="5"/>
      <c r="G147" s="5" t="s">
        <v>176</v>
      </c>
      <c r="H147" s="5"/>
      <c r="I147" s="16"/>
      <c r="J147" s="5"/>
    </row>
    <row r="148" spans="1:10" ht="15">
      <c r="A148" s="5"/>
      <c r="B148" s="5"/>
      <c r="C148" s="5"/>
      <c r="D148" s="5" t="s">
        <v>73</v>
      </c>
      <c r="E148" s="5">
        <f>Input!$G$95</f>
        <v>2.5</v>
      </c>
      <c r="F148" s="5"/>
      <c r="G148" s="5" t="s">
        <v>177</v>
      </c>
      <c r="H148" s="5"/>
      <c r="I148" s="15"/>
      <c r="J148" s="5"/>
    </row>
    <row r="149" spans="1:10" ht="15">
      <c r="A149" s="5"/>
      <c r="B149" s="5"/>
      <c r="C149" s="5"/>
      <c r="D149" s="5" t="s">
        <v>66</v>
      </c>
      <c r="E149" s="37">
        <f>E147/E148</f>
        <v>7.963636363636364</v>
      </c>
      <c r="F149" s="5"/>
      <c r="G149" s="5" t="s">
        <v>178</v>
      </c>
      <c r="H149" s="5"/>
      <c r="I149" s="16"/>
      <c r="J149" s="5"/>
    </row>
    <row r="150" spans="1:10" ht="15">
      <c r="A150" s="5"/>
      <c r="B150" s="5"/>
      <c r="C150" s="5"/>
      <c r="D150" s="5" t="s">
        <v>64</v>
      </c>
      <c r="E150" s="31">
        <f>Input!$G$77</f>
        <v>0.85</v>
      </c>
      <c r="F150" s="11"/>
      <c r="G150" s="11" t="s">
        <v>179</v>
      </c>
      <c r="H150" s="11"/>
      <c r="I150" s="16"/>
      <c r="J150" s="5"/>
    </row>
    <row r="151" spans="1:10" ht="15">
      <c r="A151" s="5"/>
      <c r="B151" s="5"/>
      <c r="D151" s="5" t="s">
        <v>66</v>
      </c>
      <c r="E151" s="34">
        <f>ROUND((E149*4.546)*E150,2)</f>
        <v>30.77</v>
      </c>
      <c r="F151" s="5"/>
      <c r="G151" s="5" t="s">
        <v>180</v>
      </c>
      <c r="H151" s="5"/>
      <c r="I151" s="16"/>
      <c r="J151" s="5"/>
    </row>
    <row r="152" spans="1:10" ht="15">
      <c r="A152" s="5"/>
      <c r="B152" s="5"/>
      <c r="D152" s="5" t="s">
        <v>75</v>
      </c>
      <c r="E152" s="44">
        <f>$H$109</f>
        <v>25.746499999999997</v>
      </c>
      <c r="F152" s="5"/>
      <c r="G152" s="5" t="s">
        <v>286</v>
      </c>
      <c r="H152" s="5"/>
      <c r="I152" s="15"/>
      <c r="J152" s="5"/>
    </row>
    <row r="153" spans="1:10" ht="15">
      <c r="A153" s="5"/>
      <c r="B153" s="5"/>
      <c r="C153" s="119"/>
      <c r="D153" s="5" t="s">
        <v>66</v>
      </c>
      <c r="E153" s="34">
        <f>SUM(E151+E152)</f>
        <v>56.51649999999999</v>
      </c>
      <c r="F153" s="5"/>
      <c r="G153" s="5" t="s">
        <v>285</v>
      </c>
      <c r="H153" s="5"/>
      <c r="I153" s="15"/>
      <c r="J153" s="5"/>
    </row>
    <row r="154" spans="1:10" ht="15.75">
      <c r="A154" s="5"/>
      <c r="B154" s="5"/>
      <c r="C154" s="8"/>
      <c r="D154" s="5" t="s">
        <v>73</v>
      </c>
      <c r="E154" s="129">
        <f>Input!F33</f>
        <v>310</v>
      </c>
      <c r="F154" s="5"/>
      <c r="G154" s="5" t="s">
        <v>288</v>
      </c>
      <c r="H154" s="5"/>
      <c r="I154" s="15"/>
      <c r="J154" s="5"/>
    </row>
    <row r="155" spans="1:10" ht="15.75">
      <c r="A155" s="5"/>
      <c r="B155" s="5"/>
      <c r="C155" s="8" t="s">
        <v>98</v>
      </c>
      <c r="D155" s="6" t="s">
        <v>66</v>
      </c>
      <c r="E155" s="131">
        <f>SUM(E153/E154)</f>
        <v>0.18231129032258062</v>
      </c>
      <c r="F155" s="6"/>
      <c r="G155" s="6" t="s">
        <v>289</v>
      </c>
      <c r="H155" s="5"/>
      <c r="I155" s="16"/>
      <c r="J155" s="5"/>
    </row>
    <row r="156" spans="1:10" ht="6.75" customHeight="1">
      <c r="A156" s="5"/>
      <c r="B156" s="5"/>
      <c r="C156" s="8"/>
      <c r="D156" s="5"/>
      <c r="E156" s="34"/>
      <c r="F156" s="5"/>
      <c r="G156" s="5"/>
      <c r="H156" s="5"/>
      <c r="I156" s="32"/>
      <c r="J156" s="5"/>
    </row>
    <row r="157" spans="1:10" ht="15">
      <c r="A157" s="5"/>
      <c r="B157" s="5"/>
      <c r="C157" s="5" t="str">
        <f>Input!G30&amp;" Yield"</f>
        <v>High Yield</v>
      </c>
      <c r="D157" s="5"/>
      <c r="E157" s="5">
        <f>Input!G31</f>
        <v>395</v>
      </c>
      <c r="F157" s="5"/>
      <c r="G157" s="5" t="s">
        <v>205</v>
      </c>
      <c r="H157" s="5"/>
      <c r="I157" s="15"/>
      <c r="J157" s="5"/>
    </row>
    <row r="158" spans="1:9" ht="15">
      <c r="A158" s="5"/>
      <c r="B158" s="5"/>
      <c r="C158" s="5"/>
      <c r="D158" s="5" t="s">
        <v>66</v>
      </c>
      <c r="E158" s="37">
        <f>(E157*100)/2000</f>
        <v>19.75</v>
      </c>
      <c r="F158" s="5"/>
      <c r="G158" s="5" t="s">
        <v>206</v>
      </c>
      <c r="H158" s="5"/>
      <c r="I158" s="16"/>
    </row>
    <row r="159" spans="1:10" ht="15">
      <c r="A159" s="5"/>
      <c r="B159" s="5"/>
      <c r="C159" s="5"/>
      <c r="D159" s="5" t="s">
        <v>73</v>
      </c>
      <c r="E159" s="5">
        <f>Input!$G$94*100/2000</f>
        <v>13.75</v>
      </c>
      <c r="F159" s="5"/>
      <c r="G159" s="5" t="s">
        <v>175</v>
      </c>
      <c r="H159" s="5"/>
      <c r="I159" s="15"/>
      <c r="J159" s="5"/>
    </row>
    <row r="160" spans="1:10" ht="15">
      <c r="A160" s="5"/>
      <c r="B160" s="5"/>
      <c r="C160" s="5"/>
      <c r="D160" s="5" t="s">
        <v>66</v>
      </c>
      <c r="E160" s="37">
        <f>E158/E159</f>
        <v>1.4363636363636363</v>
      </c>
      <c r="F160" s="5"/>
      <c r="G160" s="5" t="s">
        <v>132</v>
      </c>
      <c r="H160" s="5"/>
      <c r="I160" s="16"/>
      <c r="J160" s="5"/>
    </row>
    <row r="161" spans="1:10" ht="15">
      <c r="A161" s="5"/>
      <c r="B161" s="5"/>
      <c r="C161" s="5"/>
      <c r="D161" s="5" t="s">
        <v>64</v>
      </c>
      <c r="E161" s="11">
        <f>Input!$G$96</f>
        <v>15</v>
      </c>
      <c r="F161" s="11"/>
      <c r="G161" s="11" t="s">
        <v>197</v>
      </c>
      <c r="H161" s="5"/>
      <c r="I161" s="16"/>
      <c r="J161" s="5"/>
    </row>
    <row r="162" spans="1:10" ht="15">
      <c r="A162" s="5"/>
      <c r="B162" s="5"/>
      <c r="C162" s="5"/>
      <c r="D162" s="5" t="s">
        <v>66</v>
      </c>
      <c r="E162" s="37">
        <f>E160*E161</f>
        <v>21.545454545454543</v>
      </c>
      <c r="F162" s="5"/>
      <c r="G162" s="5" t="s">
        <v>176</v>
      </c>
      <c r="H162" s="5"/>
      <c r="I162" s="16"/>
      <c r="J162" s="5"/>
    </row>
    <row r="163" spans="1:10" ht="15">
      <c r="A163" s="5"/>
      <c r="B163" s="5"/>
      <c r="C163" s="5"/>
      <c r="D163" s="5" t="s">
        <v>73</v>
      </c>
      <c r="E163" s="5">
        <f>Input!$G$95</f>
        <v>2.5</v>
      </c>
      <c r="F163" s="5"/>
      <c r="G163" s="5" t="s">
        <v>177</v>
      </c>
      <c r="H163" s="5"/>
      <c r="I163" s="15"/>
      <c r="J163" s="5"/>
    </row>
    <row r="164" spans="1:10" ht="15">
      <c r="A164" s="5"/>
      <c r="B164" s="5"/>
      <c r="C164" s="5"/>
      <c r="D164" s="5" t="s">
        <v>66</v>
      </c>
      <c r="E164" s="37">
        <f>E162/E163</f>
        <v>8.618181818181817</v>
      </c>
      <c r="F164" s="5"/>
      <c r="G164" s="5" t="s">
        <v>178</v>
      </c>
      <c r="H164" s="5"/>
      <c r="I164" s="16"/>
      <c r="J164" s="5"/>
    </row>
    <row r="165" spans="1:10" ht="15">
      <c r="A165" s="5"/>
      <c r="B165" s="5"/>
      <c r="C165" s="5"/>
      <c r="D165" s="5" t="s">
        <v>64</v>
      </c>
      <c r="E165" s="31">
        <f>Input!$G$77</f>
        <v>0.85</v>
      </c>
      <c r="F165" s="11"/>
      <c r="G165" s="11" t="s">
        <v>179</v>
      </c>
      <c r="H165" s="11"/>
      <c r="I165" s="16"/>
      <c r="J165" s="5"/>
    </row>
    <row r="166" spans="1:10" ht="15">
      <c r="A166" s="5"/>
      <c r="B166" s="5"/>
      <c r="D166" s="5" t="s">
        <v>66</v>
      </c>
      <c r="E166" s="34">
        <f>ROUND((E164*4.546)*E165,2)</f>
        <v>33.3</v>
      </c>
      <c r="F166" s="5"/>
      <c r="G166" s="5" t="s">
        <v>180</v>
      </c>
      <c r="H166" s="5"/>
      <c r="I166" s="16"/>
      <c r="J166" s="5"/>
    </row>
    <row r="167" spans="1:10" ht="15">
      <c r="A167" s="5"/>
      <c r="B167" s="5"/>
      <c r="D167" s="5" t="s">
        <v>75</v>
      </c>
      <c r="E167" s="44">
        <f>$H$109</f>
        <v>25.746499999999997</v>
      </c>
      <c r="F167" s="5"/>
      <c r="G167" s="5" t="s">
        <v>286</v>
      </c>
      <c r="H167" s="5"/>
      <c r="I167" s="15"/>
      <c r="J167" s="5"/>
    </row>
    <row r="168" spans="1:10" ht="15">
      <c r="A168" s="5"/>
      <c r="B168" s="5"/>
      <c r="C168" s="119"/>
      <c r="D168" s="5" t="s">
        <v>66</v>
      </c>
      <c r="E168" s="34">
        <f>SUM(E166+E167)</f>
        <v>59.046499999999995</v>
      </c>
      <c r="F168" s="5"/>
      <c r="G168" s="5" t="s">
        <v>285</v>
      </c>
      <c r="H168" s="5"/>
      <c r="I168" s="15"/>
      <c r="J168" s="5"/>
    </row>
    <row r="169" spans="1:10" ht="15.75">
      <c r="A169" s="5"/>
      <c r="B169" s="5"/>
      <c r="C169" s="8"/>
      <c r="D169" s="5" t="s">
        <v>73</v>
      </c>
      <c r="E169" s="129">
        <f>Input!G33</f>
        <v>336</v>
      </c>
      <c r="F169" s="5"/>
      <c r="G169" s="5" t="s">
        <v>288</v>
      </c>
      <c r="H169" s="5"/>
      <c r="I169" s="32"/>
      <c r="J169" s="5"/>
    </row>
    <row r="170" spans="1:10" ht="15.75">
      <c r="A170" s="5"/>
      <c r="B170" s="5"/>
      <c r="C170" s="8" t="s">
        <v>98</v>
      </c>
      <c r="D170" s="6" t="s">
        <v>66</v>
      </c>
      <c r="E170" s="131">
        <f>SUM(E168/E169)</f>
        <v>0.17573363095238093</v>
      </c>
      <c r="F170" s="6"/>
      <c r="G170" s="6" t="s">
        <v>289</v>
      </c>
      <c r="H170" s="5"/>
      <c r="I170" s="15"/>
      <c r="J170" s="5"/>
    </row>
    <row r="171" spans="1:10" ht="7.5" customHeight="1">
      <c r="A171" s="5"/>
      <c r="B171" s="5"/>
      <c r="C171" s="8"/>
      <c r="D171" s="5"/>
      <c r="E171" s="34"/>
      <c r="F171" s="5"/>
      <c r="G171" s="5"/>
      <c r="H171" s="5"/>
      <c r="I171" s="32"/>
      <c r="J171" s="5"/>
    </row>
    <row r="172" spans="1:10" ht="15.75">
      <c r="A172" s="5"/>
      <c r="B172" s="6"/>
      <c r="C172" s="8" t="s">
        <v>190</v>
      </c>
      <c r="D172" s="6" t="s">
        <v>66</v>
      </c>
      <c r="E172" s="36">
        <f>SUM((E123*Input!D32)+(E138*Input!E32)+(Details!E153*Input!F32)+(Details!E168*Input!G32))</f>
        <v>56.76949999999999</v>
      </c>
      <c r="F172" s="6"/>
      <c r="G172" s="6" t="s">
        <v>204</v>
      </c>
      <c r="H172" s="5"/>
      <c r="I172" s="15"/>
      <c r="J172" s="5"/>
    </row>
    <row r="173" spans="1:10" ht="15">
      <c r="A173" s="5"/>
      <c r="B173" s="5"/>
      <c r="C173" s="5"/>
      <c r="D173" s="5"/>
      <c r="E173" s="5"/>
      <c r="F173" s="5"/>
      <c r="G173" s="5"/>
      <c r="H173" s="5"/>
      <c r="I173" s="5"/>
      <c r="J173" s="5"/>
    </row>
    <row r="174" spans="1:10" ht="15.75">
      <c r="A174" s="5"/>
      <c r="B174" s="6" t="s">
        <v>393</v>
      </c>
      <c r="C174" s="5"/>
      <c r="D174" s="5"/>
      <c r="E174" s="5"/>
      <c r="F174" s="5"/>
      <c r="G174" s="5"/>
      <c r="H174" s="5"/>
      <c r="I174" s="32"/>
      <c r="J174" s="5"/>
    </row>
    <row r="175" spans="1:10" ht="15">
      <c r="A175" s="5"/>
      <c r="B175" s="5"/>
      <c r="C175" s="5" t="str">
        <f>Input!$D$30&amp;" Yield"</f>
        <v>Low Yield</v>
      </c>
      <c r="D175" s="5"/>
      <c r="E175" s="5">
        <f>Input!$D$33</f>
        <v>259</v>
      </c>
      <c r="F175" s="5"/>
      <c r="G175" s="5" t="s">
        <v>290</v>
      </c>
      <c r="H175" s="5"/>
      <c r="I175" s="15"/>
      <c r="J175" s="5"/>
    </row>
    <row r="176" spans="1:10" ht="15">
      <c r="A176" s="5"/>
      <c r="B176" s="5"/>
      <c r="C176" s="5"/>
      <c r="D176" s="5" t="s">
        <v>64</v>
      </c>
      <c r="E176" s="31">
        <f>Input!$G$99-Input!$G$100</f>
        <v>0.61</v>
      </c>
      <c r="F176" s="11"/>
      <c r="G176" s="11" t="s">
        <v>133</v>
      </c>
      <c r="H176" s="11"/>
      <c r="I176" s="16"/>
      <c r="J176" s="5"/>
    </row>
    <row r="177" spans="1:10" ht="15.75">
      <c r="A177" s="5"/>
      <c r="B177" s="5"/>
      <c r="C177" s="5"/>
      <c r="D177" s="6" t="s">
        <v>66</v>
      </c>
      <c r="E177" s="36">
        <f>ROUND(+E175*E176,2)</f>
        <v>157.99</v>
      </c>
      <c r="F177" s="6"/>
      <c r="G177" s="6" t="s">
        <v>204</v>
      </c>
      <c r="H177" s="5"/>
      <c r="I177" s="16"/>
      <c r="J177" s="5"/>
    </row>
    <row r="178" spans="1:10" ht="15">
      <c r="A178" s="5"/>
      <c r="B178" s="5"/>
      <c r="C178" s="5" t="str">
        <f>Input!$E$30&amp;" Yield"</f>
        <v>Medium Yield</v>
      </c>
      <c r="D178" s="5"/>
      <c r="E178" s="5">
        <f>Input!E33</f>
        <v>285</v>
      </c>
      <c r="F178" s="5"/>
      <c r="G178" s="5" t="s">
        <v>290</v>
      </c>
      <c r="H178" s="5"/>
      <c r="I178" s="15"/>
      <c r="J178" s="5"/>
    </row>
    <row r="179" spans="1:10" ht="15">
      <c r="A179" s="5"/>
      <c r="B179" s="5"/>
      <c r="C179" s="5"/>
      <c r="D179" s="5" t="s">
        <v>64</v>
      </c>
      <c r="E179" s="31">
        <f>Input!$G$99-Input!$G$100</f>
        <v>0.61</v>
      </c>
      <c r="F179" s="11"/>
      <c r="G179" s="11" t="s">
        <v>133</v>
      </c>
      <c r="H179" s="11"/>
      <c r="I179" s="16"/>
      <c r="J179" s="5"/>
    </row>
    <row r="180" spans="1:10" ht="15.75">
      <c r="A180" s="5"/>
      <c r="B180" s="5"/>
      <c r="C180" s="5"/>
      <c r="D180" s="6" t="s">
        <v>66</v>
      </c>
      <c r="E180" s="36">
        <f>ROUND(+E178*E179,2)</f>
        <v>173.85</v>
      </c>
      <c r="F180" s="6"/>
      <c r="G180" s="6" t="s">
        <v>204</v>
      </c>
      <c r="H180" s="5"/>
      <c r="I180" s="16"/>
      <c r="J180" s="5"/>
    </row>
    <row r="181" spans="1:10" ht="15">
      <c r="A181" s="5"/>
      <c r="B181" s="5"/>
      <c r="C181" s="5" t="str">
        <f>Input!$F$30&amp;" Yield"</f>
        <v>Med-High Yield</v>
      </c>
      <c r="D181" s="5"/>
      <c r="E181" s="5">
        <f>Input!F33</f>
        <v>310</v>
      </c>
      <c r="F181" s="5"/>
      <c r="G181" s="5" t="s">
        <v>290</v>
      </c>
      <c r="H181" s="5"/>
      <c r="I181" s="15"/>
      <c r="J181" s="5"/>
    </row>
    <row r="182" spans="1:10" ht="15">
      <c r="A182" s="5"/>
      <c r="B182" s="5"/>
      <c r="C182" s="5"/>
      <c r="D182" s="5" t="s">
        <v>64</v>
      </c>
      <c r="E182" s="31">
        <f>Input!$G$99-Input!$G$100</f>
        <v>0.61</v>
      </c>
      <c r="F182" s="11"/>
      <c r="G182" s="11" t="s">
        <v>133</v>
      </c>
      <c r="H182" s="11"/>
      <c r="I182" s="16"/>
      <c r="J182" s="5"/>
    </row>
    <row r="183" spans="1:10" ht="15.75">
      <c r="A183" s="5"/>
      <c r="B183" s="5"/>
      <c r="C183" s="5"/>
      <c r="D183" s="6" t="s">
        <v>66</v>
      </c>
      <c r="E183" s="36">
        <f>ROUND(+E181*E182,2)</f>
        <v>189.1</v>
      </c>
      <c r="F183" s="6"/>
      <c r="G183" s="6" t="s">
        <v>204</v>
      </c>
      <c r="H183" s="5"/>
      <c r="I183" s="16"/>
      <c r="J183" s="5"/>
    </row>
    <row r="184" spans="1:10" ht="15">
      <c r="A184" s="5"/>
      <c r="B184" s="5"/>
      <c r="C184" s="5" t="str">
        <f>Input!$G$30&amp;" Yield"</f>
        <v>High Yield</v>
      </c>
      <c r="D184" s="5"/>
      <c r="E184" s="5">
        <f>Input!G33</f>
        <v>336</v>
      </c>
      <c r="F184" s="5"/>
      <c r="G184" s="5" t="s">
        <v>290</v>
      </c>
      <c r="H184" s="5"/>
      <c r="I184" s="15"/>
      <c r="J184" s="5"/>
    </row>
    <row r="185" spans="1:10" ht="15">
      <c r="A185" s="5"/>
      <c r="B185" s="5"/>
      <c r="C185" s="5"/>
      <c r="D185" s="5" t="s">
        <v>64</v>
      </c>
      <c r="E185" s="31">
        <f>Input!$G$99-Input!$G$100</f>
        <v>0.61</v>
      </c>
      <c r="F185" s="11"/>
      <c r="G185" s="11" t="s">
        <v>133</v>
      </c>
      <c r="H185" s="11"/>
      <c r="I185" s="16"/>
      <c r="J185" s="5"/>
    </row>
    <row r="186" spans="1:10" ht="15.75">
      <c r="A186" s="5"/>
      <c r="B186" s="5"/>
      <c r="C186" s="5"/>
      <c r="D186" s="6" t="s">
        <v>66</v>
      </c>
      <c r="E186" s="36">
        <f>ROUND(+E184*E185,2)</f>
        <v>204.96</v>
      </c>
      <c r="F186" s="6"/>
      <c r="G186" s="6" t="s">
        <v>204</v>
      </c>
      <c r="H186" s="5"/>
      <c r="I186" s="16"/>
      <c r="J186" s="5"/>
    </row>
    <row r="187" spans="1:10" ht="7.5" customHeight="1">
      <c r="A187" s="5"/>
      <c r="B187" s="5"/>
      <c r="C187" s="5"/>
      <c r="D187" s="6"/>
      <c r="E187" s="36"/>
      <c r="F187" s="6"/>
      <c r="G187" s="6"/>
      <c r="H187" s="5"/>
      <c r="I187" s="15"/>
      <c r="J187" s="5"/>
    </row>
    <row r="188" spans="1:10" ht="15.75">
      <c r="A188" s="5"/>
      <c r="B188" s="6"/>
      <c r="C188" s="8" t="s">
        <v>291</v>
      </c>
      <c r="D188" s="6" t="s">
        <v>66</v>
      </c>
      <c r="E188" s="36">
        <f>SUM((E177*Input!D32)+(Details!E180*Input!E32)+(Details!E183*Input!F32)+(Details!E186*Input!G32))</f>
        <v>190.74699999999996</v>
      </c>
      <c r="F188" s="6"/>
      <c r="G188" s="6" t="s">
        <v>204</v>
      </c>
      <c r="H188" s="5"/>
      <c r="I188" s="15"/>
      <c r="J188" s="5"/>
    </row>
    <row r="189" spans="1:10" ht="15">
      <c r="A189" s="5"/>
      <c r="B189" s="5"/>
      <c r="C189" s="5"/>
      <c r="D189" s="5"/>
      <c r="E189" s="5"/>
      <c r="F189" s="5"/>
      <c r="G189" s="5"/>
      <c r="H189" s="5"/>
      <c r="I189" s="5"/>
      <c r="J189" s="5"/>
    </row>
    <row r="190" spans="1:10" ht="15.75">
      <c r="A190" s="5"/>
      <c r="B190" s="6" t="s">
        <v>394</v>
      </c>
      <c r="C190" s="5"/>
      <c r="D190" s="5"/>
      <c r="E190" s="5"/>
      <c r="F190" s="5"/>
      <c r="G190" s="5"/>
      <c r="H190" s="5"/>
      <c r="I190" s="5"/>
      <c r="J190" s="5"/>
    </row>
    <row r="191" spans="1:10" ht="15">
      <c r="A191" s="5"/>
      <c r="B191" s="5"/>
      <c r="C191" s="5" t="s">
        <v>159</v>
      </c>
      <c r="D191" s="5"/>
      <c r="E191" s="5">
        <f>Input!G104</f>
        <v>72</v>
      </c>
      <c r="F191" s="5"/>
      <c r="G191" s="5" t="s">
        <v>135</v>
      </c>
      <c r="H191" s="5"/>
      <c r="I191" s="16"/>
      <c r="J191" s="5"/>
    </row>
    <row r="192" spans="1:10" ht="15">
      <c r="A192" s="5"/>
      <c r="B192" s="5"/>
      <c r="C192" s="5"/>
      <c r="D192" s="5" t="s">
        <v>66</v>
      </c>
      <c r="E192" s="5">
        <f>E191/0.75</f>
        <v>96</v>
      </c>
      <c r="F192" s="5"/>
      <c r="G192" s="5" t="s">
        <v>136</v>
      </c>
      <c r="H192" s="5"/>
      <c r="I192" s="16"/>
      <c r="J192" s="5"/>
    </row>
    <row r="193" spans="1:10" ht="15">
      <c r="A193" s="5"/>
      <c r="B193" s="5"/>
      <c r="C193" s="5"/>
      <c r="D193" s="5" t="s">
        <v>64</v>
      </c>
      <c r="E193" s="5">
        <f>Input!G103</f>
        <v>12</v>
      </c>
      <c r="F193" s="5"/>
      <c r="G193" s="5" t="s">
        <v>134</v>
      </c>
      <c r="H193" s="5"/>
      <c r="I193" s="15"/>
      <c r="J193" s="5"/>
    </row>
    <row r="194" spans="1:10" ht="15">
      <c r="A194" s="5"/>
      <c r="B194" s="5"/>
      <c r="C194" s="5"/>
      <c r="D194" s="5" t="s">
        <v>66</v>
      </c>
      <c r="E194" s="5">
        <f>SUM(E192*E193)</f>
        <v>1152</v>
      </c>
      <c r="F194" s="5"/>
      <c r="G194" s="5" t="s">
        <v>292</v>
      </c>
      <c r="H194" s="5"/>
      <c r="I194" s="15"/>
      <c r="J194" s="5"/>
    </row>
    <row r="195" spans="1:10" ht="15">
      <c r="A195" s="5"/>
      <c r="B195" s="5"/>
      <c r="C195" s="5"/>
      <c r="D195" s="5" t="s">
        <v>64</v>
      </c>
      <c r="E195" s="10">
        <f>Input!G106</f>
        <v>5.25</v>
      </c>
      <c r="F195" s="5"/>
      <c r="G195" s="5" t="s">
        <v>137</v>
      </c>
      <c r="H195" s="5"/>
      <c r="I195" s="15"/>
      <c r="J195" s="5"/>
    </row>
    <row r="196" spans="1:10" ht="15">
      <c r="A196" s="5"/>
      <c r="B196" s="5"/>
      <c r="C196" s="5"/>
      <c r="D196" s="5" t="s">
        <v>64</v>
      </c>
      <c r="E196" s="5">
        <f>SUM(Input!G16*Input!G105)</f>
        <v>3.5999999999999996</v>
      </c>
      <c r="F196" s="5"/>
      <c r="G196" s="5" t="s">
        <v>138</v>
      </c>
      <c r="H196" s="5"/>
      <c r="I196" s="16"/>
      <c r="J196" s="5"/>
    </row>
    <row r="197" spans="1:10" ht="15">
      <c r="A197" s="5"/>
      <c r="B197" s="5"/>
      <c r="C197" s="5"/>
      <c r="D197" s="5" t="s">
        <v>73</v>
      </c>
      <c r="E197" s="33">
        <f>SUM(Input!G17*Details!E196)</f>
        <v>467.99999999999994</v>
      </c>
      <c r="F197" s="11"/>
      <c r="G197" s="11" t="s">
        <v>120</v>
      </c>
      <c r="H197" s="11"/>
      <c r="I197" s="16"/>
      <c r="J197" s="5"/>
    </row>
    <row r="198" spans="1:10" ht="15">
      <c r="A198" s="5"/>
      <c r="B198" s="5"/>
      <c r="C198" s="5"/>
      <c r="D198" s="5" t="s">
        <v>66</v>
      </c>
      <c r="E198" s="34">
        <f>IF(E196=0,0,ROUND((((E192*E193)*E195)*E196)/E197,2))</f>
        <v>46.52</v>
      </c>
      <c r="F198" s="5"/>
      <c r="G198" s="5" t="s">
        <v>204</v>
      </c>
      <c r="H198" s="5"/>
      <c r="I198" s="16"/>
      <c r="J198" s="5"/>
    </row>
    <row r="199" spans="1:10" ht="15">
      <c r="A199" s="5"/>
      <c r="B199" s="5"/>
      <c r="C199" s="5" t="s">
        <v>293</v>
      </c>
      <c r="D199" s="5"/>
      <c r="E199" s="5">
        <f>Input!G104</f>
        <v>72</v>
      </c>
      <c r="F199" s="5"/>
      <c r="G199" s="5" t="s">
        <v>135</v>
      </c>
      <c r="H199" s="5"/>
      <c r="I199" s="16"/>
      <c r="J199" s="5"/>
    </row>
    <row r="200" spans="1:10" ht="15">
      <c r="A200" s="5"/>
      <c r="B200" s="5"/>
      <c r="C200" s="5"/>
      <c r="D200" s="5" t="s">
        <v>66</v>
      </c>
      <c r="E200" s="5">
        <f>E199/0.75</f>
        <v>96</v>
      </c>
      <c r="F200" s="5"/>
      <c r="G200" s="5" t="s">
        <v>136</v>
      </c>
      <c r="H200" s="5"/>
      <c r="I200" s="16"/>
      <c r="J200" s="5"/>
    </row>
    <row r="201" spans="1:10" ht="15">
      <c r="A201" s="5"/>
      <c r="B201" s="5"/>
      <c r="C201" s="5"/>
      <c r="D201" s="5" t="s">
        <v>64</v>
      </c>
      <c r="E201" s="5">
        <f>Input!G103</f>
        <v>12</v>
      </c>
      <c r="F201" s="5"/>
      <c r="G201" s="5" t="s">
        <v>134</v>
      </c>
      <c r="H201" s="5"/>
      <c r="I201" s="15"/>
      <c r="J201" s="5"/>
    </row>
    <row r="202" spans="1:10" ht="15">
      <c r="A202" s="5"/>
      <c r="B202" s="5"/>
      <c r="C202" s="5"/>
      <c r="D202" s="5" t="s">
        <v>66</v>
      </c>
      <c r="E202" s="5">
        <f>SUM(E200*E201)</f>
        <v>1152</v>
      </c>
      <c r="F202" s="5"/>
      <c r="G202" s="5" t="s">
        <v>292</v>
      </c>
      <c r="H202" s="5"/>
      <c r="I202" s="15"/>
      <c r="J202" s="5"/>
    </row>
    <row r="203" spans="1:10" ht="15">
      <c r="A203" s="5"/>
      <c r="B203" s="5"/>
      <c r="C203" s="5"/>
      <c r="D203" s="5" t="s">
        <v>64</v>
      </c>
      <c r="E203" s="10">
        <f>Input!G108</f>
        <v>8</v>
      </c>
      <c r="F203" s="5"/>
      <c r="G203" s="5" t="s">
        <v>137</v>
      </c>
      <c r="H203" s="5"/>
      <c r="I203" s="15"/>
      <c r="J203" s="5"/>
    </row>
    <row r="204" spans="1:10" ht="15">
      <c r="A204" s="5"/>
      <c r="B204" s="5"/>
      <c r="C204" s="5"/>
      <c r="D204" s="5" t="s">
        <v>64</v>
      </c>
      <c r="E204" s="132">
        <f>SUM(Input!G16*Input!G107)</f>
        <v>2.4000000000000004</v>
      </c>
      <c r="F204" s="5"/>
      <c r="G204" s="5" t="s">
        <v>138</v>
      </c>
      <c r="H204" s="5"/>
      <c r="I204" s="16"/>
      <c r="J204" s="5"/>
    </row>
    <row r="205" spans="1:10" ht="15">
      <c r="A205" s="5"/>
      <c r="B205" s="5"/>
      <c r="C205" s="5"/>
      <c r="D205" s="5" t="s">
        <v>73</v>
      </c>
      <c r="E205" s="33">
        <f>SUM(Input!G17*Details!E204)</f>
        <v>312.00000000000006</v>
      </c>
      <c r="F205" s="11"/>
      <c r="G205" s="11" t="s">
        <v>120</v>
      </c>
      <c r="H205" s="11"/>
      <c r="I205" s="16"/>
      <c r="J205" s="5"/>
    </row>
    <row r="206" spans="1:10" ht="15">
      <c r="A206" s="5"/>
      <c r="B206" s="5"/>
      <c r="C206" s="5"/>
      <c r="D206" s="5" t="s">
        <v>66</v>
      </c>
      <c r="E206" s="34">
        <f>IF(E204=0,0,ROUND((((E200*E201)*E203)*E204)/E205,2))</f>
        <v>70.89</v>
      </c>
      <c r="F206" s="5"/>
      <c r="G206" s="5" t="s">
        <v>204</v>
      </c>
      <c r="H206" s="5"/>
      <c r="I206" s="16"/>
      <c r="J206" s="5"/>
    </row>
    <row r="207" spans="1:10" ht="15.75">
      <c r="A207" s="5"/>
      <c r="B207" s="6"/>
      <c r="C207" s="8" t="s">
        <v>291</v>
      </c>
      <c r="D207" s="6" t="s">
        <v>66</v>
      </c>
      <c r="E207" s="36">
        <f>SUM((E206*Input!G107)+(E198*Input!G105))</f>
        <v>56.268</v>
      </c>
      <c r="F207" s="6"/>
      <c r="G207" s="6" t="s">
        <v>204</v>
      </c>
      <c r="H207" s="5"/>
      <c r="I207" s="15"/>
      <c r="J207" s="5"/>
    </row>
    <row r="208" spans="1:10" ht="15">
      <c r="A208" s="5"/>
      <c r="B208" s="5"/>
      <c r="C208" s="5"/>
      <c r="D208" s="5"/>
      <c r="E208" s="5"/>
      <c r="F208" s="5"/>
      <c r="G208" s="5"/>
      <c r="H208" s="5"/>
      <c r="I208" s="5"/>
      <c r="J208" s="5"/>
    </row>
    <row r="209" spans="1:10" s="135" customFormat="1" ht="15.75">
      <c r="A209" s="48"/>
      <c r="B209" s="57" t="s">
        <v>395</v>
      </c>
      <c r="C209" s="48"/>
      <c r="D209" s="48"/>
      <c r="E209" s="48"/>
      <c r="F209" s="48"/>
      <c r="G209" s="48"/>
      <c r="H209" s="48"/>
      <c r="I209" s="48"/>
      <c r="J209" s="48"/>
    </row>
    <row r="210" spans="1:10" s="135" customFormat="1" ht="15">
      <c r="A210" s="48"/>
      <c r="B210" s="48"/>
      <c r="C210" s="48"/>
      <c r="D210" s="48"/>
      <c r="E210" s="181">
        <f>Input!F111</f>
        <v>248143.75</v>
      </c>
      <c r="F210" s="48"/>
      <c r="G210" s="48" t="s">
        <v>74</v>
      </c>
      <c r="H210" s="48"/>
      <c r="I210" s="137"/>
      <c r="J210" s="48"/>
    </row>
    <row r="211" spans="1:10" s="135" customFormat="1" ht="15">
      <c r="A211" s="48"/>
      <c r="B211" s="48"/>
      <c r="C211" s="48"/>
      <c r="D211" s="48" t="s">
        <v>75</v>
      </c>
      <c r="E211" s="181">
        <f>Input!F112</f>
        <v>84240</v>
      </c>
      <c r="F211" s="48"/>
      <c r="G211" s="48" t="s">
        <v>76</v>
      </c>
      <c r="H211" s="48"/>
      <c r="I211" s="138"/>
      <c r="J211" s="48"/>
    </row>
    <row r="212" spans="1:10" s="135" customFormat="1" ht="15">
      <c r="A212" s="48"/>
      <c r="B212" s="48"/>
      <c r="C212" s="48"/>
      <c r="D212" s="140" t="s">
        <v>75</v>
      </c>
      <c r="E212" s="182">
        <f>Input!F113</f>
        <v>17385</v>
      </c>
      <c r="F212" s="140"/>
      <c r="G212" s="140" t="s">
        <v>210</v>
      </c>
      <c r="H212" s="48"/>
      <c r="I212" s="138"/>
      <c r="J212" s="48"/>
    </row>
    <row r="213" spans="1:10" s="135" customFormat="1" ht="15">
      <c r="A213" s="48"/>
      <c r="B213" s="48"/>
      <c r="C213" s="48"/>
      <c r="D213" s="48" t="s">
        <v>66</v>
      </c>
      <c r="E213" s="181">
        <f>SUM(E210:E212)</f>
        <v>349768.75</v>
      </c>
      <c r="F213" s="48"/>
      <c r="G213" s="48" t="s">
        <v>77</v>
      </c>
      <c r="H213" s="48"/>
      <c r="I213" s="138"/>
      <c r="J213" s="48"/>
    </row>
    <row r="214" spans="1:10" s="135" customFormat="1" ht="15">
      <c r="A214" s="48"/>
      <c r="B214" s="48"/>
      <c r="C214" s="48"/>
      <c r="D214" s="48" t="s">
        <v>73</v>
      </c>
      <c r="E214" s="126">
        <f>Input!G18</f>
        <v>780</v>
      </c>
      <c r="F214" s="140"/>
      <c r="G214" s="140" t="s">
        <v>120</v>
      </c>
      <c r="H214" s="140"/>
      <c r="I214" s="138"/>
      <c r="J214" s="48"/>
    </row>
    <row r="215" spans="1:10" s="135" customFormat="1" ht="15.75">
      <c r="A215" s="48"/>
      <c r="B215" s="48"/>
      <c r="C215" s="48"/>
      <c r="D215" s="57" t="s">
        <v>66</v>
      </c>
      <c r="E215" s="141">
        <f>ROUND(+E213/E214,2)</f>
        <v>448.42</v>
      </c>
      <c r="F215" s="57"/>
      <c r="G215" s="57" t="s">
        <v>202</v>
      </c>
      <c r="H215" s="48"/>
      <c r="I215" s="138"/>
      <c r="J215" s="48"/>
    </row>
    <row r="216" spans="1:10" ht="15">
      <c r="A216" s="5"/>
      <c r="B216" s="5"/>
      <c r="C216" s="5"/>
      <c r="D216" s="5"/>
      <c r="E216" s="5"/>
      <c r="F216" s="5"/>
      <c r="G216" s="5"/>
      <c r="H216" s="5"/>
      <c r="I216" s="5"/>
      <c r="J216" s="5"/>
    </row>
    <row r="217" spans="1:10" ht="15.75">
      <c r="A217" s="5"/>
      <c r="B217" s="6" t="s">
        <v>35</v>
      </c>
      <c r="C217" s="5"/>
      <c r="D217" s="5"/>
      <c r="E217" s="5"/>
      <c r="F217" s="5"/>
      <c r="G217" s="5"/>
      <c r="H217" s="5"/>
      <c r="I217" s="5"/>
      <c r="J217" s="5"/>
    </row>
    <row r="218" spans="1:10" ht="15">
      <c r="A218" s="5"/>
      <c r="B218" s="5"/>
      <c r="C218" s="5"/>
      <c r="D218" s="5"/>
      <c r="E218" s="211">
        <f>Input!E116</f>
        <v>14</v>
      </c>
      <c r="F218" s="5"/>
      <c r="G218" s="5" t="s">
        <v>357</v>
      </c>
      <c r="H218" s="5"/>
      <c r="I218" s="16"/>
      <c r="J218" s="5"/>
    </row>
    <row r="219" spans="1:10" ht="15">
      <c r="A219" s="5"/>
      <c r="B219" s="5"/>
      <c r="C219" s="5"/>
      <c r="D219" s="11" t="s">
        <v>64</v>
      </c>
      <c r="E219" s="133">
        <f>Input!F116</f>
        <v>9</v>
      </c>
      <c r="F219" s="11"/>
      <c r="G219" s="11" t="s">
        <v>298</v>
      </c>
      <c r="H219" s="5"/>
      <c r="I219" s="16"/>
      <c r="J219" s="5"/>
    </row>
    <row r="220" spans="1:10" ht="15">
      <c r="A220" s="5"/>
      <c r="B220" s="5"/>
      <c r="C220" s="5"/>
      <c r="D220" s="5" t="s">
        <v>66</v>
      </c>
      <c r="E220" s="210">
        <f>SUM(E218*E219)</f>
        <v>126</v>
      </c>
      <c r="F220" s="5"/>
      <c r="G220" s="5" t="s">
        <v>299</v>
      </c>
      <c r="H220" s="5"/>
      <c r="I220" s="16"/>
      <c r="J220" s="5"/>
    </row>
    <row r="221" spans="1:10" ht="15">
      <c r="A221" s="5"/>
      <c r="B221" s="5"/>
      <c r="C221" s="5"/>
      <c r="D221" s="5"/>
      <c r="E221" s="211">
        <f>Input!E117</f>
        <v>2</v>
      </c>
      <c r="F221" s="5"/>
      <c r="G221" s="5" t="s">
        <v>357</v>
      </c>
      <c r="H221" s="5"/>
      <c r="I221" s="16"/>
      <c r="J221" s="5"/>
    </row>
    <row r="222" spans="1:10" ht="15">
      <c r="A222" s="5"/>
      <c r="B222" s="5"/>
      <c r="C222" s="5"/>
      <c r="D222" s="11" t="s">
        <v>64</v>
      </c>
      <c r="E222" s="133">
        <f>Input!F117</f>
        <v>9</v>
      </c>
      <c r="F222" s="11"/>
      <c r="G222" s="11" t="s">
        <v>298</v>
      </c>
      <c r="H222" s="5"/>
      <c r="I222" s="16"/>
      <c r="J222" s="5"/>
    </row>
    <row r="223" spans="1:10" ht="15">
      <c r="A223" s="5"/>
      <c r="B223" s="5"/>
      <c r="C223" s="5"/>
      <c r="D223" s="5" t="s">
        <v>66</v>
      </c>
      <c r="E223" s="210">
        <f>SUM(E221*E222)</f>
        <v>18</v>
      </c>
      <c r="F223" s="5"/>
      <c r="G223" s="5" t="s">
        <v>299</v>
      </c>
      <c r="H223" s="5"/>
      <c r="I223" s="16"/>
      <c r="J223" s="5"/>
    </row>
    <row r="224" spans="1:10" ht="15.75">
      <c r="A224" s="5"/>
      <c r="B224" s="5"/>
      <c r="C224" s="8" t="s">
        <v>291</v>
      </c>
      <c r="D224" s="6" t="s">
        <v>66</v>
      </c>
      <c r="E224" s="134">
        <f>SUM(E223+E220)</f>
        <v>144</v>
      </c>
      <c r="F224" s="6"/>
      <c r="G224" s="6" t="s">
        <v>204</v>
      </c>
      <c r="H224" s="5"/>
      <c r="I224" s="16"/>
      <c r="J224" s="5"/>
    </row>
    <row r="225" spans="1:10" ht="15">
      <c r="A225" s="5"/>
      <c r="B225" s="5"/>
      <c r="C225" s="5"/>
      <c r="D225" s="5"/>
      <c r="E225" s="5"/>
      <c r="F225" s="5"/>
      <c r="G225" s="5"/>
      <c r="H225" s="5"/>
      <c r="I225" s="5"/>
      <c r="J225" s="5"/>
    </row>
    <row r="226" spans="1:10" ht="15.75">
      <c r="A226" s="5"/>
      <c r="B226" s="6" t="s">
        <v>396</v>
      </c>
      <c r="C226" s="5"/>
      <c r="D226" s="5"/>
      <c r="E226" s="5"/>
      <c r="F226" s="5"/>
      <c r="G226" s="5"/>
      <c r="H226" s="5"/>
      <c r="I226" s="5"/>
      <c r="J226" s="5"/>
    </row>
    <row r="227" spans="1:10" ht="15">
      <c r="A227" s="5"/>
      <c r="B227" s="5"/>
      <c r="C227" s="5"/>
      <c r="D227" s="5"/>
      <c r="E227" s="38">
        <f>Input!E120</f>
        <v>16</v>
      </c>
      <c r="F227" s="5"/>
      <c r="G227" s="5" t="s">
        <v>199</v>
      </c>
      <c r="H227" s="5"/>
      <c r="I227" s="16"/>
      <c r="J227" s="5"/>
    </row>
    <row r="228" spans="1:10" ht="15">
      <c r="A228" s="5"/>
      <c r="B228" s="5"/>
      <c r="C228" s="5"/>
      <c r="D228" s="5" t="s">
        <v>64</v>
      </c>
      <c r="E228" s="133">
        <f>Input!F120</f>
        <v>25</v>
      </c>
      <c r="F228" s="11"/>
      <c r="G228" s="11" t="s">
        <v>298</v>
      </c>
      <c r="H228" s="5"/>
      <c r="I228" s="16"/>
      <c r="J228" s="5"/>
    </row>
    <row r="229" spans="1:10" ht="15.75">
      <c r="A229" s="5"/>
      <c r="B229" s="5"/>
      <c r="C229" s="5"/>
      <c r="D229" s="6" t="s">
        <v>66</v>
      </c>
      <c r="E229" s="134">
        <f>SUM(E227*E228)</f>
        <v>400</v>
      </c>
      <c r="F229" s="6"/>
      <c r="G229" s="6" t="s">
        <v>299</v>
      </c>
      <c r="H229" s="5"/>
      <c r="I229" s="16"/>
      <c r="J229" s="5"/>
    </row>
    <row r="230" spans="1:10" ht="15">
      <c r="A230" s="5"/>
      <c r="B230" s="5"/>
      <c r="C230" s="5"/>
      <c r="D230" s="5"/>
      <c r="E230" s="5"/>
      <c r="F230" s="5"/>
      <c r="G230" s="5"/>
      <c r="H230" s="5"/>
      <c r="I230" s="5"/>
      <c r="J230" s="5"/>
    </row>
    <row r="231" spans="1:10" s="135" customFormat="1" ht="15.75">
      <c r="A231" s="48"/>
      <c r="B231" s="57" t="s">
        <v>397</v>
      </c>
      <c r="C231" s="57"/>
      <c r="D231" s="48"/>
      <c r="E231" s="48"/>
      <c r="F231" s="48"/>
      <c r="G231" s="48"/>
      <c r="H231" s="48"/>
      <c r="I231" s="48"/>
      <c r="J231" s="48"/>
    </row>
    <row r="232" spans="1:10" s="135" customFormat="1" ht="15">
      <c r="A232" s="48"/>
      <c r="B232" s="48"/>
      <c r="C232" s="48"/>
      <c r="D232" s="48"/>
      <c r="E232" s="136">
        <f>Input!G126</f>
        <v>0</v>
      </c>
      <c r="F232" s="48"/>
      <c r="G232" s="48" t="s">
        <v>96</v>
      </c>
      <c r="H232" s="48"/>
      <c r="I232" s="48"/>
      <c r="J232" s="48"/>
    </row>
    <row r="233" spans="1:10" s="135" customFormat="1" ht="15">
      <c r="A233" s="48"/>
      <c r="B233" s="48"/>
      <c r="C233" s="48"/>
      <c r="D233" s="48" t="s">
        <v>75</v>
      </c>
      <c r="E233" s="136">
        <f>Input!G125</f>
        <v>40365</v>
      </c>
      <c r="F233" s="48"/>
      <c r="G233" s="48" t="s">
        <v>78</v>
      </c>
      <c r="H233" s="48"/>
      <c r="I233" s="137"/>
      <c r="J233" s="48"/>
    </row>
    <row r="234" spans="1:10" s="135" customFormat="1" ht="15">
      <c r="A234" s="48"/>
      <c r="B234" s="48"/>
      <c r="C234" s="48"/>
      <c r="D234" s="48" t="s">
        <v>75</v>
      </c>
      <c r="E234" s="136">
        <f>Input!G128</f>
        <v>5000</v>
      </c>
      <c r="F234" s="48"/>
      <c r="G234" s="48" t="s">
        <v>402</v>
      </c>
      <c r="H234" s="48"/>
      <c r="I234" s="138"/>
      <c r="J234" s="48"/>
    </row>
    <row r="235" spans="1:10" s="135" customFormat="1" ht="15">
      <c r="A235" s="48"/>
      <c r="B235" s="48"/>
      <c r="C235" s="48"/>
      <c r="D235" s="48" t="s">
        <v>75</v>
      </c>
      <c r="E235" s="136">
        <f>Input!G129</f>
        <v>5000</v>
      </c>
      <c r="F235" s="48"/>
      <c r="G235" s="48" t="s">
        <v>403</v>
      </c>
      <c r="H235" s="48"/>
      <c r="I235" s="138"/>
      <c r="J235" s="48"/>
    </row>
    <row r="236" spans="1:10" s="135" customFormat="1" ht="15">
      <c r="A236" s="48"/>
      <c r="B236" s="48"/>
      <c r="C236" s="48"/>
      <c r="D236" s="48" t="s">
        <v>75</v>
      </c>
      <c r="E236" s="139">
        <f>Input!G127</f>
        <v>24340.75</v>
      </c>
      <c r="F236" s="48"/>
      <c r="G236" s="140" t="s">
        <v>374</v>
      </c>
      <c r="H236" s="48"/>
      <c r="I236" s="138"/>
      <c r="J236" s="48"/>
    </row>
    <row r="237" spans="1:10" s="135" customFormat="1" ht="15">
      <c r="A237" s="48"/>
      <c r="B237" s="48"/>
      <c r="C237" s="48"/>
      <c r="D237" s="48" t="s">
        <v>66</v>
      </c>
      <c r="E237" s="136">
        <f>SUM(E232:E236)</f>
        <v>74705.75</v>
      </c>
      <c r="F237" s="48"/>
      <c r="G237" s="48" t="s">
        <v>79</v>
      </c>
      <c r="H237" s="48"/>
      <c r="I237" s="138"/>
      <c r="J237" s="48"/>
    </row>
    <row r="238" spans="1:10" s="135" customFormat="1" ht="15">
      <c r="A238" s="48"/>
      <c r="B238" s="48"/>
      <c r="C238" s="48"/>
      <c r="D238" s="48" t="s">
        <v>73</v>
      </c>
      <c r="E238" s="126">
        <f>Input!G18</f>
        <v>780</v>
      </c>
      <c r="F238" s="140"/>
      <c r="G238" s="140" t="s">
        <v>120</v>
      </c>
      <c r="H238" s="140"/>
      <c r="I238" s="138"/>
      <c r="J238" s="48"/>
    </row>
    <row r="239" spans="1:10" s="135" customFormat="1" ht="15.75">
      <c r="A239" s="48"/>
      <c r="B239" s="48"/>
      <c r="C239" s="48"/>
      <c r="D239" s="57" t="s">
        <v>66</v>
      </c>
      <c r="E239" s="141">
        <f>ROUND(+E237/E238,2)</f>
        <v>95.78</v>
      </c>
      <c r="F239" s="57"/>
      <c r="G239" s="57" t="s">
        <v>71</v>
      </c>
      <c r="H239" s="48"/>
      <c r="I239" s="142"/>
      <c r="J239" s="48"/>
    </row>
    <row r="240" spans="1:10" s="135" customFormat="1" ht="15.75">
      <c r="A240" s="48"/>
      <c r="B240" s="57" t="s">
        <v>302</v>
      </c>
      <c r="C240" s="48"/>
      <c r="D240" s="48"/>
      <c r="E240" s="136"/>
      <c r="F240" s="48"/>
      <c r="H240" s="48"/>
      <c r="I240" s="137"/>
      <c r="J240" s="48"/>
    </row>
    <row r="241" spans="1:10" ht="15.75">
      <c r="A241" s="5"/>
      <c r="B241" s="5"/>
      <c r="C241" s="6" t="str">
        <f>Input!$D$30&amp;" Yield"</f>
        <v>Low Yield</v>
      </c>
      <c r="D241" s="5"/>
      <c r="E241" s="5">
        <f>Input!D33</f>
        <v>259</v>
      </c>
      <c r="F241" s="5"/>
      <c r="G241" s="5" t="s">
        <v>205</v>
      </c>
      <c r="H241" s="5"/>
      <c r="I241" s="15"/>
      <c r="J241" s="5"/>
    </row>
    <row r="242" spans="1:9" ht="15">
      <c r="A242" s="5"/>
      <c r="B242" s="5"/>
      <c r="C242" s="5"/>
      <c r="D242" s="5" t="s">
        <v>64</v>
      </c>
      <c r="E242" s="19">
        <f>Input!$G$131</f>
        <v>11.66</v>
      </c>
      <c r="F242" s="5"/>
      <c r="G242" s="5" t="s">
        <v>301</v>
      </c>
      <c r="H242" s="5"/>
      <c r="I242" s="16"/>
    </row>
    <row r="243" spans="1:10" ht="15">
      <c r="A243" s="5"/>
      <c r="B243" s="5"/>
      <c r="C243" s="5"/>
      <c r="D243" s="5" t="s">
        <v>64</v>
      </c>
      <c r="E243" s="40">
        <f>Input!$G$130</f>
        <v>0.005</v>
      </c>
      <c r="F243" s="5"/>
      <c r="G243" s="5" t="s">
        <v>97</v>
      </c>
      <c r="H243" s="5"/>
      <c r="I243" s="15"/>
      <c r="J243" s="5"/>
    </row>
    <row r="244" spans="1:10" ht="15">
      <c r="A244" s="5"/>
      <c r="B244" s="5"/>
      <c r="C244" s="5"/>
      <c r="D244" s="5" t="s">
        <v>66</v>
      </c>
      <c r="E244" s="19">
        <f>E241*E242*E243</f>
        <v>15.0997</v>
      </c>
      <c r="F244" s="5"/>
      <c r="G244" s="5" t="s">
        <v>294</v>
      </c>
      <c r="H244" s="5"/>
      <c r="I244" s="16"/>
      <c r="J244" s="5"/>
    </row>
    <row r="245" spans="1:10" ht="15.75">
      <c r="A245" s="5"/>
      <c r="B245" s="5"/>
      <c r="C245" s="8"/>
      <c r="D245" s="5" t="s">
        <v>73</v>
      </c>
      <c r="E245" s="129">
        <f>Input!D33</f>
        <v>259</v>
      </c>
      <c r="F245" s="5"/>
      <c r="G245" s="5" t="s">
        <v>288</v>
      </c>
      <c r="H245" s="5"/>
      <c r="I245" s="15"/>
      <c r="J245" s="5"/>
    </row>
    <row r="246" spans="1:10" ht="15">
      <c r="A246" s="5"/>
      <c r="B246" s="5"/>
      <c r="C246" s="119" t="s">
        <v>98</v>
      </c>
      <c r="D246" s="5" t="s">
        <v>66</v>
      </c>
      <c r="E246" s="130">
        <f>SUM(E244/E245)</f>
        <v>0.058300000000000005</v>
      </c>
      <c r="F246" s="5"/>
      <c r="G246" s="5" t="s">
        <v>289</v>
      </c>
      <c r="H246" s="5"/>
      <c r="I246" s="16"/>
      <c r="J246" s="5"/>
    </row>
    <row r="247" spans="1:10" ht="6.75" customHeight="1">
      <c r="A247" s="5"/>
      <c r="B247" s="5"/>
      <c r="C247" s="8"/>
      <c r="D247" s="5"/>
      <c r="E247" s="34"/>
      <c r="F247" s="5"/>
      <c r="G247" s="5"/>
      <c r="H247" s="5"/>
      <c r="I247" s="32"/>
      <c r="J247" s="5"/>
    </row>
    <row r="248" spans="1:10" ht="15.75">
      <c r="A248" s="5"/>
      <c r="B248" s="5"/>
      <c r="C248" s="6" t="str">
        <f>Input!E30&amp;" Yield"</f>
        <v>Medium Yield</v>
      </c>
      <c r="D248" s="5"/>
      <c r="E248" s="5">
        <f>Input!E33</f>
        <v>285</v>
      </c>
      <c r="F248" s="5"/>
      <c r="G248" s="5" t="s">
        <v>205</v>
      </c>
      <c r="H248" s="5"/>
      <c r="I248" s="15"/>
      <c r="J248" s="5"/>
    </row>
    <row r="249" spans="1:9" ht="15">
      <c r="A249" s="5"/>
      <c r="B249" s="5"/>
      <c r="C249" s="5"/>
      <c r="D249" s="5" t="s">
        <v>64</v>
      </c>
      <c r="E249" s="19">
        <f>Input!$G$131</f>
        <v>11.66</v>
      </c>
      <c r="F249" s="5"/>
      <c r="G249" s="5" t="s">
        <v>301</v>
      </c>
      <c r="H249" s="5"/>
      <c r="I249" s="16"/>
    </row>
    <row r="250" spans="1:10" ht="15">
      <c r="A250" s="5"/>
      <c r="B250" s="5"/>
      <c r="C250" s="5"/>
      <c r="D250" s="5" t="s">
        <v>64</v>
      </c>
      <c r="E250" s="40">
        <f>Input!$G$130</f>
        <v>0.005</v>
      </c>
      <c r="F250" s="5"/>
      <c r="G250" s="5" t="s">
        <v>97</v>
      </c>
      <c r="H250" s="5"/>
      <c r="I250" s="15"/>
      <c r="J250" s="5"/>
    </row>
    <row r="251" spans="1:10" ht="15">
      <c r="A251" s="5"/>
      <c r="B251" s="5"/>
      <c r="C251" s="5"/>
      <c r="D251" s="5" t="s">
        <v>66</v>
      </c>
      <c r="E251" s="19">
        <f>E248*E249*E250</f>
        <v>16.6155</v>
      </c>
      <c r="F251" s="5"/>
      <c r="G251" s="5" t="s">
        <v>294</v>
      </c>
      <c r="H251" s="5"/>
      <c r="I251" s="16"/>
      <c r="J251" s="5"/>
    </row>
    <row r="252" spans="1:10" ht="15.75">
      <c r="A252" s="5"/>
      <c r="B252" s="5"/>
      <c r="C252" s="8"/>
      <c r="D252" s="5" t="s">
        <v>73</v>
      </c>
      <c r="E252" s="129">
        <f>Input!E33</f>
        <v>285</v>
      </c>
      <c r="F252" s="5"/>
      <c r="G252" s="5" t="s">
        <v>288</v>
      </c>
      <c r="H252" s="5"/>
      <c r="I252" s="15"/>
      <c r="J252" s="5"/>
    </row>
    <row r="253" spans="1:10" ht="15">
      <c r="A253" s="5"/>
      <c r="B253" s="5"/>
      <c r="C253" s="119" t="s">
        <v>98</v>
      </c>
      <c r="D253" s="5" t="s">
        <v>66</v>
      </c>
      <c r="E253" s="130">
        <f>SUM(E251/E252)</f>
        <v>0.058300000000000005</v>
      </c>
      <c r="F253" s="5"/>
      <c r="G253" s="5" t="s">
        <v>289</v>
      </c>
      <c r="H253" s="5"/>
      <c r="I253" s="16"/>
      <c r="J253" s="5"/>
    </row>
    <row r="254" spans="1:10" ht="6.75" customHeight="1">
      <c r="A254" s="5"/>
      <c r="B254" s="5"/>
      <c r="C254" s="8"/>
      <c r="D254" s="5"/>
      <c r="E254" s="34"/>
      <c r="F254" s="5"/>
      <c r="G254" s="5"/>
      <c r="H254" s="5"/>
      <c r="I254" s="32"/>
      <c r="J254" s="5"/>
    </row>
    <row r="255" spans="1:10" ht="15.75">
      <c r="A255" s="5"/>
      <c r="B255" s="5"/>
      <c r="C255" s="6" t="str">
        <f>Input!F30&amp;" Yield"</f>
        <v>Med-High Yield</v>
      </c>
      <c r="D255" s="5"/>
      <c r="E255" s="5">
        <f>Input!F33</f>
        <v>310</v>
      </c>
      <c r="F255" s="5"/>
      <c r="G255" s="5" t="s">
        <v>205</v>
      </c>
      <c r="H255" s="5"/>
      <c r="I255" s="15"/>
      <c r="J255" s="5"/>
    </row>
    <row r="256" spans="1:9" ht="15">
      <c r="A256" s="5"/>
      <c r="B256" s="5"/>
      <c r="C256" s="5"/>
      <c r="D256" s="5" t="s">
        <v>64</v>
      </c>
      <c r="E256" s="19">
        <f>Input!$G$131</f>
        <v>11.66</v>
      </c>
      <c r="F256" s="5"/>
      <c r="G256" s="5" t="s">
        <v>301</v>
      </c>
      <c r="H256" s="5"/>
      <c r="I256" s="16"/>
    </row>
    <row r="257" spans="1:10" ht="15">
      <c r="A257" s="5"/>
      <c r="B257" s="5"/>
      <c r="C257" s="5"/>
      <c r="D257" s="5" t="s">
        <v>64</v>
      </c>
      <c r="E257" s="40">
        <f>Input!$G$130</f>
        <v>0.005</v>
      </c>
      <c r="F257" s="5"/>
      <c r="G257" s="5" t="s">
        <v>97</v>
      </c>
      <c r="H257" s="5"/>
      <c r="I257" s="15"/>
      <c r="J257" s="5"/>
    </row>
    <row r="258" spans="1:10" ht="15">
      <c r="A258" s="5"/>
      <c r="B258" s="5"/>
      <c r="C258" s="5"/>
      <c r="D258" s="5" t="s">
        <v>66</v>
      </c>
      <c r="E258" s="19">
        <f>E255*E256*E257</f>
        <v>18.073</v>
      </c>
      <c r="F258" s="5"/>
      <c r="G258" s="5" t="s">
        <v>294</v>
      </c>
      <c r="H258" s="5"/>
      <c r="I258" s="16"/>
      <c r="J258" s="5"/>
    </row>
    <row r="259" spans="1:10" ht="15.75">
      <c r="A259" s="5"/>
      <c r="B259" s="5"/>
      <c r="C259" s="8"/>
      <c r="D259" s="5" t="s">
        <v>73</v>
      </c>
      <c r="E259" s="129">
        <f>Input!F33</f>
        <v>310</v>
      </c>
      <c r="F259" s="5"/>
      <c r="G259" s="5" t="s">
        <v>288</v>
      </c>
      <c r="H259" s="5"/>
      <c r="I259" s="15"/>
      <c r="J259" s="5"/>
    </row>
    <row r="260" spans="1:10" ht="15">
      <c r="A260" s="5"/>
      <c r="B260" s="5"/>
      <c r="C260" s="119" t="s">
        <v>98</v>
      </c>
      <c r="D260" s="5" t="s">
        <v>66</v>
      </c>
      <c r="E260" s="130">
        <f>SUM(E258/E259)</f>
        <v>0.058300000000000005</v>
      </c>
      <c r="F260" s="5"/>
      <c r="G260" s="5" t="s">
        <v>289</v>
      </c>
      <c r="H260" s="5"/>
      <c r="I260" s="16"/>
      <c r="J260" s="5"/>
    </row>
    <row r="261" spans="1:10" ht="6.75" customHeight="1">
      <c r="A261" s="5"/>
      <c r="B261" s="5"/>
      <c r="C261" s="8"/>
      <c r="D261" s="5"/>
      <c r="E261" s="34"/>
      <c r="F261" s="5"/>
      <c r="G261" s="5"/>
      <c r="H261" s="5"/>
      <c r="I261" s="32"/>
      <c r="J261" s="5"/>
    </row>
    <row r="262" spans="1:10" ht="15.75">
      <c r="A262" s="5"/>
      <c r="B262" s="5"/>
      <c r="C262" s="6" t="str">
        <f>Input!G30&amp;" Yield"</f>
        <v>High Yield</v>
      </c>
      <c r="D262" s="5"/>
      <c r="E262" s="5">
        <f>Input!G33</f>
        <v>336</v>
      </c>
      <c r="F262" s="5"/>
      <c r="G262" s="5" t="s">
        <v>205</v>
      </c>
      <c r="H262" s="5"/>
      <c r="I262" s="15"/>
      <c r="J262" s="5"/>
    </row>
    <row r="263" spans="1:9" ht="15">
      <c r="A263" s="5"/>
      <c r="B263" s="5"/>
      <c r="C263" s="5"/>
      <c r="D263" s="5" t="s">
        <v>64</v>
      </c>
      <c r="E263" s="19">
        <f>Input!$G$131</f>
        <v>11.66</v>
      </c>
      <c r="F263" s="5"/>
      <c r="G263" s="5" t="s">
        <v>301</v>
      </c>
      <c r="H263" s="5"/>
      <c r="I263" s="16"/>
    </row>
    <row r="264" spans="1:10" ht="15">
      <c r="A264" s="5"/>
      <c r="B264" s="5"/>
      <c r="C264" s="5"/>
      <c r="D264" s="5" t="s">
        <v>64</v>
      </c>
      <c r="E264" s="40">
        <f>Input!$G$130</f>
        <v>0.005</v>
      </c>
      <c r="F264" s="5"/>
      <c r="G264" s="5" t="s">
        <v>97</v>
      </c>
      <c r="H264" s="5"/>
      <c r="I264" s="15"/>
      <c r="J264" s="5"/>
    </row>
    <row r="265" spans="1:10" ht="15">
      <c r="A265" s="5"/>
      <c r="B265" s="5"/>
      <c r="C265" s="5"/>
      <c r="D265" s="5" t="s">
        <v>66</v>
      </c>
      <c r="E265" s="19">
        <f>E262*E263*E264</f>
        <v>19.588800000000003</v>
      </c>
      <c r="F265" s="5"/>
      <c r="G265" s="5" t="s">
        <v>294</v>
      </c>
      <c r="H265" s="5"/>
      <c r="I265" s="16"/>
      <c r="J265" s="5"/>
    </row>
    <row r="266" spans="1:10" ht="15.75">
      <c r="A266" s="5"/>
      <c r="B266" s="5"/>
      <c r="C266" s="8"/>
      <c r="D266" s="5" t="s">
        <v>73</v>
      </c>
      <c r="E266" s="129">
        <f>Input!G33</f>
        <v>336</v>
      </c>
      <c r="F266" s="5"/>
      <c r="G266" s="5" t="s">
        <v>288</v>
      </c>
      <c r="H266" s="5"/>
      <c r="I266" s="15"/>
      <c r="J266" s="5"/>
    </row>
    <row r="267" spans="1:10" ht="15">
      <c r="A267" s="5"/>
      <c r="B267" s="5"/>
      <c r="C267" s="119" t="s">
        <v>98</v>
      </c>
      <c r="D267" s="5" t="s">
        <v>66</v>
      </c>
      <c r="E267" s="130">
        <f>SUM(E265/E266)</f>
        <v>0.058300000000000005</v>
      </c>
      <c r="F267" s="5"/>
      <c r="G267" s="5" t="s">
        <v>289</v>
      </c>
      <c r="H267" s="5"/>
      <c r="I267" s="16"/>
      <c r="J267" s="5"/>
    </row>
    <row r="268" spans="1:10" ht="7.5" customHeight="1">
      <c r="A268" s="5"/>
      <c r="B268" s="5"/>
      <c r="C268" s="8"/>
      <c r="D268" s="5"/>
      <c r="E268" s="34"/>
      <c r="F268" s="5"/>
      <c r="G268" s="5"/>
      <c r="H268" s="5"/>
      <c r="I268" s="32"/>
      <c r="J268" s="5"/>
    </row>
    <row r="269" spans="1:10" ht="15.75">
      <c r="A269" s="5"/>
      <c r="B269" s="6"/>
      <c r="C269" s="8" t="s">
        <v>303</v>
      </c>
      <c r="D269" s="6" t="s">
        <v>66</v>
      </c>
      <c r="E269" s="36">
        <f>SUM((E239+E244)*Input!D32)+((E239+E251)*Input!E32)+((Details!E239+Details!E258)*Input!F32)+((Details!E239+Details!E265)*Input!G32)</f>
        <v>114.01041000000002</v>
      </c>
      <c r="F269" s="6"/>
      <c r="G269" s="6" t="s">
        <v>204</v>
      </c>
      <c r="H269" s="5"/>
      <c r="I269" s="15"/>
      <c r="J269" s="5"/>
    </row>
    <row r="270" spans="1:10" ht="15">
      <c r="A270" s="5"/>
      <c r="B270" s="5"/>
      <c r="C270" s="5"/>
      <c r="D270" s="5"/>
      <c r="E270" s="5"/>
      <c r="F270" s="5"/>
      <c r="G270" s="5"/>
      <c r="H270" s="5"/>
      <c r="I270" s="5"/>
      <c r="J270" s="5"/>
    </row>
    <row r="271" spans="1:10" ht="15.75">
      <c r="A271" s="5"/>
      <c r="B271" s="6" t="s">
        <v>41</v>
      </c>
      <c r="C271" s="5"/>
      <c r="D271" s="5"/>
      <c r="E271" s="5"/>
      <c r="F271" s="5"/>
      <c r="G271" s="5"/>
      <c r="H271" s="5"/>
      <c r="I271" s="5"/>
      <c r="J271" s="5"/>
    </row>
    <row r="272" spans="1:10" ht="15">
      <c r="A272" s="5"/>
      <c r="B272" s="5"/>
      <c r="C272" s="5"/>
      <c r="D272" s="5"/>
      <c r="E272" s="38">
        <f>Input!G134</f>
        <v>78750</v>
      </c>
      <c r="F272" s="5"/>
      <c r="G272" s="5" t="s">
        <v>80</v>
      </c>
      <c r="H272" s="5"/>
      <c r="I272" s="15"/>
      <c r="J272" s="5"/>
    </row>
    <row r="273" spans="1:10" ht="15">
      <c r="A273" s="5"/>
      <c r="B273" s="5"/>
      <c r="C273" s="5"/>
      <c r="D273" s="5" t="s">
        <v>75</v>
      </c>
      <c r="E273" s="39">
        <f>Input!G135</f>
        <v>7200</v>
      </c>
      <c r="F273" s="5"/>
      <c r="G273" s="11" t="s">
        <v>81</v>
      </c>
      <c r="H273" s="5"/>
      <c r="I273" s="16"/>
      <c r="J273" s="5"/>
    </row>
    <row r="274" spans="1:10" ht="15">
      <c r="A274" s="5"/>
      <c r="B274" s="5"/>
      <c r="C274" s="5"/>
      <c r="D274" s="5" t="s">
        <v>66</v>
      </c>
      <c r="E274" s="38">
        <f>SUM(E272:E273)</f>
        <v>85950</v>
      </c>
      <c r="F274" s="5"/>
      <c r="G274" s="5" t="s">
        <v>82</v>
      </c>
      <c r="H274" s="5"/>
      <c r="I274" s="16"/>
      <c r="J274" s="5"/>
    </row>
    <row r="275" spans="1:10" ht="15">
      <c r="A275" s="5"/>
      <c r="B275" s="5"/>
      <c r="C275" s="5"/>
      <c r="D275" s="5" t="s">
        <v>73</v>
      </c>
      <c r="E275" s="33">
        <f>Input!G18</f>
        <v>780</v>
      </c>
      <c r="F275" s="11"/>
      <c r="G275" s="11" t="s">
        <v>120</v>
      </c>
      <c r="H275" s="11"/>
      <c r="I275" s="16"/>
      <c r="J275" s="5"/>
    </row>
    <row r="276" spans="1:10" ht="15.75">
      <c r="A276" s="5"/>
      <c r="B276" s="5"/>
      <c r="C276" s="5"/>
      <c r="D276" s="6" t="s">
        <v>66</v>
      </c>
      <c r="E276" s="36">
        <f>ROUND(+E274/E275,2)</f>
        <v>110.19</v>
      </c>
      <c r="F276" s="6"/>
      <c r="G276" s="6" t="s">
        <v>204</v>
      </c>
      <c r="H276" s="5"/>
      <c r="I276" s="16"/>
      <c r="J276" s="5"/>
    </row>
    <row r="277" spans="1:10" ht="15.75">
      <c r="A277" s="5"/>
      <c r="B277" s="5"/>
      <c r="C277" s="5"/>
      <c r="D277" s="6"/>
      <c r="E277" s="36"/>
      <c r="F277" s="6"/>
      <c r="G277" s="6"/>
      <c r="H277" s="5"/>
      <c r="I277" s="32"/>
      <c r="J277" s="5"/>
    </row>
    <row r="278" spans="1:10" ht="15.75">
      <c r="A278" s="5"/>
      <c r="B278" s="6" t="s">
        <v>183</v>
      </c>
      <c r="C278" s="5"/>
      <c r="D278" s="5"/>
      <c r="E278" s="5"/>
      <c r="F278" s="5"/>
      <c r="G278" s="5"/>
      <c r="H278" s="5"/>
      <c r="I278" s="5"/>
      <c r="J278" s="5"/>
    </row>
    <row r="279" spans="1:10" ht="15">
      <c r="A279" s="5"/>
      <c r="B279" s="5"/>
      <c r="C279" s="5"/>
      <c r="D279" s="5"/>
      <c r="E279" s="38">
        <f>Input!G139</f>
        <v>6500</v>
      </c>
      <c r="F279" s="5"/>
      <c r="G279" s="5" t="s">
        <v>83</v>
      </c>
      <c r="H279" s="5"/>
      <c r="I279" s="15"/>
      <c r="J279" s="5"/>
    </row>
    <row r="280" spans="1:10" ht="15">
      <c r="A280" s="5"/>
      <c r="B280" s="5"/>
      <c r="C280" s="5"/>
      <c r="D280" s="5" t="s">
        <v>75</v>
      </c>
      <c r="E280" s="38">
        <f>Input!G140</f>
        <v>2000</v>
      </c>
      <c r="F280" s="5"/>
      <c r="G280" s="5" t="s">
        <v>122</v>
      </c>
      <c r="H280" s="5"/>
      <c r="I280" s="16"/>
      <c r="J280" s="5"/>
    </row>
    <row r="281" spans="1:10" ht="15">
      <c r="A281" s="5"/>
      <c r="B281" s="5"/>
      <c r="C281" s="5"/>
      <c r="D281" s="5" t="s">
        <v>75</v>
      </c>
      <c r="E281" s="38">
        <f>Input!G141</f>
        <v>31200</v>
      </c>
      <c r="F281" s="5"/>
      <c r="G281" s="5" t="s">
        <v>213</v>
      </c>
      <c r="H281" s="5"/>
      <c r="I281" s="16"/>
      <c r="J281" s="5"/>
    </row>
    <row r="282" spans="1:10" ht="15">
      <c r="A282" s="5"/>
      <c r="B282" s="5"/>
      <c r="C282" s="5"/>
      <c r="D282" s="5" t="s">
        <v>75</v>
      </c>
      <c r="E282" s="38">
        <f>Input!G142</f>
        <v>17325</v>
      </c>
      <c r="F282" s="5"/>
      <c r="G282" s="5" t="s">
        <v>84</v>
      </c>
      <c r="H282" s="5"/>
      <c r="I282" s="16"/>
      <c r="J282" s="5"/>
    </row>
    <row r="283" spans="1:10" ht="15">
      <c r="A283" s="5"/>
      <c r="B283" s="5"/>
      <c r="C283" s="5"/>
      <c r="D283" s="5" t="s">
        <v>75</v>
      </c>
      <c r="E283" s="38">
        <f>Input!G143</f>
        <v>19575</v>
      </c>
      <c r="F283" s="5"/>
      <c r="G283" s="5" t="s">
        <v>368</v>
      </c>
      <c r="H283" s="5"/>
      <c r="I283" s="16"/>
      <c r="J283" s="5"/>
    </row>
    <row r="284" spans="1:10" ht="15">
      <c r="A284" s="5"/>
      <c r="B284" s="5"/>
      <c r="C284" s="5"/>
      <c r="D284" s="5" t="s">
        <v>75</v>
      </c>
      <c r="E284" s="38">
        <f>Input!G144</f>
        <v>2000</v>
      </c>
      <c r="F284" s="5"/>
      <c r="G284" s="5" t="s">
        <v>85</v>
      </c>
      <c r="H284" s="5"/>
      <c r="I284" s="16"/>
      <c r="J284" s="5"/>
    </row>
    <row r="285" spans="1:10" ht="15">
      <c r="A285" s="5"/>
      <c r="B285" s="5"/>
      <c r="C285" s="5"/>
      <c r="D285" s="5" t="s">
        <v>75</v>
      </c>
      <c r="E285" s="39">
        <f>Input!G145</f>
        <v>2000</v>
      </c>
      <c r="F285" s="5"/>
      <c r="G285" s="11" t="s">
        <v>86</v>
      </c>
      <c r="H285" s="5"/>
      <c r="I285" s="16"/>
      <c r="J285" s="5"/>
    </row>
    <row r="286" spans="1:10" ht="15">
      <c r="A286" s="5"/>
      <c r="B286" s="5"/>
      <c r="C286" s="5"/>
      <c r="D286" s="5" t="s">
        <v>66</v>
      </c>
      <c r="E286" s="38">
        <f>SUM(E279:E285)</f>
        <v>80600</v>
      </c>
      <c r="F286" s="5"/>
      <c r="G286" s="5" t="s">
        <v>375</v>
      </c>
      <c r="H286" s="5"/>
      <c r="I286" s="16"/>
      <c r="J286" s="5"/>
    </row>
    <row r="287" spans="1:10" ht="15">
      <c r="A287" s="5"/>
      <c r="B287" s="5"/>
      <c r="C287" s="5"/>
      <c r="D287" s="5" t="s">
        <v>73</v>
      </c>
      <c r="E287" s="33">
        <f>Input!G18</f>
        <v>780</v>
      </c>
      <c r="F287" s="11"/>
      <c r="G287" s="11" t="s">
        <v>120</v>
      </c>
      <c r="H287" s="11"/>
      <c r="I287" s="16"/>
      <c r="J287" s="5"/>
    </row>
    <row r="288" spans="1:10" ht="15.75">
      <c r="A288" s="5"/>
      <c r="B288" s="5"/>
      <c r="C288" s="5"/>
      <c r="D288" s="6" t="s">
        <v>66</v>
      </c>
      <c r="E288" s="36">
        <f>ROUND(+E286/E287,2)</f>
        <v>103.33</v>
      </c>
      <c r="F288" s="6"/>
      <c r="G288" s="6" t="s">
        <v>204</v>
      </c>
      <c r="H288" s="6"/>
      <c r="I288" s="16"/>
      <c r="J288" s="5"/>
    </row>
    <row r="289" spans="1:10" ht="15">
      <c r="A289" s="5"/>
      <c r="B289" s="5"/>
      <c r="C289" s="5"/>
      <c r="D289" s="5"/>
      <c r="E289" s="5"/>
      <c r="F289" s="5"/>
      <c r="G289" s="5"/>
      <c r="H289" s="5"/>
      <c r="I289" s="5"/>
      <c r="J289" s="5"/>
    </row>
    <row r="290" spans="1:10" ht="15.75">
      <c r="A290" s="5"/>
      <c r="B290" s="6" t="s">
        <v>398</v>
      </c>
      <c r="C290" s="5"/>
      <c r="D290" s="5"/>
      <c r="E290" s="5"/>
      <c r="F290" s="5"/>
      <c r="G290" s="5"/>
      <c r="H290" s="5"/>
      <c r="I290" s="5"/>
      <c r="J290" s="5"/>
    </row>
    <row r="291" spans="1:10" ht="15.75">
      <c r="A291" s="5"/>
      <c r="B291" s="6"/>
      <c r="C291" s="5" t="s">
        <v>87</v>
      </c>
      <c r="D291" s="5"/>
      <c r="E291" s="5"/>
      <c r="F291" s="5"/>
      <c r="G291" s="5"/>
      <c r="H291" s="5"/>
      <c r="I291" s="5"/>
      <c r="J291" s="5"/>
    </row>
    <row r="292" spans="1:10" ht="15">
      <c r="A292" s="5"/>
      <c r="B292" s="5"/>
      <c r="C292" s="5" t="s">
        <v>88</v>
      </c>
      <c r="D292" s="5"/>
      <c r="E292" s="5"/>
      <c r="F292" s="5"/>
      <c r="G292" s="5"/>
      <c r="H292" s="5"/>
      <c r="I292" s="5"/>
      <c r="J292" s="5"/>
    </row>
    <row r="293" spans="1:10" ht="15">
      <c r="A293" s="5"/>
      <c r="B293" s="5"/>
      <c r="C293" s="5"/>
      <c r="D293" s="5"/>
      <c r="E293" s="10">
        <f>Summary!D19</f>
        <v>2561.1549099999997</v>
      </c>
      <c r="F293" s="5"/>
      <c r="G293" s="5" t="s">
        <v>123</v>
      </c>
      <c r="H293" s="5"/>
      <c r="I293" s="15"/>
      <c r="J293" s="5"/>
    </row>
    <row r="294" spans="1:10" ht="15">
      <c r="A294" s="5"/>
      <c r="B294" s="5"/>
      <c r="C294" s="5"/>
      <c r="D294" s="5" t="s">
        <v>73</v>
      </c>
      <c r="E294" s="30">
        <v>2</v>
      </c>
      <c r="F294" s="5"/>
      <c r="G294" s="5" t="s">
        <v>113</v>
      </c>
      <c r="H294" s="5"/>
      <c r="I294" s="16"/>
      <c r="J294" s="5"/>
    </row>
    <row r="295" spans="1:10" ht="15">
      <c r="A295" s="5"/>
      <c r="B295" s="5"/>
      <c r="C295" s="5"/>
      <c r="D295" s="5" t="s">
        <v>66</v>
      </c>
      <c r="E295" s="34">
        <f>E293/2</f>
        <v>1280.5774549999999</v>
      </c>
      <c r="F295" s="5"/>
      <c r="G295" s="5" t="s">
        <v>114</v>
      </c>
      <c r="H295" s="5"/>
      <c r="I295" s="16"/>
      <c r="J295" s="5"/>
    </row>
    <row r="296" spans="1:10" ht="15">
      <c r="A296" s="5"/>
      <c r="B296" s="5"/>
      <c r="C296" s="5"/>
      <c r="D296" s="5" t="s">
        <v>64</v>
      </c>
      <c r="E296" s="40">
        <f>Input!G41</f>
        <v>0.05</v>
      </c>
      <c r="F296" s="11"/>
      <c r="G296" s="11" t="s">
        <v>124</v>
      </c>
      <c r="H296" s="11"/>
      <c r="I296" s="16"/>
      <c r="J296" s="5"/>
    </row>
    <row r="297" spans="1:10" ht="15.75">
      <c r="A297" s="5"/>
      <c r="B297" s="5"/>
      <c r="C297" s="5"/>
      <c r="D297" s="6" t="s">
        <v>66</v>
      </c>
      <c r="E297" s="36">
        <f>E295*E296</f>
        <v>64.02887274999999</v>
      </c>
      <c r="F297" s="6"/>
      <c r="G297" s="6" t="s">
        <v>204</v>
      </c>
      <c r="H297" s="5"/>
      <c r="I297" s="16"/>
      <c r="J297" s="5"/>
    </row>
    <row r="298" spans="1:10" ht="15">
      <c r="A298" s="5"/>
      <c r="B298" s="5"/>
      <c r="C298" s="5"/>
      <c r="D298" s="5"/>
      <c r="E298" s="5"/>
      <c r="F298" s="5"/>
      <c r="G298" s="5"/>
      <c r="H298" s="5"/>
      <c r="I298" s="5"/>
      <c r="J298" s="5"/>
    </row>
    <row r="299" spans="1:10" ht="15">
      <c r="A299" s="5"/>
      <c r="B299" s="5"/>
      <c r="C299" s="5"/>
      <c r="D299" s="5"/>
      <c r="E299" s="5"/>
      <c r="F299" s="5"/>
      <c r="G299" s="5"/>
      <c r="H299" s="5"/>
      <c r="I299" s="5"/>
      <c r="J299" s="5"/>
    </row>
    <row r="300" spans="1:10" ht="15.75">
      <c r="A300" s="274" t="s">
        <v>151</v>
      </c>
      <c r="B300" s="275"/>
      <c r="C300" s="275"/>
      <c r="D300" s="275"/>
      <c r="E300" s="275"/>
      <c r="F300" s="275"/>
      <c r="G300" s="275"/>
      <c r="H300" s="275"/>
      <c r="I300" s="275"/>
      <c r="J300" s="5"/>
    </row>
    <row r="301" spans="1:10" ht="15">
      <c r="A301" s="5"/>
      <c r="B301" s="5"/>
      <c r="C301" s="5"/>
      <c r="D301" s="5"/>
      <c r="E301" s="5"/>
      <c r="F301" s="5"/>
      <c r="G301" s="5"/>
      <c r="H301" s="5"/>
      <c r="I301" s="5"/>
      <c r="J301" s="5"/>
    </row>
    <row r="302" spans="1:10" ht="15.75">
      <c r="A302" s="5"/>
      <c r="B302" s="6" t="s">
        <v>43</v>
      </c>
      <c r="C302" s="5"/>
      <c r="D302" s="5"/>
      <c r="E302" s="5"/>
      <c r="F302" s="5"/>
      <c r="G302" s="5"/>
      <c r="H302" s="5" t="s">
        <v>1</v>
      </c>
      <c r="I302" s="5"/>
      <c r="J302" s="5"/>
    </row>
    <row r="303" spans="1:10" ht="15.75">
      <c r="A303" s="5"/>
      <c r="B303" s="5" t="str">
        <f>"  Own land "&amp;TEXT(Input!G23,"#,###")&amp;" ac. @ "&amp;TEXT(Input!G24,"$#,###")&amp;"/ac"</f>
        <v>  Own land 2,560 ac. @ $6,900/ac</v>
      </c>
      <c r="C303" s="5"/>
      <c r="D303" s="5"/>
      <c r="E303" s="5"/>
      <c r="F303" s="5"/>
      <c r="G303" s="48"/>
      <c r="H303" s="212">
        <f>Input!G23*Input!G24</f>
        <v>17664000</v>
      </c>
      <c r="I303" s="15"/>
      <c r="J303" s="5"/>
    </row>
    <row r="304" spans="1:10" ht="15">
      <c r="A304" s="5"/>
      <c r="B304" s="5"/>
      <c r="C304" s="5"/>
      <c r="D304" s="5"/>
      <c r="E304" s="5"/>
      <c r="F304" s="5"/>
      <c r="G304" s="48"/>
      <c r="H304" s="48"/>
      <c r="I304" s="5"/>
      <c r="J304" s="5"/>
    </row>
    <row r="305" spans="1:10" ht="15.75">
      <c r="A305" s="5"/>
      <c r="B305" s="6" t="str">
        <f>"Storage Facilities ("&amp;TEXT(Input!E169,"#,###")&amp;" cwt @ "&amp;TEXT(Input!F169,"$0.00")&amp;" per cwt)"</f>
        <v>Storage Facilities (312,000 cwt @ $18.00 per cwt)</v>
      </c>
      <c r="C305" s="5"/>
      <c r="D305" s="5"/>
      <c r="E305" s="5"/>
      <c r="F305" s="5"/>
      <c r="G305" s="48"/>
      <c r="H305" s="48"/>
      <c r="I305" s="5"/>
      <c r="J305" s="5"/>
    </row>
    <row r="306" spans="1:10" ht="15.75">
      <c r="A306" s="5"/>
      <c r="B306" s="5"/>
      <c r="C306" s="5" t="s">
        <v>320</v>
      </c>
      <c r="D306" s="5"/>
      <c r="E306" s="5"/>
      <c r="F306" s="5"/>
      <c r="G306" s="48"/>
      <c r="H306" s="183">
        <f>Input!G169</f>
        <v>5616000</v>
      </c>
      <c r="I306" s="15"/>
      <c r="J306" s="5"/>
    </row>
    <row r="307" spans="1:10" ht="15.75">
      <c r="A307" s="5"/>
      <c r="B307" s="5"/>
      <c r="C307" s="5" t="s">
        <v>208</v>
      </c>
      <c r="D307" s="5"/>
      <c r="E307" s="5"/>
      <c r="F307" s="5"/>
      <c r="G307" s="48"/>
      <c r="H307" s="184">
        <f>Input!G171</f>
        <v>150000</v>
      </c>
      <c r="I307" s="15"/>
      <c r="J307" s="5"/>
    </row>
    <row r="308" spans="1:10" ht="15.75">
      <c r="A308" s="5"/>
      <c r="B308" s="5"/>
      <c r="C308" s="6" t="s">
        <v>44</v>
      </c>
      <c r="D308" s="5"/>
      <c r="E308" s="5"/>
      <c r="F308" s="5"/>
      <c r="G308" s="48"/>
      <c r="H308" s="183">
        <f>SUM(H306:H307)</f>
        <v>5766000</v>
      </c>
      <c r="I308" s="16"/>
      <c r="J308" s="5"/>
    </row>
    <row r="309" spans="1:10" ht="15">
      <c r="A309" s="5"/>
      <c r="B309" s="5"/>
      <c r="C309" s="5"/>
      <c r="D309" s="5"/>
      <c r="E309" s="5"/>
      <c r="F309" s="5"/>
      <c r="G309" s="48"/>
      <c r="H309" s="48"/>
      <c r="I309" s="5"/>
      <c r="J309" s="5"/>
    </row>
    <row r="310" spans="1:10" ht="15.75">
      <c r="A310" s="5"/>
      <c r="B310" s="6" t="s">
        <v>45</v>
      </c>
      <c r="C310" s="5"/>
      <c r="D310" s="5"/>
      <c r="E310" s="5"/>
      <c r="F310" s="5"/>
      <c r="G310" s="48"/>
      <c r="H310" s="48"/>
      <c r="I310" s="5"/>
      <c r="J310" s="5"/>
    </row>
    <row r="311" spans="1:12" s="1" customFormat="1" ht="16.5">
      <c r="A311" s="5"/>
      <c r="B311" s="5"/>
      <c r="C311" s="5" t="s">
        <v>185</v>
      </c>
      <c r="D311" s="5"/>
      <c r="E311" s="144"/>
      <c r="F311" s="145"/>
      <c r="G311" s="146"/>
      <c r="H311" s="146">
        <f>Input!G175</f>
        <v>74000</v>
      </c>
      <c r="I311" s="143"/>
      <c r="J311" s="2"/>
      <c r="K311" s="2"/>
      <c r="L311" s="2"/>
    </row>
    <row r="312" spans="1:12" s="1" customFormat="1" ht="16.5">
      <c r="A312" s="5"/>
      <c r="B312" s="5"/>
      <c r="C312" s="5" t="s">
        <v>186</v>
      </c>
      <c r="D312" s="5"/>
      <c r="E312" s="147"/>
      <c r="F312" s="145"/>
      <c r="G312" s="146"/>
      <c r="H312" s="146">
        <f>Input!G176</f>
        <v>45000</v>
      </c>
      <c r="I312" s="143"/>
      <c r="J312" s="2"/>
      <c r="K312" s="2"/>
      <c r="L312" s="2"/>
    </row>
    <row r="313" spans="1:12" s="1" customFormat="1" ht="16.5">
      <c r="A313" s="5"/>
      <c r="B313" s="5"/>
      <c r="C313" s="5" t="s">
        <v>306</v>
      </c>
      <c r="D313" s="5"/>
      <c r="E313" s="147"/>
      <c r="F313" s="145"/>
      <c r="G313" s="146"/>
      <c r="H313" s="146">
        <f>Input!G177</f>
        <v>50000</v>
      </c>
      <c r="I313" s="143"/>
      <c r="J313" s="2"/>
      <c r="K313" s="2"/>
      <c r="L313" s="2"/>
    </row>
    <row r="314" spans="1:12" s="1" customFormat="1" ht="16.5">
      <c r="A314" s="5"/>
      <c r="B314" s="5"/>
      <c r="C314" s="5" t="s">
        <v>307</v>
      </c>
      <c r="D314" s="5"/>
      <c r="E314" s="147"/>
      <c r="F314" s="145"/>
      <c r="G314" s="146"/>
      <c r="H314" s="146">
        <f>Input!G178</f>
        <v>0</v>
      </c>
      <c r="I314" s="143"/>
      <c r="J314" s="2"/>
      <c r="K314" s="2"/>
      <c r="L314" s="2"/>
    </row>
    <row r="315" spans="1:12" s="1" customFormat="1" ht="16.5">
      <c r="A315" s="5"/>
      <c r="B315" s="5"/>
      <c r="C315" s="5" t="s">
        <v>305</v>
      </c>
      <c r="D315" s="5"/>
      <c r="E315" s="147"/>
      <c r="F315" s="145"/>
      <c r="G315" s="146"/>
      <c r="H315" s="146">
        <f>Input!G179</f>
        <v>120000</v>
      </c>
      <c r="I315" s="143"/>
      <c r="J315" s="2"/>
      <c r="K315" s="2"/>
      <c r="L315" s="2"/>
    </row>
    <row r="316" spans="1:12" s="1" customFormat="1" ht="16.5">
      <c r="A316" s="5"/>
      <c r="B316" s="5"/>
      <c r="C316" s="5" t="s">
        <v>308</v>
      </c>
      <c r="D316" s="5"/>
      <c r="E316" s="147"/>
      <c r="F316" s="57"/>
      <c r="G316" s="146"/>
      <c r="H316" s="146">
        <f>Input!G180</f>
        <v>150000</v>
      </c>
      <c r="I316" s="143"/>
      <c r="J316" s="2"/>
      <c r="K316" s="2"/>
      <c r="L316" s="2"/>
    </row>
    <row r="317" spans="1:12" s="1" customFormat="1" ht="16.5">
      <c r="A317" s="5"/>
      <c r="B317" s="5"/>
      <c r="C317" s="5" t="s">
        <v>187</v>
      </c>
      <c r="D317" s="5"/>
      <c r="E317" s="144"/>
      <c r="F317" s="57"/>
      <c r="G317" s="148"/>
      <c r="H317" s="148">
        <f>Input!G181</f>
        <v>720000</v>
      </c>
      <c r="I317" s="2"/>
      <c r="J317" s="2"/>
      <c r="K317" s="2"/>
      <c r="L317" s="2"/>
    </row>
    <row r="318" spans="1:10" ht="15.75">
      <c r="A318" s="5"/>
      <c r="B318" s="5"/>
      <c r="C318" s="6" t="s">
        <v>46</v>
      </c>
      <c r="D318" s="5"/>
      <c r="E318" s="5"/>
      <c r="F318" s="5"/>
      <c r="G318" s="48"/>
      <c r="H318" s="183">
        <f>SUM(H311:H317)</f>
        <v>1159000</v>
      </c>
      <c r="I318" s="16"/>
      <c r="J318" s="5"/>
    </row>
    <row r="319" spans="1:10" ht="15">
      <c r="A319" s="5"/>
      <c r="B319" s="5"/>
      <c r="C319" s="5"/>
      <c r="D319" s="5"/>
      <c r="E319" s="5"/>
      <c r="F319" s="5"/>
      <c r="G319" s="48"/>
      <c r="H319" s="48"/>
      <c r="I319" s="5"/>
      <c r="J319" s="5"/>
    </row>
    <row r="320" spans="1:10" ht="15.75">
      <c r="A320" s="5"/>
      <c r="B320" s="6" t="s">
        <v>47</v>
      </c>
      <c r="C320" s="5"/>
      <c r="D320" s="5"/>
      <c r="E320" s="5"/>
      <c r="F320" s="5"/>
      <c r="G320" s="48"/>
      <c r="H320" s="183">
        <f>Input!G209</f>
        <v>3970300</v>
      </c>
      <c r="I320" s="149"/>
      <c r="J320" s="5"/>
    </row>
    <row r="321" spans="1:10" ht="15">
      <c r="A321" s="5"/>
      <c r="B321" s="5"/>
      <c r="C321" s="5"/>
      <c r="D321" s="5"/>
      <c r="E321" s="5"/>
      <c r="F321" s="5"/>
      <c r="G321" s="48"/>
      <c r="H321" s="48"/>
      <c r="I321" s="5"/>
      <c r="J321" s="5"/>
    </row>
    <row r="322" spans="1:10" ht="15.75">
      <c r="A322" s="5"/>
      <c r="B322" s="5"/>
      <c r="C322" s="6" t="s">
        <v>152</v>
      </c>
      <c r="D322" s="5"/>
      <c r="E322" s="5"/>
      <c r="F322" s="5"/>
      <c r="G322" s="276">
        <f>+H303+H308+H318+H320</f>
        <v>28559300</v>
      </c>
      <c r="H322" s="276"/>
      <c r="I322" s="15"/>
      <c r="J322" s="5"/>
    </row>
    <row r="323" spans="1:10" ht="15">
      <c r="A323" s="5"/>
      <c r="B323" s="5"/>
      <c r="C323" s="5"/>
      <c r="D323" s="5"/>
      <c r="E323" s="5"/>
      <c r="F323" s="5"/>
      <c r="G323" s="5"/>
      <c r="H323" s="5"/>
      <c r="I323" s="5"/>
      <c r="J323" s="5"/>
    </row>
    <row r="324" spans="1:10" ht="15.75">
      <c r="A324" s="5"/>
      <c r="B324" s="6" t="s">
        <v>153</v>
      </c>
      <c r="C324" s="5"/>
      <c r="D324" s="5"/>
      <c r="E324" s="5"/>
      <c r="F324" s="5"/>
      <c r="G324" s="5"/>
      <c r="H324" s="5"/>
      <c r="I324" s="5"/>
      <c r="J324" s="5"/>
    </row>
    <row r="325" spans="1:10" ht="15">
      <c r="A325" s="5"/>
      <c r="B325" s="5"/>
      <c r="C325" s="5"/>
      <c r="D325" s="5"/>
      <c r="E325" s="5"/>
      <c r="F325" s="5"/>
      <c r="G325" s="5"/>
      <c r="H325" s="5"/>
      <c r="I325" s="5"/>
      <c r="J325" s="5"/>
    </row>
    <row r="326" spans="1:10" ht="15.75">
      <c r="A326" s="5"/>
      <c r="B326" s="6" t="s">
        <v>89</v>
      </c>
      <c r="C326" s="5"/>
      <c r="D326" s="5"/>
      <c r="E326" s="5"/>
      <c r="F326" s="5"/>
      <c r="G326" s="5"/>
      <c r="H326" s="5"/>
      <c r="I326" s="5"/>
      <c r="J326" s="5"/>
    </row>
    <row r="327" spans="1:10" ht="15">
      <c r="A327" s="5"/>
      <c r="B327" s="5"/>
      <c r="C327" s="5"/>
      <c r="D327" s="5"/>
      <c r="E327" s="12">
        <f>Input!G24</f>
        <v>6900</v>
      </c>
      <c r="F327" s="5"/>
      <c r="G327" s="5" t="s">
        <v>204</v>
      </c>
      <c r="H327" s="5"/>
      <c r="I327" s="16"/>
      <c r="J327" s="5"/>
    </row>
    <row r="328" spans="1:10" ht="15">
      <c r="A328" s="5"/>
      <c r="B328" s="5"/>
      <c r="C328" s="5"/>
      <c r="D328" s="5" t="s">
        <v>64</v>
      </c>
      <c r="E328" s="240">
        <f>Input!G42</f>
        <v>0.0275</v>
      </c>
      <c r="F328" s="5"/>
      <c r="G328" s="5" t="s">
        <v>116</v>
      </c>
      <c r="H328" s="11"/>
      <c r="I328" s="16"/>
      <c r="J328" s="5"/>
    </row>
    <row r="329" spans="1:10" ht="15">
      <c r="A329" s="5"/>
      <c r="B329" s="5"/>
      <c r="C329" s="5"/>
      <c r="D329" s="5" t="s">
        <v>64</v>
      </c>
      <c r="E329" s="40">
        <f>SUM(Input!G23/Input!G20)</f>
        <v>0.8888888888888888</v>
      </c>
      <c r="F329" s="11"/>
      <c r="G329" s="11" t="s">
        <v>379</v>
      </c>
      <c r="H329" s="11"/>
      <c r="I329" s="16"/>
      <c r="J329" s="5"/>
    </row>
    <row r="330" spans="1:10" ht="15.75">
      <c r="A330" s="5"/>
      <c r="B330" s="5"/>
      <c r="C330" s="5"/>
      <c r="D330" s="6" t="s">
        <v>66</v>
      </c>
      <c r="E330" s="36">
        <f>E327*E328*E329</f>
        <v>168.66666666666666</v>
      </c>
      <c r="F330" s="6"/>
      <c r="G330" s="6" t="s">
        <v>204</v>
      </c>
      <c r="H330" s="5"/>
      <c r="I330" s="16"/>
      <c r="J330" s="5"/>
    </row>
    <row r="331" spans="1:10" ht="15">
      <c r="A331" s="5"/>
      <c r="B331" s="5"/>
      <c r="C331" s="5"/>
      <c r="D331" s="5"/>
      <c r="E331" s="5"/>
      <c r="F331" s="5"/>
      <c r="G331" s="5"/>
      <c r="H331" s="5"/>
      <c r="I331" s="5"/>
      <c r="J331" s="5"/>
    </row>
    <row r="332" spans="1:10" ht="15.75">
      <c r="A332" s="5"/>
      <c r="B332" s="6" t="s">
        <v>90</v>
      </c>
      <c r="C332" s="5"/>
      <c r="D332" s="5"/>
      <c r="E332" s="5"/>
      <c r="F332" s="5"/>
      <c r="G332" s="5"/>
      <c r="H332" s="5"/>
      <c r="I332" s="5"/>
      <c r="J332" s="5"/>
    </row>
    <row r="333" spans="1:10" ht="15.75">
      <c r="A333" s="5"/>
      <c r="B333" s="6"/>
      <c r="C333" s="5"/>
      <c r="D333" s="5"/>
      <c r="E333" s="5"/>
      <c r="F333" s="5"/>
      <c r="G333" s="5"/>
      <c r="H333" s="5"/>
      <c r="I333" s="5"/>
      <c r="J333" s="5"/>
    </row>
    <row r="334" spans="1:10" ht="15.75">
      <c r="A334" s="5"/>
      <c r="B334" s="5"/>
      <c r="C334" s="5"/>
      <c r="D334" s="5"/>
      <c r="E334" s="278" t="s">
        <v>115</v>
      </c>
      <c r="F334" s="278"/>
      <c r="G334" s="278"/>
      <c r="H334" s="278"/>
      <c r="I334" s="5"/>
      <c r="J334" s="5"/>
    </row>
    <row r="335" spans="1:10" ht="15.75">
      <c r="A335" s="5"/>
      <c r="B335" s="5"/>
      <c r="C335" s="5"/>
      <c r="D335" s="5"/>
      <c r="E335" s="277" t="s">
        <v>376</v>
      </c>
      <c r="F335" s="277"/>
      <c r="G335" s="277"/>
      <c r="H335" s="277"/>
      <c r="I335" s="5"/>
      <c r="J335" s="5"/>
    </row>
    <row r="336" spans="1:10" ht="15.75">
      <c r="A336" s="5"/>
      <c r="B336" s="5"/>
      <c r="C336" s="5" t="s">
        <v>91</v>
      </c>
      <c r="D336" s="5"/>
      <c r="E336" s="6"/>
      <c r="F336" s="6"/>
      <c r="G336" s="6"/>
      <c r="H336" s="6"/>
      <c r="I336" s="5"/>
      <c r="J336" s="5"/>
    </row>
    <row r="337" spans="1:10" ht="15">
      <c r="A337" s="5"/>
      <c r="B337" s="5"/>
      <c r="C337" s="5"/>
      <c r="D337" s="5"/>
      <c r="E337" s="5"/>
      <c r="F337" s="5"/>
      <c r="G337" s="5"/>
      <c r="H337" s="5"/>
      <c r="I337" s="5"/>
      <c r="J337" s="5"/>
    </row>
    <row r="338" spans="1:10" ht="15">
      <c r="A338" s="5"/>
      <c r="B338" s="5"/>
      <c r="C338" s="5"/>
      <c r="D338" s="5"/>
      <c r="E338" s="38">
        <f>Input!$G$172</f>
        <v>5766000</v>
      </c>
      <c r="F338" s="5"/>
      <c r="G338" s="5" t="s">
        <v>117</v>
      </c>
      <c r="H338" s="5"/>
      <c r="I338" s="15"/>
      <c r="J338" s="5"/>
    </row>
    <row r="339" spans="1:10" ht="15">
      <c r="A339" s="5"/>
      <c r="B339" s="5"/>
      <c r="C339" s="5"/>
      <c r="D339" s="5" t="s">
        <v>92</v>
      </c>
      <c r="E339" s="38">
        <f>Input!$G$159*$E$338</f>
        <v>288300</v>
      </c>
      <c r="F339" s="5"/>
      <c r="G339" s="5" t="s">
        <v>118</v>
      </c>
      <c r="H339" s="5"/>
      <c r="I339" s="16"/>
      <c r="J339" s="5"/>
    </row>
    <row r="340" spans="1:10" ht="15">
      <c r="A340" s="5"/>
      <c r="B340" s="5"/>
      <c r="C340" s="5"/>
      <c r="D340" s="5" t="s">
        <v>73</v>
      </c>
      <c r="E340" s="30">
        <f>Input!G153</f>
        <v>20</v>
      </c>
      <c r="F340" s="5"/>
      <c r="G340" s="5" t="s">
        <v>139</v>
      </c>
      <c r="H340" s="5"/>
      <c r="I340" s="16"/>
      <c r="J340" s="5"/>
    </row>
    <row r="341" spans="1:10" ht="15">
      <c r="A341" s="5"/>
      <c r="B341" s="5"/>
      <c r="C341" s="5"/>
      <c r="D341" s="5" t="s">
        <v>73</v>
      </c>
      <c r="E341" s="33">
        <f>Input!G18</f>
        <v>780</v>
      </c>
      <c r="F341" s="11"/>
      <c r="G341" s="11" t="s">
        <v>119</v>
      </c>
      <c r="H341" s="11"/>
      <c r="I341" s="16"/>
      <c r="J341" s="5"/>
    </row>
    <row r="342" spans="1:10" ht="15">
      <c r="A342" s="5"/>
      <c r="B342" s="5"/>
      <c r="C342" s="5"/>
      <c r="D342" s="5" t="s">
        <v>66</v>
      </c>
      <c r="E342" s="185">
        <f>((E338-E339)/E340)/E341</f>
        <v>351.13461538461536</v>
      </c>
      <c r="F342" s="5"/>
      <c r="G342" s="5" t="s">
        <v>204</v>
      </c>
      <c r="H342" s="5" t="s">
        <v>1</v>
      </c>
      <c r="I342" s="16"/>
      <c r="J342" s="5"/>
    </row>
    <row r="343" spans="1:10" ht="15">
      <c r="A343" s="5"/>
      <c r="B343" s="5"/>
      <c r="C343" s="5" t="s">
        <v>47</v>
      </c>
      <c r="D343" s="5"/>
      <c r="E343" s="48"/>
      <c r="F343" s="5"/>
      <c r="G343" s="5"/>
      <c r="H343" s="5"/>
      <c r="I343" s="5"/>
      <c r="J343" s="5"/>
    </row>
    <row r="344" spans="1:10" ht="15">
      <c r="A344" s="5"/>
      <c r="B344" s="5"/>
      <c r="C344" s="5"/>
      <c r="D344" s="5"/>
      <c r="E344" s="48"/>
      <c r="F344" s="5"/>
      <c r="G344" s="5"/>
      <c r="H344" s="5"/>
      <c r="I344" s="5"/>
      <c r="J344" s="5"/>
    </row>
    <row r="345" spans="1:10" ht="15">
      <c r="A345" s="5"/>
      <c r="B345" s="5"/>
      <c r="C345" s="5"/>
      <c r="D345" s="5"/>
      <c r="E345" s="181">
        <f>Input!G209</f>
        <v>3970300</v>
      </c>
      <c r="F345" s="5"/>
      <c r="G345" s="5" t="s">
        <v>117</v>
      </c>
      <c r="H345" s="5"/>
      <c r="I345" s="15"/>
      <c r="J345" s="5"/>
    </row>
    <row r="346" spans="1:10" ht="15">
      <c r="A346" s="5"/>
      <c r="B346" s="5"/>
      <c r="C346" s="5"/>
      <c r="D346" s="5" t="s">
        <v>92</v>
      </c>
      <c r="E346" s="181">
        <f>Input!$G$160*$E$345</f>
        <v>595545</v>
      </c>
      <c r="F346" s="5"/>
      <c r="G346" s="5" t="s">
        <v>118</v>
      </c>
      <c r="H346" s="5"/>
      <c r="I346" s="16"/>
      <c r="J346" s="5"/>
    </row>
    <row r="347" spans="1:10" ht="15">
      <c r="A347" s="5"/>
      <c r="B347" s="5"/>
      <c r="C347" s="5"/>
      <c r="D347" s="5" t="s">
        <v>73</v>
      </c>
      <c r="E347" s="186">
        <f>Input!G154</f>
        <v>15</v>
      </c>
      <c r="F347" s="5"/>
      <c r="G347" s="5" t="s">
        <v>139</v>
      </c>
      <c r="H347" s="5"/>
      <c r="I347" s="16"/>
      <c r="J347" s="5"/>
    </row>
    <row r="348" spans="1:10" ht="15">
      <c r="A348" s="5"/>
      <c r="B348" s="5"/>
      <c r="C348" s="5"/>
      <c r="D348" s="5" t="s">
        <v>73</v>
      </c>
      <c r="E348" s="126">
        <f>Input!G18</f>
        <v>780</v>
      </c>
      <c r="F348" s="11"/>
      <c r="G348" s="11" t="s">
        <v>119</v>
      </c>
      <c r="H348" s="11"/>
      <c r="I348" s="16"/>
      <c r="J348" s="5"/>
    </row>
    <row r="349" spans="1:10" ht="15">
      <c r="A349" s="5"/>
      <c r="B349" s="5"/>
      <c r="C349" s="5"/>
      <c r="D349" s="5" t="s">
        <v>66</v>
      </c>
      <c r="E349" s="187">
        <f>((E345-E346)/E347)/E348</f>
        <v>288.4405982905983</v>
      </c>
      <c r="F349" s="5"/>
      <c r="G349" s="5" t="s">
        <v>204</v>
      </c>
      <c r="H349" s="5" t="s">
        <v>1</v>
      </c>
      <c r="I349" s="16"/>
      <c r="J349" s="5"/>
    </row>
    <row r="350" spans="1:10" ht="15">
      <c r="A350" s="5"/>
      <c r="B350" s="5"/>
      <c r="C350" s="5" t="s">
        <v>45</v>
      </c>
      <c r="D350" s="5"/>
      <c r="E350" s="48"/>
      <c r="F350" s="5"/>
      <c r="G350" s="5"/>
      <c r="H350" s="5"/>
      <c r="I350" s="5"/>
      <c r="J350" s="5"/>
    </row>
    <row r="351" spans="1:10" ht="15">
      <c r="A351" s="5"/>
      <c r="B351" s="5"/>
      <c r="C351" s="5"/>
      <c r="D351" s="5"/>
      <c r="E351" s="48"/>
      <c r="F351" s="5"/>
      <c r="G351" s="5"/>
      <c r="H351" s="5"/>
      <c r="I351" s="5"/>
      <c r="J351" s="5"/>
    </row>
    <row r="352" spans="1:10" ht="15">
      <c r="A352" s="5"/>
      <c r="B352" s="5"/>
      <c r="C352" s="5"/>
      <c r="D352" s="5"/>
      <c r="E352" s="181">
        <f>Input!G182</f>
        <v>1159000</v>
      </c>
      <c r="F352" s="5"/>
      <c r="G352" s="5" t="s">
        <v>117</v>
      </c>
      <c r="H352" s="5"/>
      <c r="I352" s="15"/>
      <c r="J352" s="5"/>
    </row>
    <row r="353" spans="1:10" ht="15">
      <c r="A353" s="5"/>
      <c r="B353" s="5"/>
      <c r="C353" s="5"/>
      <c r="D353" s="5" t="s">
        <v>92</v>
      </c>
      <c r="E353" s="181">
        <f>Input!$G$161*$E$352</f>
        <v>347700</v>
      </c>
      <c r="F353" s="5"/>
      <c r="G353" s="5" t="s">
        <v>118</v>
      </c>
      <c r="H353" s="5"/>
      <c r="I353" s="16"/>
      <c r="J353" s="5"/>
    </row>
    <row r="354" spans="1:10" ht="15">
      <c r="A354" s="5"/>
      <c r="B354" s="5"/>
      <c r="C354" s="5"/>
      <c r="D354" s="5" t="s">
        <v>73</v>
      </c>
      <c r="E354" s="48">
        <f>Input!G155</f>
        <v>15</v>
      </c>
      <c r="F354" s="5"/>
      <c r="G354" s="5" t="s">
        <v>139</v>
      </c>
      <c r="H354" s="5"/>
      <c r="I354" s="16"/>
      <c r="J354" s="5"/>
    </row>
    <row r="355" spans="1:10" ht="15">
      <c r="A355" s="5"/>
      <c r="B355" s="5"/>
      <c r="C355" s="5"/>
      <c r="D355" s="5" t="s">
        <v>73</v>
      </c>
      <c r="E355" s="126">
        <f>Input!G18</f>
        <v>780</v>
      </c>
      <c r="F355" s="11"/>
      <c r="G355" s="11" t="s">
        <v>119</v>
      </c>
      <c r="H355" s="11"/>
      <c r="I355" s="16"/>
      <c r="J355" s="5"/>
    </row>
    <row r="356" spans="1:10" ht="15">
      <c r="A356" s="5"/>
      <c r="B356" s="5"/>
      <c r="C356" s="5"/>
      <c r="D356" s="5" t="s">
        <v>66</v>
      </c>
      <c r="E356" s="187">
        <f>((E352-E353)/E354)/E355</f>
        <v>69.34188034188034</v>
      </c>
      <c r="F356" s="5"/>
      <c r="G356" s="5" t="s">
        <v>204</v>
      </c>
      <c r="H356" s="5"/>
      <c r="I356" s="16"/>
      <c r="J356" s="5"/>
    </row>
    <row r="357" spans="1:10" ht="15">
      <c r="A357" s="5"/>
      <c r="B357" s="5"/>
      <c r="D357" s="5"/>
      <c r="E357" s="48"/>
      <c r="F357" s="5"/>
      <c r="G357" s="5"/>
      <c r="H357" s="5"/>
      <c r="I357" s="5"/>
      <c r="J357" s="5"/>
    </row>
    <row r="358" spans="1:10" ht="15.75">
      <c r="A358" s="5"/>
      <c r="B358" s="6"/>
      <c r="C358" s="8" t="s">
        <v>39</v>
      </c>
      <c r="D358" s="6" t="s">
        <v>66</v>
      </c>
      <c r="E358" s="141">
        <f>E342+E349+E356</f>
        <v>708.9170940170941</v>
      </c>
      <c r="F358" s="6"/>
      <c r="G358" s="6" t="s">
        <v>204</v>
      </c>
      <c r="H358" s="5"/>
      <c r="I358" s="15"/>
      <c r="J358" s="5"/>
    </row>
    <row r="359" spans="1:10" ht="15">
      <c r="A359" s="5"/>
      <c r="B359" s="5"/>
      <c r="C359" s="5"/>
      <c r="D359" s="5"/>
      <c r="E359" s="5"/>
      <c r="F359" s="5"/>
      <c r="G359" s="5"/>
      <c r="H359" s="5"/>
      <c r="I359" s="5"/>
      <c r="J359" s="5"/>
    </row>
    <row r="360" spans="1:10" ht="15.75">
      <c r="A360" s="5"/>
      <c r="B360" s="6" t="s">
        <v>93</v>
      </c>
      <c r="C360" s="5"/>
      <c r="D360" s="5"/>
      <c r="E360" s="5"/>
      <c r="F360" s="5"/>
      <c r="G360" s="5"/>
      <c r="H360" s="5"/>
      <c r="I360" s="5"/>
      <c r="J360" s="5"/>
    </row>
    <row r="361" spans="1:10" ht="15.75">
      <c r="A361" s="5"/>
      <c r="B361" s="5"/>
      <c r="C361" s="29" t="s">
        <v>203</v>
      </c>
      <c r="D361" s="5"/>
      <c r="E361" s="5"/>
      <c r="F361" s="5"/>
      <c r="G361" s="5"/>
      <c r="H361" s="5"/>
      <c r="I361" s="5"/>
      <c r="J361" s="5"/>
    </row>
    <row r="362" spans="1:10" ht="15.75">
      <c r="A362" s="5"/>
      <c r="B362" s="5"/>
      <c r="C362" s="6"/>
      <c r="D362" s="26">
        <v>2</v>
      </c>
      <c r="E362" s="6"/>
      <c r="F362" s="6"/>
      <c r="G362" s="6"/>
      <c r="H362" s="6"/>
      <c r="I362" s="5"/>
      <c r="J362" s="5"/>
    </row>
    <row r="363" spans="1:10" ht="15.75">
      <c r="A363" s="5"/>
      <c r="B363" s="5"/>
      <c r="C363" s="41"/>
      <c r="E363" s="6"/>
      <c r="F363" s="6"/>
      <c r="G363" s="6"/>
      <c r="H363" s="6"/>
      <c r="I363" s="5"/>
      <c r="J363" s="5"/>
    </row>
    <row r="364" spans="1:10" ht="15">
      <c r="A364" s="5"/>
      <c r="B364" s="5"/>
      <c r="C364" s="5" t="s">
        <v>91</v>
      </c>
      <c r="D364" s="42"/>
      <c r="E364" s="41"/>
      <c r="F364" s="41"/>
      <c r="G364" s="41"/>
      <c r="H364" s="41"/>
      <c r="I364" s="5"/>
      <c r="J364" s="5"/>
    </row>
    <row r="365" spans="1:10" ht="15">
      <c r="A365" s="5"/>
      <c r="B365" s="5"/>
      <c r="C365" s="5"/>
      <c r="D365" s="5"/>
      <c r="E365" s="5"/>
      <c r="F365" s="5"/>
      <c r="G365" s="5"/>
      <c r="H365" s="5"/>
      <c r="I365" s="5"/>
      <c r="J365" s="5"/>
    </row>
    <row r="366" spans="1:10" ht="15">
      <c r="A366" s="5"/>
      <c r="B366" s="5"/>
      <c r="C366" s="5"/>
      <c r="D366" s="5"/>
      <c r="E366" s="38">
        <f>Input!$G$172</f>
        <v>5766000</v>
      </c>
      <c r="F366" s="5"/>
      <c r="G366" s="5" t="s">
        <v>117</v>
      </c>
      <c r="H366" s="5"/>
      <c r="I366" s="15"/>
      <c r="J366" s="5"/>
    </row>
    <row r="367" spans="1:10" ht="15">
      <c r="A367" s="5"/>
      <c r="B367" s="5"/>
      <c r="C367" s="5"/>
      <c r="D367" s="5" t="s">
        <v>75</v>
      </c>
      <c r="E367" s="38">
        <f>Input!$G$159*$E$338</f>
        <v>288300</v>
      </c>
      <c r="F367" s="5"/>
      <c r="G367" s="5" t="s">
        <v>118</v>
      </c>
      <c r="H367" s="5"/>
      <c r="I367" s="16"/>
      <c r="J367" s="5"/>
    </row>
    <row r="368" spans="1:10" ht="15">
      <c r="A368" s="5"/>
      <c r="B368" s="5"/>
      <c r="C368" s="5"/>
      <c r="D368" s="5" t="s">
        <v>73</v>
      </c>
      <c r="E368" s="30">
        <v>2</v>
      </c>
      <c r="F368" s="5"/>
      <c r="G368" s="5" t="s">
        <v>114</v>
      </c>
      <c r="H368" s="5"/>
      <c r="I368" s="16"/>
      <c r="J368" s="5"/>
    </row>
    <row r="369" spans="1:10" ht="15">
      <c r="A369" s="5"/>
      <c r="B369" s="5"/>
      <c r="C369" s="5"/>
      <c r="D369" s="5" t="s">
        <v>64</v>
      </c>
      <c r="E369" s="43">
        <f>Input!$G$42</f>
        <v>0.0275</v>
      </c>
      <c r="F369" s="5"/>
      <c r="G369" s="5" t="s">
        <v>121</v>
      </c>
      <c r="H369" s="5"/>
      <c r="I369" s="16"/>
      <c r="J369" s="5"/>
    </row>
    <row r="370" spans="1:10" ht="15">
      <c r="A370" s="5"/>
      <c r="B370" s="5"/>
      <c r="C370" s="5"/>
      <c r="D370" s="5" t="s">
        <v>73</v>
      </c>
      <c r="E370" s="33">
        <f>Input!G18</f>
        <v>780</v>
      </c>
      <c r="F370" s="11"/>
      <c r="G370" s="11" t="s">
        <v>119</v>
      </c>
      <c r="H370" s="11"/>
      <c r="I370" s="16"/>
      <c r="J370" s="5"/>
    </row>
    <row r="371" spans="1:10" ht="15">
      <c r="A371" s="5"/>
      <c r="B371" s="5"/>
      <c r="C371" s="5"/>
      <c r="D371" s="5" t="s">
        <v>66</v>
      </c>
      <c r="E371" s="34">
        <f>ROUND((E366+E367)/E368*E369/E370,2)</f>
        <v>106.73</v>
      </c>
      <c r="F371" s="5"/>
      <c r="G371" s="5" t="s">
        <v>204</v>
      </c>
      <c r="H371" s="5"/>
      <c r="I371" s="16"/>
      <c r="J371" s="5"/>
    </row>
    <row r="372" spans="1:10" ht="15">
      <c r="A372" s="5"/>
      <c r="B372" s="5"/>
      <c r="C372" s="5" t="s">
        <v>47</v>
      </c>
      <c r="D372" s="5"/>
      <c r="E372" s="5"/>
      <c r="F372" s="5"/>
      <c r="G372" s="5"/>
      <c r="H372" s="5"/>
      <c r="I372" s="5"/>
      <c r="J372" s="5"/>
    </row>
    <row r="373" spans="1:10" ht="15">
      <c r="A373" s="5"/>
      <c r="B373" s="5"/>
      <c r="C373" s="5"/>
      <c r="D373" s="5"/>
      <c r="E373" s="5"/>
      <c r="F373" s="5"/>
      <c r="G373" s="5"/>
      <c r="H373" s="5"/>
      <c r="I373" s="5"/>
      <c r="J373" s="5"/>
    </row>
    <row r="374" spans="1:10" ht="15">
      <c r="A374" s="5"/>
      <c r="B374" s="5"/>
      <c r="C374" s="5"/>
      <c r="D374" s="5"/>
      <c r="E374" s="38">
        <f>Input!G209</f>
        <v>3970300</v>
      </c>
      <c r="F374" s="5"/>
      <c r="G374" s="5" t="s">
        <v>117</v>
      </c>
      <c r="H374" s="5"/>
      <c r="I374" s="15"/>
      <c r="J374" s="5"/>
    </row>
    <row r="375" spans="1:10" ht="15">
      <c r="A375" s="5"/>
      <c r="B375" s="5"/>
      <c r="C375" s="5"/>
      <c r="D375" s="5" t="s">
        <v>75</v>
      </c>
      <c r="E375" s="38">
        <f>Input!$G$160*$E$345</f>
        <v>595545</v>
      </c>
      <c r="F375" s="5"/>
      <c r="G375" s="5" t="s">
        <v>118</v>
      </c>
      <c r="H375" s="5"/>
      <c r="I375" s="16"/>
      <c r="J375" s="5"/>
    </row>
    <row r="376" spans="1:10" ht="15">
      <c r="A376" s="5"/>
      <c r="B376" s="5"/>
      <c r="C376" s="5"/>
      <c r="D376" s="5" t="s">
        <v>73</v>
      </c>
      <c r="E376" s="30">
        <v>2</v>
      </c>
      <c r="F376" s="5"/>
      <c r="G376" s="5" t="s">
        <v>114</v>
      </c>
      <c r="H376" s="5"/>
      <c r="I376" s="16"/>
      <c r="J376" s="5"/>
    </row>
    <row r="377" spans="1:10" ht="15">
      <c r="A377" s="5"/>
      <c r="B377" s="5"/>
      <c r="C377" s="5"/>
      <c r="D377" s="5" t="s">
        <v>64</v>
      </c>
      <c r="E377" s="43">
        <f>Input!$G$42</f>
        <v>0.0275</v>
      </c>
      <c r="F377" s="5"/>
      <c r="G377" s="5" t="s">
        <v>121</v>
      </c>
      <c r="H377" s="5"/>
      <c r="I377" s="16"/>
      <c r="J377" s="5"/>
    </row>
    <row r="378" spans="1:10" ht="15">
      <c r="A378" s="5"/>
      <c r="B378" s="5"/>
      <c r="C378" s="5"/>
      <c r="D378" s="5" t="s">
        <v>73</v>
      </c>
      <c r="E378" s="33">
        <f>Input!G18</f>
        <v>780</v>
      </c>
      <c r="F378" s="11"/>
      <c r="G378" s="11" t="s">
        <v>119</v>
      </c>
      <c r="H378" s="11"/>
      <c r="I378" s="15"/>
      <c r="J378" s="5"/>
    </row>
    <row r="379" spans="1:10" ht="15">
      <c r="A379" s="5"/>
      <c r="B379" s="5"/>
      <c r="C379" s="5"/>
      <c r="D379" s="5" t="s">
        <v>66</v>
      </c>
      <c r="E379" s="34">
        <f>ROUND((E374+E375)/E376*E377/E378,2)</f>
        <v>80.49</v>
      </c>
      <c r="F379" s="5"/>
      <c r="G379" s="5" t="s">
        <v>204</v>
      </c>
      <c r="H379" s="5" t="s">
        <v>1</v>
      </c>
      <c r="I379" s="16"/>
      <c r="J379" s="5"/>
    </row>
    <row r="380" spans="1:10" ht="15">
      <c r="A380" s="5"/>
      <c r="B380" s="5"/>
      <c r="C380" s="5" t="s">
        <v>45</v>
      </c>
      <c r="D380" s="5"/>
      <c r="E380" s="5"/>
      <c r="F380" s="5"/>
      <c r="G380" s="5"/>
      <c r="H380" s="5" t="s">
        <v>1</v>
      </c>
      <c r="I380" s="5"/>
      <c r="J380" s="5"/>
    </row>
    <row r="381" spans="1:10" ht="15">
      <c r="A381" s="5"/>
      <c r="B381" s="5"/>
      <c r="C381" s="5"/>
      <c r="D381" s="5"/>
      <c r="E381" s="5"/>
      <c r="F381" s="5"/>
      <c r="G381" s="5"/>
      <c r="H381" s="5"/>
      <c r="I381" s="5"/>
      <c r="J381" s="5"/>
    </row>
    <row r="382" spans="1:10" ht="15">
      <c r="A382" s="5"/>
      <c r="B382" s="5"/>
      <c r="C382" s="5"/>
      <c r="D382" s="5"/>
      <c r="E382" s="38">
        <f>Input!G182</f>
        <v>1159000</v>
      </c>
      <c r="F382" s="5"/>
      <c r="G382" s="5" t="s">
        <v>117</v>
      </c>
      <c r="H382" s="5"/>
      <c r="I382" s="15"/>
      <c r="J382" s="5"/>
    </row>
    <row r="383" spans="1:10" ht="15">
      <c r="A383" s="5"/>
      <c r="B383" s="5"/>
      <c r="C383" s="5"/>
      <c r="D383" s="5" t="s">
        <v>75</v>
      </c>
      <c r="E383" s="38">
        <f>Input!$G$161*$E$352</f>
        <v>347700</v>
      </c>
      <c r="F383" s="5"/>
      <c r="G383" s="5" t="s">
        <v>118</v>
      </c>
      <c r="H383" s="5"/>
      <c r="I383" s="16"/>
      <c r="J383" s="5"/>
    </row>
    <row r="384" spans="1:10" ht="15">
      <c r="A384" s="5"/>
      <c r="B384" s="5"/>
      <c r="C384" s="5"/>
      <c r="D384" s="5" t="s">
        <v>73</v>
      </c>
      <c r="E384" s="30">
        <v>2</v>
      </c>
      <c r="F384" s="5"/>
      <c r="G384" s="5" t="s">
        <v>114</v>
      </c>
      <c r="H384" s="5"/>
      <c r="I384" s="16"/>
      <c r="J384" s="5"/>
    </row>
    <row r="385" spans="1:10" ht="15">
      <c r="A385" s="5"/>
      <c r="B385" s="5"/>
      <c r="C385" s="5"/>
      <c r="D385" s="5" t="s">
        <v>64</v>
      </c>
      <c r="E385" s="43">
        <f>Input!$G$42</f>
        <v>0.0275</v>
      </c>
      <c r="F385" s="5"/>
      <c r="G385" s="5" t="s">
        <v>121</v>
      </c>
      <c r="H385" s="5"/>
      <c r="I385" s="16"/>
      <c r="J385" s="5"/>
    </row>
    <row r="386" spans="1:10" ht="15">
      <c r="A386" s="5"/>
      <c r="B386" s="5"/>
      <c r="C386" s="5"/>
      <c r="D386" s="5" t="s">
        <v>73</v>
      </c>
      <c r="E386" s="33">
        <f>Input!G18</f>
        <v>780</v>
      </c>
      <c r="F386" s="11"/>
      <c r="G386" s="11" t="s">
        <v>119</v>
      </c>
      <c r="H386" s="5"/>
      <c r="I386" s="16"/>
      <c r="J386" s="5"/>
    </row>
    <row r="387" spans="1:10" ht="15">
      <c r="A387" s="5"/>
      <c r="B387" s="5"/>
      <c r="C387" s="5"/>
      <c r="D387" s="5" t="s">
        <v>66</v>
      </c>
      <c r="E387" s="34">
        <f>ROUND((E382+E383)/E384*E385/E386,2)</f>
        <v>26.56</v>
      </c>
      <c r="F387" s="5"/>
      <c r="G387" s="5" t="s">
        <v>204</v>
      </c>
      <c r="H387" s="5"/>
      <c r="I387" s="16"/>
      <c r="J387" s="5"/>
    </row>
    <row r="388" spans="1:10" ht="15">
      <c r="A388" s="5"/>
      <c r="B388" s="5"/>
      <c r="D388" s="5"/>
      <c r="E388" s="5"/>
      <c r="F388" s="5"/>
      <c r="G388" s="5"/>
      <c r="H388" s="5"/>
      <c r="I388" s="5"/>
      <c r="J388" s="5"/>
    </row>
    <row r="389" spans="1:10" ht="15.75">
      <c r="A389" s="5"/>
      <c r="B389" s="5"/>
      <c r="C389" s="8" t="s">
        <v>39</v>
      </c>
      <c r="D389" s="6" t="s">
        <v>66</v>
      </c>
      <c r="E389" s="141">
        <f>E371+E379+E387</f>
        <v>213.78</v>
      </c>
      <c r="F389" s="6"/>
      <c r="G389" s="6" t="s">
        <v>204</v>
      </c>
      <c r="H389" s="5"/>
      <c r="I389" s="15"/>
      <c r="J389" s="5"/>
    </row>
    <row r="390" spans="1:10" ht="15">
      <c r="A390" s="5"/>
      <c r="B390" s="5"/>
      <c r="C390" s="5"/>
      <c r="D390" s="5"/>
      <c r="E390" s="5"/>
      <c r="F390" s="5"/>
      <c r="G390" s="5"/>
      <c r="H390" s="5"/>
      <c r="I390" s="5"/>
      <c r="J390" s="5"/>
    </row>
    <row r="391" spans="1:10" ht="15.75">
      <c r="A391" s="5"/>
      <c r="B391" s="6" t="s">
        <v>94</v>
      </c>
      <c r="C391" s="5"/>
      <c r="D391" s="5"/>
      <c r="E391" s="5"/>
      <c r="F391" s="5"/>
      <c r="G391" s="5"/>
      <c r="H391" s="5"/>
      <c r="I391" s="5"/>
      <c r="J391" s="5"/>
    </row>
    <row r="392" spans="1:10" ht="15">
      <c r="A392" s="5"/>
      <c r="B392" s="5"/>
      <c r="C392" s="5"/>
      <c r="D392" s="5"/>
      <c r="E392" s="5">
        <f>Input!G215</f>
        <v>4</v>
      </c>
      <c r="F392" s="5"/>
      <c r="G392" s="5" t="s">
        <v>201</v>
      </c>
      <c r="H392" s="5"/>
      <c r="I392" s="15"/>
      <c r="J392" s="5"/>
    </row>
    <row r="393" spans="1:10" ht="15">
      <c r="A393" s="5"/>
      <c r="B393" s="5"/>
      <c r="C393" s="5"/>
      <c r="D393" s="5" t="s">
        <v>64</v>
      </c>
      <c r="E393" s="31">
        <f>Input!G216</f>
        <v>25</v>
      </c>
      <c r="F393" s="11"/>
      <c r="G393" s="11" t="s">
        <v>129</v>
      </c>
      <c r="H393" s="5"/>
      <c r="I393" s="16"/>
      <c r="J393" s="5"/>
    </row>
    <row r="394" spans="1:10" ht="15.75">
      <c r="A394" s="5"/>
      <c r="B394" s="5"/>
      <c r="C394" s="5"/>
      <c r="D394" s="6" t="s">
        <v>66</v>
      </c>
      <c r="E394" s="36">
        <f>E392*E393</f>
        <v>100</v>
      </c>
      <c r="F394" s="5"/>
      <c r="G394" s="6" t="s">
        <v>204</v>
      </c>
      <c r="H394" s="5"/>
      <c r="I394" s="16"/>
      <c r="J394" s="5"/>
    </row>
    <row r="395" spans="1:10" ht="15.75">
      <c r="A395" s="5"/>
      <c r="B395" s="5"/>
      <c r="C395" s="5"/>
      <c r="D395" s="6"/>
      <c r="E395" s="36"/>
      <c r="F395" s="5"/>
      <c r="G395" s="6"/>
      <c r="H395" s="5"/>
      <c r="I395" s="32"/>
      <c r="J395" s="5"/>
    </row>
    <row r="396" spans="1:10" ht="15.75">
      <c r="A396" s="5"/>
      <c r="B396" s="203" t="s">
        <v>332</v>
      </c>
      <c r="C396" s="5"/>
      <c r="D396" s="6"/>
      <c r="E396" s="36"/>
      <c r="F396" s="5"/>
      <c r="G396" s="6"/>
      <c r="H396" s="5"/>
      <c r="I396" s="32"/>
      <c r="J396" s="5"/>
    </row>
    <row r="397" spans="1:10" ht="15.75">
      <c r="A397" s="5"/>
      <c r="B397" s="202" t="s">
        <v>334</v>
      </c>
      <c r="C397" s="5"/>
      <c r="D397" s="6"/>
      <c r="E397" s="36"/>
      <c r="F397" s="5"/>
      <c r="G397" s="6"/>
      <c r="H397" s="5"/>
      <c r="I397" s="32"/>
      <c r="J397" s="5"/>
    </row>
    <row r="398" spans="1:10" ht="15.75">
      <c r="A398" s="5"/>
      <c r="B398" s="202" t="str">
        <f>"  (eg. potato:  $"&amp;TEXT(Summary!D37,"0.00")&amp;"/cwt x "&amp;Summary!F39&amp;" marketable cwt/ac = $"&amp;TEXT(Summary!F40,"#,###.##")&amp;"/ac)"</f>
        <v>  (eg. potato:  $11.66/cwt x 259 marketable cwt/ac = $3,019.94/ac)</v>
      </c>
      <c r="C398" s="5"/>
      <c r="D398" s="6"/>
      <c r="E398" s="36"/>
      <c r="F398" s="5"/>
      <c r="G398" s="6"/>
      <c r="H398" s="5"/>
      <c r="I398" s="32"/>
      <c r="J398" s="5"/>
    </row>
    <row r="399" spans="1:10" ht="15.75">
      <c r="A399" s="5"/>
      <c r="B399" s="202"/>
      <c r="C399" s="5"/>
      <c r="D399" s="6"/>
      <c r="E399" s="36"/>
      <c r="F399" s="5"/>
      <c r="G399" s="6"/>
      <c r="H399" s="5"/>
      <c r="I399" s="32"/>
      <c r="J399" s="5"/>
    </row>
    <row r="400" spans="1:10" ht="15.75">
      <c r="A400" s="5"/>
      <c r="B400" s="202" t="s">
        <v>330</v>
      </c>
      <c r="C400" s="5"/>
      <c r="D400" s="6"/>
      <c r="E400" s="36"/>
      <c r="F400" s="5"/>
      <c r="G400" s="6"/>
      <c r="H400" s="5"/>
      <c r="I400" s="32"/>
      <c r="J400" s="5"/>
    </row>
    <row r="401" spans="1:10" ht="15.75">
      <c r="A401" s="5"/>
      <c r="B401" s="202" t="str">
        <f>"   (eg. potato: $"&amp;TEXT(Summary!F40,"#,###.##")&amp;" gross revenue - $"&amp;TEXT(Summary!D32,"#,###.##")&amp;" total cost = $"&amp;TEXT(Summary!F44,"0.00")&amp;" per acre)"</f>
        <v>   (eg. potato: $3,019.94 gross revenue - $3,816.55 total cost = $-796.61 per acre)</v>
      </c>
      <c r="C401" s="5"/>
      <c r="D401" s="6"/>
      <c r="E401" s="36"/>
      <c r="F401" s="5"/>
      <c r="G401" s="6"/>
      <c r="H401" s="5"/>
      <c r="I401" s="32"/>
      <c r="J401" s="5"/>
    </row>
    <row r="402" spans="1:10" ht="15.75">
      <c r="A402" s="5"/>
      <c r="B402" s="202"/>
      <c r="C402" s="5"/>
      <c r="D402" s="6"/>
      <c r="E402" s="36"/>
      <c r="F402" s="5"/>
      <c r="G402" s="6"/>
      <c r="H402" s="5"/>
      <c r="I402" s="32"/>
      <c r="J402" s="5"/>
    </row>
    <row r="403" spans="1:10" ht="15.75">
      <c r="A403" s="5"/>
      <c r="B403" s="48" t="s">
        <v>331</v>
      </c>
      <c r="C403" s="5"/>
      <c r="D403" s="6"/>
      <c r="E403" s="36"/>
      <c r="F403" s="5"/>
      <c r="G403" s="6"/>
      <c r="H403" s="5"/>
      <c r="I403" s="32"/>
      <c r="J403" s="5"/>
    </row>
    <row r="404" spans="1:10" ht="15.75">
      <c r="A404" s="5"/>
      <c r="B404" s="202" t="str">
        <f>"   (eg. potato: $"&amp;TEXT(Summary!D21,"#,###.##")&amp;" operating expense / $"&amp;TEXT(Summary!F40,"#,###")&amp;" gross revenue = "&amp;TEXT(Summary!F45*100,"0.0")&amp;"%)"</f>
        <v>   (eg. potato: $2,625.18 operating expense / $3,020 gross revenue = 86.9%)</v>
      </c>
      <c r="C404" s="5"/>
      <c r="D404" s="6"/>
      <c r="E404" s="36"/>
      <c r="F404" s="5"/>
      <c r="G404" s="6"/>
      <c r="H404" s="5"/>
      <c r="I404" s="32"/>
      <c r="J404" s="5"/>
    </row>
    <row r="405" spans="1:10" ht="15.75">
      <c r="A405" s="5"/>
      <c r="B405" s="202"/>
      <c r="C405" s="5"/>
      <c r="D405" s="6"/>
      <c r="E405" s="36"/>
      <c r="F405" s="5"/>
      <c r="G405" s="6"/>
      <c r="H405" s="5"/>
      <c r="I405" s="32"/>
      <c r="J405" s="5"/>
    </row>
    <row r="406" spans="1:10" ht="15.75">
      <c r="A406" s="5"/>
      <c r="B406" s="202" t="str">
        <f>"Breakeven Price = Cost / Target Yield  (eg. potato cost $"&amp;TEXT(Summary!D32,"#,###.##")&amp;"  / "&amp;Summary!F39&amp;" cwt = $"&amp;TEXT(Summary!F49,"0.00")&amp;" per cwt)"</f>
        <v>Breakeven Price = Cost / Target Yield  (eg. potato cost $3,816.55  / 259 cwt = $14.74 per cwt)</v>
      </c>
      <c r="C406" s="5"/>
      <c r="D406" s="6"/>
      <c r="E406" s="36"/>
      <c r="F406" s="5"/>
      <c r="G406" s="6"/>
      <c r="H406" s="5"/>
      <c r="I406" s="32"/>
      <c r="J406" s="5"/>
    </row>
    <row r="407" spans="1:10" ht="15.75">
      <c r="A407" s="5"/>
      <c r="B407" s="202"/>
      <c r="C407" s="5"/>
      <c r="D407" s="6"/>
      <c r="E407" s="36"/>
      <c r="F407" s="5"/>
      <c r="G407" s="6"/>
      <c r="H407" s="5"/>
      <c r="I407" s="32"/>
      <c r="J407" s="5"/>
    </row>
    <row r="408" spans="1:10" ht="15.75" customHeight="1">
      <c r="A408" s="5"/>
      <c r="B408" s="251" t="s">
        <v>333</v>
      </c>
      <c r="C408" s="251"/>
      <c r="D408" s="251"/>
      <c r="E408" s="251"/>
      <c r="F408" s="251"/>
      <c r="G408" s="251"/>
      <c r="H408" s="251"/>
      <c r="I408" s="251"/>
      <c r="J408" s="5"/>
    </row>
    <row r="409" spans="1:10" ht="15.75">
      <c r="A409" s="5"/>
      <c r="B409" s="5" t="str">
        <f>"  (eg. potato cost $"&amp;TEXT(Summary!D32,"#,###.##")&amp;"  / $"&amp;TEXT(Summary!D37,"0.00")&amp;" cwt / (1 - ("&amp;Input!G27&amp;" shrink + "&amp;Input!G28&amp;" dockage)) = "&amp;TEXT(Summary!D53,"0.0")&amp;"  cwt)"</f>
        <v>  (eg. potato cost $3,816.55  / $11.66 cwt / (1 - (0.09 shrink + 0.06 dockage)) = 385.1  cwt)</v>
      </c>
      <c r="C409" s="5"/>
      <c r="D409" s="6"/>
      <c r="E409" s="36"/>
      <c r="F409" s="5"/>
      <c r="G409" s="6"/>
      <c r="H409" s="5"/>
      <c r="I409" s="32"/>
      <c r="J409" s="5"/>
    </row>
    <row r="410" spans="1:10" ht="15">
      <c r="A410" s="5"/>
      <c r="C410" s="5"/>
      <c r="D410" s="5"/>
      <c r="E410" s="5"/>
      <c r="F410" s="5"/>
      <c r="G410" s="5"/>
      <c r="H410" s="5"/>
      <c r="I410" s="5"/>
      <c r="J410" s="5"/>
    </row>
    <row r="411" spans="1:10" ht="15" customHeight="1">
      <c r="A411" s="5"/>
      <c r="C411" s="224"/>
      <c r="D411" s="269" t="s">
        <v>406</v>
      </c>
      <c r="E411" s="269"/>
      <c r="F411" s="269"/>
      <c r="G411" s="269"/>
      <c r="H411" s="269"/>
      <c r="I411" s="269"/>
      <c r="J411" s="5"/>
    </row>
    <row r="412" spans="1:10" ht="15" customHeight="1">
      <c r="A412" s="5"/>
      <c r="C412" s="224"/>
      <c r="D412" s="269"/>
      <c r="E412" s="269"/>
      <c r="F412" s="269"/>
      <c r="G412" s="269"/>
      <c r="H412" s="269"/>
      <c r="I412" s="269"/>
      <c r="J412" s="5"/>
    </row>
    <row r="413" spans="1:10" ht="15">
      <c r="A413" s="5"/>
      <c r="B413" s="5" t="s">
        <v>405</v>
      </c>
      <c r="C413" s="224"/>
      <c r="D413" s="270"/>
      <c r="E413" s="270"/>
      <c r="F413" s="270"/>
      <c r="G413" s="270"/>
      <c r="H413" s="270"/>
      <c r="I413" s="270"/>
      <c r="J413" s="5"/>
    </row>
    <row r="414" spans="1:10" ht="15" customHeight="1">
      <c r="A414" s="5"/>
      <c r="C414" s="225"/>
      <c r="D414" s="271" t="s">
        <v>152</v>
      </c>
      <c r="E414" s="271"/>
      <c r="F414" s="271"/>
      <c r="G414" s="271"/>
      <c r="H414" s="271"/>
      <c r="I414" s="271"/>
      <c r="J414" s="5"/>
    </row>
    <row r="415" spans="1:10" ht="15">
      <c r="A415" s="5"/>
      <c r="B415" s="272" t="str">
        <f>"  (eg. "&amp;Summary!H4&amp;" potato: ((("&amp;TEXT(Summary!H44,"$###.##")&amp;" net profit + "&amp;TEXT(Summary!D20,"$###.##")&amp;" op. interest + "&amp;TEXT(Summary!D24,"$###.##")&amp;" land inv. cost + "&amp;TEXT(Summary!D26,"$###.##")&amp;" inv. cost) x "&amp;Input!G18&amp;" potato acres) + ("&amp;TEXT(Input!G221,"$###.##")&amp;" net profit + "&amp;TEXT(Input!G224,"$###.##")&amp;" op. interest + "&amp;TEXT(Input!G222,"$###.##")&amp;" land inv. cost + "&amp;TEXT(Input!G223,"$###.##")&amp;" inv. cost) x "&amp;Input!G219&amp;" rotation acres))) / "&amp;TEXT(Input!G212,"$#,###")&amp;" total capital investment = "&amp;TEXT(Summary!H55*100,"#.###")&amp;"% ROA"</f>
        <v>  (eg. 365 CWT potato: (((-$201.95 net profit + $64.03 op. interest + $168.67 land inv. cost + $213.78 inv. cost) x 780 potato acres) + ($25. net profit + $6.25 op. interest + $84.33 land inv. cost + $12.38 inv. cost) x 2100 rotation acres))) / $28,559,300 total capital investment = 1.609% ROA</v>
      </c>
      <c r="C415" s="272"/>
      <c r="D415" s="272"/>
      <c r="E415" s="272"/>
      <c r="F415" s="272"/>
      <c r="G415" s="272"/>
      <c r="H415" s="272"/>
      <c r="I415" s="272"/>
      <c r="J415" s="5"/>
    </row>
    <row r="416" spans="1:10" ht="15">
      <c r="A416" s="5"/>
      <c r="B416" s="272"/>
      <c r="C416" s="272"/>
      <c r="D416" s="272"/>
      <c r="E416" s="272"/>
      <c r="F416" s="272"/>
      <c r="G416" s="272"/>
      <c r="H416" s="272"/>
      <c r="I416" s="272"/>
      <c r="J416" s="5"/>
    </row>
    <row r="417" spans="1:10" ht="15">
      <c r="A417" s="5"/>
      <c r="B417" s="272"/>
      <c r="C417" s="272"/>
      <c r="D417" s="272"/>
      <c r="E417" s="272"/>
      <c r="F417" s="272"/>
      <c r="G417" s="272"/>
      <c r="H417" s="272"/>
      <c r="I417" s="272"/>
      <c r="J417" s="5"/>
    </row>
    <row r="418" spans="1:10" ht="15">
      <c r="A418" s="5"/>
      <c r="B418" s="272"/>
      <c r="C418" s="272"/>
      <c r="D418" s="272"/>
      <c r="E418" s="272"/>
      <c r="F418" s="272"/>
      <c r="G418" s="272"/>
      <c r="H418" s="272"/>
      <c r="I418" s="272"/>
      <c r="J418" s="5"/>
    </row>
    <row r="419" spans="1:10" ht="15">
      <c r="A419" s="5"/>
      <c r="B419" s="5"/>
      <c r="C419" s="32"/>
      <c r="D419" s="5"/>
      <c r="E419" s="5"/>
      <c r="F419" s="5"/>
      <c r="G419" s="5"/>
      <c r="H419" s="5"/>
      <c r="I419" s="5"/>
      <c r="J419" s="5"/>
    </row>
    <row r="420" spans="1:17" ht="18" customHeight="1">
      <c r="A420" s="111" t="s">
        <v>247</v>
      </c>
      <c r="B420" s="111"/>
      <c r="C420" s="111"/>
      <c r="D420" s="111"/>
      <c r="E420" s="228"/>
      <c r="F420" s="229"/>
      <c r="G420" s="229"/>
      <c r="H420" s="229"/>
      <c r="I420" s="230" t="s">
        <v>419</v>
      </c>
      <c r="J420" s="112"/>
      <c r="K420" s="113"/>
      <c r="O420" s="231"/>
      <c r="P420" s="232"/>
      <c r="Q420" s="232"/>
    </row>
    <row r="421" spans="1:17" ht="21" customHeight="1">
      <c r="A421" s="233" t="s">
        <v>248</v>
      </c>
      <c r="B421" s="234"/>
      <c r="C421" s="235"/>
      <c r="D421" s="235"/>
      <c r="E421" s="235"/>
      <c r="F421" s="236"/>
      <c r="O421" s="231"/>
      <c r="P421" s="232"/>
      <c r="Q421" s="232"/>
    </row>
    <row r="422" spans="1:9" s="115" customFormat="1" ht="15">
      <c r="A422" s="114" t="s">
        <v>249</v>
      </c>
      <c r="D422" s="114"/>
      <c r="I422" s="114"/>
    </row>
    <row r="423" spans="1:9" s="116" customFormat="1" ht="14.25">
      <c r="A423" s="237" t="s">
        <v>411</v>
      </c>
      <c r="D423" s="237"/>
      <c r="I423" s="237"/>
    </row>
    <row r="424" spans="1:10" ht="15">
      <c r="A424" s="5"/>
      <c r="B424" s="5"/>
      <c r="D424" s="5"/>
      <c r="E424" s="5"/>
      <c r="F424" s="5"/>
      <c r="G424" s="5"/>
      <c r="H424" s="5"/>
      <c r="I424" s="5"/>
      <c r="J424" s="5"/>
    </row>
    <row r="425" ht="15.75">
      <c r="B425" s="17"/>
    </row>
    <row r="426" ht="15.75">
      <c r="B426" s="17"/>
    </row>
    <row r="427" ht="15.75">
      <c r="B427" s="17"/>
    </row>
    <row r="428" ht="15.75">
      <c r="B428" s="17"/>
    </row>
  </sheetData>
  <sheetProtection password="C6A6" sheet="1"/>
  <mergeCells count="15">
    <mergeCell ref="A1:I1"/>
    <mergeCell ref="A19:I19"/>
    <mergeCell ref="B3:I4"/>
    <mergeCell ref="B6:I8"/>
    <mergeCell ref="B10:I11"/>
    <mergeCell ref="B13:I13"/>
    <mergeCell ref="D411:I413"/>
    <mergeCell ref="D414:I414"/>
    <mergeCell ref="B415:I418"/>
    <mergeCell ref="B408:I408"/>
    <mergeCell ref="B15:I17"/>
    <mergeCell ref="A300:I300"/>
    <mergeCell ref="G322:H322"/>
    <mergeCell ref="E335:H335"/>
    <mergeCell ref="E334:H334"/>
  </mergeCells>
  <hyperlinks>
    <hyperlink ref="A422" r:id="rId1" display="Roy Arnott"/>
  </hyperlinks>
  <printOptions/>
  <pageMargins left="0.7480314960629921" right="0.7480314960629921" top="0.984251968503937" bottom="0.984251968503937" header="0.5118110236220472" footer="0.5118110236220472"/>
  <pageSetup firstPageNumber="8" useFirstPageNumber="1" fitToHeight="8" fitToWidth="1" horizontalDpi="180" verticalDpi="180" orientation="portrait" scale="81" r:id="rId3"/>
  <headerFooter alignWithMargins="0">
    <oddHeader>&amp;LGuidelines: Potato Production Costs&amp;R&amp;P</oddHeader>
    <oddFooter>&amp;R&amp;10Manitoba Agriculture, Farm Mangement</oddFooter>
  </headerFooter>
  <rowBreaks count="8" manualBreakCount="8">
    <brk id="38" max="8" man="1"/>
    <brk id="81" max="8" man="1"/>
    <brk id="172" max="8" man="1"/>
    <brk id="229" max="8" man="1"/>
    <brk id="297" max="8" man="1"/>
    <brk id="330" max="8" man="1"/>
    <brk id="358" max="8" man="1"/>
    <brk id="389" max="8" man="1"/>
  </rowBreaks>
  <ignoredErrors>
    <ignoredError sqref="D98:D108 E98:E108" unlockedFormula="1"/>
  </ignoredError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Potato Production Costs</dc:title>
  <dc:subject/>
  <dc:creator>Arnott, Roy (MAFRI)</dc:creator>
  <cp:keywords/>
  <dc:description/>
  <cp:lastModifiedBy>Roy Arnott</cp:lastModifiedBy>
  <cp:lastPrinted>2018-01-24T17:11:57Z</cp:lastPrinted>
  <dcterms:created xsi:type="dcterms:W3CDTF">1999-01-16T17:45:31Z</dcterms:created>
  <dcterms:modified xsi:type="dcterms:W3CDTF">2018-02-07T19:47:54Z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PublishingExpirationDat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