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1.xml" ContentType="application/vnd.openxmlformats-officedocument.drawingml.chart+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embeddings/oleObject1.bin" ContentType="application/vnd.openxmlformats-officedocument.oleObject"/>
  <Override PartName="/xl/worksheets/sheet9.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drawings/drawing2.xml" ContentType="application/vnd.openxmlformats-officedocument.drawing+xml"/>
  <Override PartName="/xl/worksheets/sheet5.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45" windowWidth="15480" windowHeight="9120" tabRatio="914"/>
  </bookViews>
  <sheets>
    <sheet name="Intro" sheetId="22" r:id="rId1"/>
    <sheet name="Assessment" sheetId="13" r:id="rId2"/>
    <sheet name="Logic Model" sheetId="16" r:id="rId3"/>
    <sheet name="Data_Summary" sheetId="14" r:id="rId4"/>
    <sheet name="Results" sheetId="15" r:id="rId5"/>
    <sheet name="Sheet1" sheetId="17" state="hidden" r:id="rId6"/>
    <sheet name="Sheet2" sheetId="18" state="hidden" r:id="rId7"/>
    <sheet name="c1996" sheetId="19" state="hidden" r:id="rId8"/>
    <sheet name="c2001" sheetId="20" state="hidden" r:id="rId9"/>
    <sheet name="c2006" sheetId="21" state="hidden" r:id="rId10"/>
  </sheets>
  <definedNames>
    <definedName name="_xlnm.Print_Area" localSheetId="1">Assessment!$A$1:$AA$346</definedName>
    <definedName name="_xlnm.Print_Area" localSheetId="3">Data_Summary!$A$1:$H$32</definedName>
    <definedName name="_xlnm.Print_Area" localSheetId="0">Intro!$A$1:$I$44</definedName>
  </definedNames>
  <calcPr calcId="125725"/>
  <customWorkbookViews>
    <customWorkbookView name="User_View" guid="{A056A992-68E5-4662-960B-7D9A27ACB891}" includePrintSettings="0" includeHiddenRowCol="0" maximized="1" xWindow="1" yWindow="1" windowWidth="1276" windowHeight="794" tabRatio="914" activeSheetId="13"/>
  </customWorkbookViews>
</workbook>
</file>

<file path=xl/calcChain.xml><?xml version="1.0" encoding="utf-8"?>
<calcChain xmlns="http://schemas.openxmlformats.org/spreadsheetml/2006/main">
  <c r="I343" i="13"/>
  <c r="I344"/>
  <c r="I289"/>
  <c r="I288"/>
  <c r="I291"/>
  <c r="I290"/>
  <c r="I208"/>
  <c r="K204"/>
  <c r="I207" s="1"/>
  <c r="K207"/>
  <c r="K206"/>
  <c r="K205"/>
  <c r="F65"/>
  <c r="I223"/>
  <c r="I201"/>
  <c r="D10"/>
  <c r="C10"/>
  <c r="B10"/>
  <c r="E28"/>
  <c r="E27"/>
  <c r="G28"/>
  <c r="G27"/>
  <c r="F27"/>
  <c r="F28"/>
  <c r="F50"/>
  <c r="F49"/>
  <c r="F48"/>
  <c r="F47"/>
  <c r="F46"/>
  <c r="F45"/>
  <c r="F44"/>
  <c r="F43"/>
  <c r="F42"/>
  <c r="F41"/>
  <c r="F40"/>
  <c r="F39"/>
  <c r="F38"/>
  <c r="F37"/>
  <c r="F36"/>
  <c r="F35"/>
  <c r="F34"/>
  <c r="F33"/>
  <c r="F32"/>
  <c r="F31"/>
  <c r="G50"/>
  <c r="G49"/>
  <c r="G48"/>
  <c r="G47"/>
  <c r="G46"/>
  <c r="G45"/>
  <c r="G44"/>
  <c r="G43"/>
  <c r="G42"/>
  <c r="G41"/>
  <c r="G40"/>
  <c r="G39"/>
  <c r="G38"/>
  <c r="G37"/>
  <c r="G36"/>
  <c r="G35"/>
  <c r="G34"/>
  <c r="G33"/>
  <c r="G32"/>
  <c r="G31"/>
  <c r="E32"/>
  <c r="E33"/>
  <c r="E34"/>
  <c r="E35"/>
  <c r="E36"/>
  <c r="E37"/>
  <c r="E38"/>
  <c r="E39"/>
  <c r="E40"/>
  <c r="E41"/>
  <c r="E42"/>
  <c r="E43"/>
  <c r="E44"/>
  <c r="E45"/>
  <c r="E46"/>
  <c r="E47"/>
  <c r="E48"/>
  <c r="E49"/>
  <c r="E50"/>
  <c r="E31"/>
  <c r="R77" i="21"/>
  <c r="Q77"/>
  <c r="P77"/>
  <c r="O77"/>
  <c r="T77"/>
  <c r="I77"/>
  <c r="H77"/>
  <c r="G77"/>
  <c r="C77"/>
  <c r="B77"/>
  <c r="T77" i="20"/>
  <c r="I77"/>
  <c r="H77"/>
  <c r="G77"/>
  <c r="C77"/>
  <c r="B77"/>
  <c r="M77" s="1"/>
  <c r="T157" i="21"/>
  <c r="R157"/>
  <c r="Q157"/>
  <c r="P157"/>
  <c r="O157"/>
  <c r="I157"/>
  <c r="H157"/>
  <c r="G157"/>
  <c r="C157"/>
  <c r="B157"/>
  <c r="M157" s="1"/>
  <c r="T292"/>
  <c r="R292"/>
  <c r="Q292"/>
  <c r="P292"/>
  <c r="O292"/>
  <c r="I292"/>
  <c r="H292"/>
  <c r="G292"/>
  <c r="C292"/>
  <c r="B292"/>
  <c r="M292" s="1"/>
  <c r="R340"/>
  <c r="Q340"/>
  <c r="P340"/>
  <c r="O340"/>
  <c r="T340"/>
  <c r="I340"/>
  <c r="H340"/>
  <c r="G340"/>
  <c r="C340"/>
  <c r="B340"/>
  <c r="M340" s="1"/>
  <c r="R401"/>
  <c r="Q401"/>
  <c r="P401"/>
  <c r="O401"/>
  <c r="I401"/>
  <c r="H401"/>
  <c r="G401"/>
  <c r="C401"/>
  <c r="B401"/>
  <c r="T401"/>
  <c r="T339" i="20"/>
  <c r="I339"/>
  <c r="H339"/>
  <c r="G339"/>
  <c r="C339"/>
  <c r="B339"/>
  <c r="M339" s="1"/>
  <c r="I291"/>
  <c r="H291"/>
  <c r="G291"/>
  <c r="C291"/>
  <c r="B291"/>
  <c r="N291" s="1"/>
  <c r="T291"/>
  <c r="T339" i="19"/>
  <c r="I339"/>
  <c r="H339"/>
  <c r="G339"/>
  <c r="C339"/>
  <c r="B339"/>
  <c r="N339" s="1"/>
  <c r="I291"/>
  <c r="H291"/>
  <c r="G291"/>
  <c r="C291"/>
  <c r="B291"/>
  <c r="M291" s="1"/>
  <c r="T291"/>
  <c r="T77"/>
  <c r="D77"/>
  <c r="I77"/>
  <c r="H77"/>
  <c r="G77"/>
  <c r="C77"/>
  <c r="B77"/>
  <c r="N77" s="1"/>
  <c r="L18" i="13"/>
  <c r="L17"/>
  <c r="L16"/>
  <c r="L15"/>
  <c r="L14"/>
  <c r="L13"/>
  <c r="L12"/>
  <c r="L11"/>
  <c r="L10"/>
  <c r="L9"/>
  <c r="L8"/>
  <c r="L7"/>
  <c r="L6"/>
  <c r="L5"/>
  <c r="L4"/>
  <c r="L3"/>
  <c r="L2"/>
  <c r="G53"/>
  <c r="I143"/>
  <c r="I142"/>
  <c r="I141"/>
  <c r="I140"/>
  <c r="I139"/>
  <c r="I138"/>
  <c r="I137"/>
  <c r="N284" i="19"/>
  <c r="M284"/>
  <c r="L284"/>
  <c r="K284"/>
  <c r="J284"/>
  <c r="I284"/>
  <c r="H284"/>
  <c r="G284"/>
  <c r="E284"/>
  <c r="D284"/>
  <c r="C284"/>
  <c r="B284"/>
  <c r="T175"/>
  <c r="T175" i="20"/>
  <c r="T3" i="21"/>
  <c r="T4"/>
  <c r="T5"/>
  <c r="T6"/>
  <c r="T7"/>
  <c r="T8"/>
  <c r="T9"/>
  <c r="T10"/>
  <c r="T11"/>
  <c r="T12"/>
  <c r="T13"/>
  <c r="T14"/>
  <c r="T15"/>
  <c r="T16"/>
  <c r="T17"/>
  <c r="T18"/>
  <c r="T19"/>
  <c r="T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T201"/>
  <c r="T202"/>
  <c r="T203"/>
  <c r="T204"/>
  <c r="T205"/>
  <c r="T206"/>
  <c r="T207"/>
  <c r="T208"/>
  <c r="T209"/>
  <c r="T210"/>
  <c r="T211"/>
  <c r="T212"/>
  <c r="T213"/>
  <c r="T214"/>
  <c r="T215"/>
  <c r="T216"/>
  <c r="T217"/>
  <c r="T218"/>
  <c r="T219"/>
  <c r="T220"/>
  <c r="T221"/>
  <c r="T222"/>
  <c r="T223"/>
  <c r="T224"/>
  <c r="T225"/>
  <c r="T226"/>
  <c r="T227"/>
  <c r="T228"/>
  <c r="T229"/>
  <c r="T230"/>
  <c r="T231"/>
  <c r="T232"/>
  <c r="T233"/>
  <c r="T234"/>
  <c r="T235"/>
  <c r="T236"/>
  <c r="T237"/>
  <c r="T238"/>
  <c r="T239"/>
  <c r="T240"/>
  <c r="T241"/>
  <c r="T242"/>
  <c r="T243"/>
  <c r="T244"/>
  <c r="T245"/>
  <c r="T246"/>
  <c r="T247"/>
  <c r="T248"/>
  <c r="T249"/>
  <c r="T250"/>
  <c r="T251"/>
  <c r="T252"/>
  <c r="T253"/>
  <c r="T254"/>
  <c r="T255"/>
  <c r="T256"/>
  <c r="T257"/>
  <c r="T258"/>
  <c r="T259"/>
  <c r="T260"/>
  <c r="T261"/>
  <c r="T262"/>
  <c r="T263"/>
  <c r="T264"/>
  <c r="T265"/>
  <c r="T266"/>
  <c r="T267"/>
  <c r="T268"/>
  <c r="T269"/>
  <c r="T270"/>
  <c r="T271"/>
  <c r="T272"/>
  <c r="T273"/>
  <c r="T274"/>
  <c r="T275"/>
  <c r="T276"/>
  <c r="T277"/>
  <c r="T278"/>
  <c r="T279"/>
  <c r="T280"/>
  <c r="T281"/>
  <c r="T282"/>
  <c r="T283"/>
  <c r="T284"/>
  <c r="T285"/>
  <c r="T286"/>
  <c r="T287"/>
  <c r="T288"/>
  <c r="T289"/>
  <c r="T290"/>
  <c r="T291"/>
  <c r="T293"/>
  <c r="T294"/>
  <c r="T295"/>
  <c r="T296"/>
  <c r="T297"/>
  <c r="T298"/>
  <c r="T299"/>
  <c r="T300"/>
  <c r="T301"/>
  <c r="T302"/>
  <c r="T303"/>
  <c r="T304"/>
  <c r="T305"/>
  <c r="T306"/>
  <c r="T307"/>
  <c r="T308"/>
  <c r="T309"/>
  <c r="T310"/>
  <c r="T311"/>
  <c r="T312"/>
  <c r="T313"/>
  <c r="T314"/>
  <c r="T315"/>
  <c r="T316"/>
  <c r="T317"/>
  <c r="T318"/>
  <c r="T319"/>
  <c r="T320"/>
  <c r="T321"/>
  <c r="T322"/>
  <c r="T323"/>
  <c r="T324"/>
  <c r="T325"/>
  <c r="T326"/>
  <c r="T327"/>
  <c r="T328"/>
  <c r="T329"/>
  <c r="T330"/>
  <c r="T331"/>
  <c r="T332"/>
  <c r="T333"/>
  <c r="T334"/>
  <c r="T335"/>
  <c r="T336"/>
  <c r="T337"/>
  <c r="T338"/>
  <c r="T339"/>
  <c r="T341"/>
  <c r="T342"/>
  <c r="T343"/>
  <c r="T345"/>
  <c r="T344"/>
  <c r="T346"/>
  <c r="T347"/>
  <c r="T348"/>
  <c r="T349"/>
  <c r="T350"/>
  <c r="T351"/>
  <c r="T352"/>
  <c r="T353"/>
  <c r="T354"/>
  <c r="T355"/>
  <c r="T356"/>
  <c r="T357"/>
  <c r="T358"/>
  <c r="T359"/>
  <c r="T360"/>
  <c r="T361"/>
  <c r="T362"/>
  <c r="T363"/>
  <c r="T364"/>
  <c r="T365"/>
  <c r="T366"/>
  <c r="T367"/>
  <c r="T368"/>
  <c r="T369"/>
  <c r="T371"/>
  <c r="T372"/>
  <c r="T373"/>
  <c r="T370"/>
  <c r="T374"/>
  <c r="T375"/>
  <c r="T376"/>
  <c r="T377"/>
  <c r="T378"/>
  <c r="T379"/>
  <c r="T380"/>
  <c r="T381"/>
  <c r="T382"/>
  <c r="T383"/>
  <c r="T384"/>
  <c r="T385"/>
  <c r="T386"/>
  <c r="T387"/>
  <c r="T388"/>
  <c r="T389"/>
  <c r="T390"/>
  <c r="T391"/>
  <c r="T392"/>
  <c r="T393"/>
  <c r="T394"/>
  <c r="T395"/>
  <c r="T396"/>
  <c r="T397"/>
  <c r="T398"/>
  <c r="T399"/>
  <c r="T400"/>
  <c r="T402"/>
  <c r="T403"/>
  <c r="T404"/>
  <c r="T405"/>
  <c r="T406"/>
  <c r="T407"/>
  <c r="T408"/>
  <c r="T409"/>
  <c r="T410"/>
  <c r="T411"/>
  <c r="T412"/>
  <c r="T413"/>
  <c r="T414"/>
  <c r="T415"/>
  <c r="T416"/>
  <c r="T417"/>
  <c r="T418"/>
  <c r="T419"/>
  <c r="T420"/>
  <c r="T421"/>
  <c r="T422"/>
  <c r="T423"/>
  <c r="T424"/>
  <c r="T425"/>
  <c r="T426"/>
  <c r="T427"/>
  <c r="T428"/>
  <c r="T429"/>
  <c r="T430"/>
  <c r="T431"/>
  <c r="T432"/>
  <c r="T433"/>
  <c r="T434"/>
  <c r="T435"/>
  <c r="T436"/>
  <c r="T437"/>
  <c r="T2"/>
  <c r="T3" i="20"/>
  <c r="T4"/>
  <c r="T5"/>
  <c r="T6"/>
  <c r="T7"/>
  <c r="T8"/>
  <c r="T9"/>
  <c r="T10"/>
  <c r="T11"/>
  <c r="T12"/>
  <c r="T13"/>
  <c r="T14"/>
  <c r="T15"/>
  <c r="T16"/>
  <c r="T17"/>
  <c r="T18"/>
  <c r="T19"/>
  <c r="T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3"/>
  <c r="T62"/>
  <c r="T64"/>
  <c r="T65"/>
  <c r="T66"/>
  <c r="T67"/>
  <c r="T68"/>
  <c r="T69"/>
  <c r="T70"/>
  <c r="T73"/>
  <c r="T71"/>
  <c r="T72"/>
  <c r="T74"/>
  <c r="T75"/>
  <c r="T76"/>
  <c r="T78"/>
  <c r="T79"/>
  <c r="T80"/>
  <c r="T81"/>
  <c r="T82"/>
  <c r="T83"/>
  <c r="T84"/>
  <c r="T85"/>
  <c r="T86"/>
  <c r="T87"/>
  <c r="T88"/>
  <c r="T89"/>
  <c r="T90"/>
  <c r="T91"/>
  <c r="T92"/>
  <c r="T93"/>
  <c r="T94"/>
  <c r="T129"/>
  <c r="T128"/>
  <c r="T130"/>
  <c r="T132"/>
  <c r="T95"/>
  <c r="T96"/>
  <c r="T97"/>
  <c r="T98"/>
  <c r="T99"/>
  <c r="T100"/>
  <c r="T101"/>
  <c r="T102"/>
  <c r="T103"/>
  <c r="T104"/>
  <c r="T105"/>
  <c r="T106"/>
  <c r="T107"/>
  <c r="T108"/>
  <c r="T109"/>
  <c r="T110"/>
  <c r="T111"/>
  <c r="T112"/>
  <c r="T113"/>
  <c r="T114"/>
  <c r="T115"/>
  <c r="T116"/>
  <c r="T117"/>
  <c r="T118"/>
  <c r="T119"/>
  <c r="T120"/>
  <c r="T121"/>
  <c r="T122"/>
  <c r="T123"/>
  <c r="T124"/>
  <c r="T125"/>
  <c r="T126"/>
  <c r="T127"/>
  <c r="T131"/>
  <c r="T133"/>
  <c r="T135"/>
  <c r="T134"/>
  <c r="T136"/>
  <c r="T137"/>
  <c r="T138"/>
  <c r="T140"/>
  <c r="T139"/>
  <c r="T141"/>
  <c r="T142"/>
  <c r="T143"/>
  <c r="T144"/>
  <c r="T145"/>
  <c r="T146"/>
  <c r="T147"/>
  <c r="T148"/>
  <c r="T149"/>
  <c r="T151"/>
  <c r="T150"/>
  <c r="T153"/>
  <c r="T152"/>
  <c r="T154"/>
  <c r="T155"/>
  <c r="T156"/>
  <c r="T157"/>
  <c r="T159"/>
  <c r="T160"/>
  <c r="T161"/>
  <c r="T162"/>
  <c r="T163"/>
  <c r="T164"/>
  <c r="T165"/>
  <c r="T166"/>
  <c r="T167"/>
  <c r="T168"/>
  <c r="T169"/>
  <c r="T170"/>
  <c r="T171"/>
  <c r="T173"/>
  <c r="T172"/>
  <c r="T174"/>
  <c r="T176"/>
  <c r="T177"/>
  <c r="T178"/>
  <c r="T179"/>
  <c r="T180"/>
  <c r="T182"/>
  <c r="T181"/>
  <c r="T183"/>
  <c r="T184"/>
  <c r="T185"/>
  <c r="T187"/>
  <c r="T186"/>
  <c r="T188"/>
  <c r="T189"/>
  <c r="T190"/>
  <c r="T191"/>
  <c r="T192"/>
  <c r="T193"/>
  <c r="T194"/>
  <c r="T195"/>
  <c r="T197"/>
  <c r="T196"/>
  <c r="T198"/>
  <c r="T199"/>
  <c r="T200"/>
  <c r="T201"/>
  <c r="T202"/>
  <c r="T203"/>
  <c r="T204"/>
  <c r="T205"/>
  <c r="T206"/>
  <c r="T207"/>
  <c r="T208"/>
  <c r="T209"/>
  <c r="T210"/>
  <c r="T211"/>
  <c r="T212"/>
  <c r="T215"/>
  <c r="T213"/>
  <c r="T214"/>
  <c r="T216"/>
  <c r="T217"/>
  <c r="T218"/>
  <c r="T220"/>
  <c r="T219"/>
  <c r="T221"/>
  <c r="T222"/>
  <c r="T223"/>
  <c r="T225"/>
  <c r="T224"/>
  <c r="T226"/>
  <c r="T227"/>
  <c r="T228"/>
  <c r="T229"/>
  <c r="T230"/>
  <c r="T231"/>
  <c r="T232"/>
  <c r="T233"/>
  <c r="T234"/>
  <c r="T235"/>
  <c r="T236"/>
  <c r="T237"/>
  <c r="T238"/>
  <c r="T239"/>
  <c r="T240"/>
  <c r="T241"/>
  <c r="T242"/>
  <c r="T243"/>
  <c r="T244"/>
  <c r="T245"/>
  <c r="T246"/>
  <c r="T247"/>
  <c r="T248"/>
  <c r="T249"/>
  <c r="T250"/>
  <c r="T251"/>
  <c r="T252"/>
  <c r="T253"/>
  <c r="T254"/>
  <c r="T255"/>
  <c r="T256"/>
  <c r="T257"/>
  <c r="T258"/>
  <c r="T259"/>
  <c r="T260"/>
  <c r="T261"/>
  <c r="T262"/>
  <c r="T264"/>
  <c r="T263"/>
  <c r="T265"/>
  <c r="T266"/>
  <c r="T267"/>
  <c r="T268"/>
  <c r="T269"/>
  <c r="T270"/>
  <c r="T271"/>
  <c r="T272"/>
  <c r="T273"/>
  <c r="T274"/>
  <c r="T275"/>
  <c r="T276"/>
  <c r="T277"/>
  <c r="T278"/>
  <c r="T279"/>
  <c r="T280"/>
  <c r="T281"/>
  <c r="T282"/>
  <c r="T283"/>
  <c r="T284"/>
  <c r="T285"/>
  <c r="T286"/>
  <c r="T287"/>
  <c r="T288"/>
  <c r="T289"/>
  <c r="T290"/>
  <c r="T292"/>
  <c r="T293"/>
  <c r="T294"/>
  <c r="T295"/>
  <c r="T296"/>
  <c r="T297"/>
  <c r="T298"/>
  <c r="T299"/>
  <c r="T300"/>
  <c r="T301"/>
  <c r="T302"/>
  <c r="T303"/>
  <c r="T304"/>
  <c r="T306"/>
  <c r="T305"/>
  <c r="T307"/>
  <c r="T308"/>
  <c r="T309"/>
  <c r="T310"/>
  <c r="T311"/>
  <c r="T312"/>
  <c r="T313"/>
  <c r="T314"/>
  <c r="T315"/>
  <c r="T316"/>
  <c r="T317"/>
  <c r="T318"/>
  <c r="T319"/>
  <c r="T320"/>
  <c r="T321"/>
  <c r="T322"/>
  <c r="T323"/>
  <c r="T324"/>
  <c r="T325"/>
  <c r="T326"/>
  <c r="T327"/>
  <c r="T328"/>
  <c r="T329"/>
  <c r="T330"/>
  <c r="T331"/>
  <c r="T332"/>
  <c r="T334"/>
  <c r="T333"/>
  <c r="T335"/>
  <c r="T336"/>
  <c r="T337"/>
  <c r="T338"/>
  <c r="T340"/>
  <c r="T341"/>
  <c r="T342"/>
  <c r="T344"/>
  <c r="T343"/>
  <c r="T345"/>
  <c r="T347"/>
  <c r="T346"/>
  <c r="T348"/>
  <c r="T349"/>
  <c r="T350"/>
  <c r="T351"/>
  <c r="T352"/>
  <c r="T353"/>
  <c r="T354"/>
  <c r="T355"/>
  <c r="T356"/>
  <c r="T357"/>
  <c r="T358"/>
  <c r="T360"/>
  <c r="T359"/>
  <c r="T361"/>
  <c r="T362"/>
  <c r="T363"/>
  <c r="T364"/>
  <c r="T365"/>
  <c r="T366"/>
  <c r="T367"/>
  <c r="T368"/>
  <c r="T375"/>
  <c r="T370"/>
  <c r="T371"/>
  <c r="T372"/>
  <c r="T369"/>
  <c r="T373"/>
  <c r="T374"/>
  <c r="T376"/>
  <c r="T377"/>
  <c r="T378"/>
  <c r="T379"/>
  <c r="T380"/>
  <c r="T381"/>
  <c r="T384"/>
  <c r="T385"/>
  <c r="T387"/>
  <c r="T386"/>
  <c r="T388"/>
  <c r="T389"/>
  <c r="T390"/>
  <c r="T382"/>
  <c r="T391"/>
  <c r="T383"/>
  <c r="T392"/>
  <c r="T393"/>
  <c r="T394"/>
  <c r="T395"/>
  <c r="T396"/>
  <c r="T398"/>
  <c r="T397"/>
  <c r="T399"/>
  <c r="T400"/>
  <c r="T403"/>
  <c r="T404"/>
  <c r="T405"/>
  <c r="T406"/>
  <c r="T407"/>
  <c r="T408"/>
  <c r="T409"/>
  <c r="T410"/>
  <c r="T411"/>
  <c r="T412"/>
  <c r="T413"/>
  <c r="T414"/>
  <c r="T415"/>
  <c r="T416"/>
  <c r="T417"/>
  <c r="T418"/>
  <c r="T419"/>
  <c r="T420"/>
  <c r="T421"/>
  <c r="T422"/>
  <c r="T423"/>
  <c r="T424"/>
  <c r="T425"/>
  <c r="T426"/>
  <c r="T427"/>
  <c r="T428"/>
  <c r="T429"/>
  <c r="T430"/>
  <c r="T431"/>
  <c r="T432"/>
  <c r="T433"/>
  <c r="T434"/>
  <c r="T435"/>
  <c r="T2"/>
  <c r="T38" i="19"/>
  <c r="T39"/>
  <c r="T40"/>
  <c r="T41"/>
  <c r="T42"/>
  <c r="T43"/>
  <c r="T44"/>
  <c r="T45"/>
  <c r="T46"/>
  <c r="T47"/>
  <c r="T48"/>
  <c r="T49"/>
  <c r="T50"/>
  <c r="T51"/>
  <c r="T52"/>
  <c r="T53"/>
  <c r="T54"/>
  <c r="T55"/>
  <c r="T56"/>
  <c r="T57"/>
  <c r="T58"/>
  <c r="T59"/>
  <c r="T60"/>
  <c r="T61"/>
  <c r="T63"/>
  <c r="T62"/>
  <c r="T64"/>
  <c r="T65"/>
  <c r="T66"/>
  <c r="T67"/>
  <c r="T68"/>
  <c r="T69"/>
  <c r="T70"/>
  <c r="T73"/>
  <c r="T71"/>
  <c r="T72"/>
  <c r="T74"/>
  <c r="T75"/>
  <c r="T76"/>
  <c r="T78"/>
  <c r="T79"/>
  <c r="T80"/>
  <c r="T81"/>
  <c r="T82"/>
  <c r="T83"/>
  <c r="T84"/>
  <c r="T85"/>
  <c r="T86"/>
  <c r="T87"/>
  <c r="T88"/>
  <c r="T89"/>
  <c r="T90"/>
  <c r="T91"/>
  <c r="T92"/>
  <c r="T93"/>
  <c r="T94"/>
  <c r="T129"/>
  <c r="T128"/>
  <c r="T130"/>
  <c r="T132"/>
  <c r="T95"/>
  <c r="T96"/>
  <c r="T97"/>
  <c r="T98"/>
  <c r="T99"/>
  <c r="T100"/>
  <c r="T101"/>
  <c r="T102"/>
  <c r="T103"/>
  <c r="T104"/>
  <c r="T105"/>
  <c r="T106"/>
  <c r="T107"/>
  <c r="T108"/>
  <c r="T109"/>
  <c r="T110"/>
  <c r="T111"/>
  <c r="T112"/>
  <c r="T113"/>
  <c r="T114"/>
  <c r="T115"/>
  <c r="T116"/>
  <c r="T117"/>
  <c r="T118"/>
  <c r="T119"/>
  <c r="T120"/>
  <c r="T121"/>
  <c r="T122"/>
  <c r="T123"/>
  <c r="T124"/>
  <c r="T125"/>
  <c r="T126"/>
  <c r="T127"/>
  <c r="T131"/>
  <c r="T133"/>
  <c r="T135"/>
  <c r="T134"/>
  <c r="T136"/>
  <c r="T137"/>
  <c r="T138"/>
  <c r="T140"/>
  <c r="T139"/>
  <c r="T141"/>
  <c r="T142"/>
  <c r="T143"/>
  <c r="T144"/>
  <c r="T145"/>
  <c r="T146"/>
  <c r="T147"/>
  <c r="T148"/>
  <c r="T149"/>
  <c r="T151"/>
  <c r="T150"/>
  <c r="T153"/>
  <c r="T152"/>
  <c r="T154"/>
  <c r="T155"/>
  <c r="T156"/>
  <c r="T157"/>
  <c r="T159"/>
  <c r="T160"/>
  <c r="T161"/>
  <c r="T162"/>
  <c r="T163"/>
  <c r="T164"/>
  <c r="T165"/>
  <c r="T166"/>
  <c r="T167"/>
  <c r="T168"/>
  <c r="T169"/>
  <c r="T170"/>
  <c r="T171"/>
  <c r="T173"/>
  <c r="T172"/>
  <c r="T174"/>
  <c r="T176"/>
  <c r="T177"/>
  <c r="T178"/>
  <c r="T179"/>
  <c r="T180"/>
  <c r="T182"/>
  <c r="T181"/>
  <c r="T183"/>
  <c r="T184"/>
  <c r="T185"/>
  <c r="T187"/>
  <c r="T186"/>
  <c r="T188"/>
  <c r="T189"/>
  <c r="T190"/>
  <c r="T191"/>
  <c r="T192"/>
  <c r="T193"/>
  <c r="T194"/>
  <c r="T195"/>
  <c r="T197"/>
  <c r="T196"/>
  <c r="T198"/>
  <c r="T199"/>
  <c r="T200"/>
  <c r="T201"/>
  <c r="T202"/>
  <c r="T203"/>
  <c r="T204"/>
  <c r="T205"/>
  <c r="T206"/>
  <c r="T207"/>
  <c r="T208"/>
  <c r="T209"/>
  <c r="T210"/>
  <c r="T211"/>
  <c r="T212"/>
  <c r="T215"/>
  <c r="T213"/>
  <c r="T214"/>
  <c r="T216"/>
  <c r="T217"/>
  <c r="T218"/>
  <c r="T220"/>
  <c r="T219"/>
  <c r="T221"/>
  <c r="T222"/>
  <c r="T223"/>
  <c r="T225"/>
  <c r="T224"/>
  <c r="T226"/>
  <c r="T227"/>
  <c r="T228"/>
  <c r="T229"/>
  <c r="T230"/>
  <c r="T231"/>
  <c r="T232"/>
  <c r="T233"/>
  <c r="T234"/>
  <c r="T235"/>
  <c r="T236"/>
  <c r="T237"/>
  <c r="T238"/>
  <c r="T239"/>
  <c r="T240"/>
  <c r="T241"/>
  <c r="T242"/>
  <c r="T243"/>
  <c r="T244"/>
  <c r="T245"/>
  <c r="T246"/>
  <c r="T247"/>
  <c r="T248"/>
  <c r="T249"/>
  <c r="T250"/>
  <c r="T251"/>
  <c r="T252"/>
  <c r="T253"/>
  <c r="T254"/>
  <c r="T255"/>
  <c r="T256"/>
  <c r="T257"/>
  <c r="T258"/>
  <c r="T259"/>
  <c r="T260"/>
  <c r="T261"/>
  <c r="T262"/>
  <c r="T264"/>
  <c r="T263"/>
  <c r="T265"/>
  <c r="T266"/>
  <c r="T267"/>
  <c r="T268"/>
  <c r="T269"/>
  <c r="T270"/>
  <c r="T271"/>
  <c r="T272"/>
  <c r="T273"/>
  <c r="T274"/>
  <c r="T275"/>
  <c r="T276"/>
  <c r="T277"/>
  <c r="T278"/>
  <c r="T279"/>
  <c r="T280"/>
  <c r="T281"/>
  <c r="T282"/>
  <c r="T283"/>
  <c r="T284"/>
  <c r="T285"/>
  <c r="T286"/>
  <c r="T287"/>
  <c r="T288"/>
  <c r="T289"/>
  <c r="T290"/>
  <c r="T292"/>
  <c r="T293"/>
  <c r="T297"/>
  <c r="T298"/>
  <c r="T299"/>
  <c r="T300"/>
  <c r="T301"/>
  <c r="T302"/>
  <c r="T303"/>
  <c r="T304"/>
  <c r="T306"/>
  <c r="T305"/>
  <c r="T307"/>
  <c r="T308"/>
  <c r="T309"/>
  <c r="T310"/>
  <c r="T311"/>
  <c r="T312"/>
  <c r="T313"/>
  <c r="T314"/>
  <c r="T315"/>
  <c r="T316"/>
  <c r="T317"/>
  <c r="T318"/>
  <c r="T319"/>
  <c r="T320"/>
  <c r="T321"/>
  <c r="T322"/>
  <c r="T323"/>
  <c r="T324"/>
  <c r="T325"/>
  <c r="T326"/>
  <c r="T327"/>
  <c r="T328"/>
  <c r="T329"/>
  <c r="T330"/>
  <c r="T331"/>
  <c r="T332"/>
  <c r="T334"/>
  <c r="T333"/>
  <c r="T335"/>
  <c r="T336"/>
  <c r="T337"/>
  <c r="T338"/>
  <c r="T340"/>
  <c r="T341"/>
  <c r="T342"/>
  <c r="T343"/>
  <c r="T344"/>
  <c r="T345"/>
  <c r="T347"/>
  <c r="T346"/>
  <c r="T348"/>
  <c r="T349"/>
  <c r="T350"/>
  <c r="T351"/>
  <c r="T352"/>
  <c r="T353"/>
  <c r="T354"/>
  <c r="T355"/>
  <c r="T356"/>
  <c r="T357"/>
  <c r="T358"/>
  <c r="T360"/>
  <c r="T359"/>
  <c r="T361"/>
  <c r="T362"/>
  <c r="T363"/>
  <c r="T364"/>
  <c r="T365"/>
  <c r="T366"/>
  <c r="T367"/>
  <c r="T368"/>
  <c r="T375"/>
  <c r="T369"/>
  <c r="T370"/>
  <c r="T371"/>
  <c r="T372"/>
  <c r="T373"/>
  <c r="T374"/>
  <c r="T376"/>
  <c r="T377"/>
  <c r="T378"/>
  <c r="T379"/>
  <c r="T380"/>
  <c r="T381"/>
  <c r="T384"/>
  <c r="T385"/>
  <c r="T387"/>
  <c r="T386"/>
  <c r="T388"/>
  <c r="T389"/>
  <c r="T390"/>
  <c r="T382"/>
  <c r="T391"/>
  <c r="T383"/>
  <c r="T392"/>
  <c r="T393"/>
  <c r="T394"/>
  <c r="T395"/>
  <c r="T396"/>
  <c r="T398"/>
  <c r="T397"/>
  <c r="T399"/>
  <c r="T400"/>
  <c r="T403"/>
  <c r="T404"/>
  <c r="T405"/>
  <c r="T406"/>
  <c r="T407"/>
  <c r="T408"/>
  <c r="T409"/>
  <c r="T410"/>
  <c r="T411"/>
  <c r="T412"/>
  <c r="T413"/>
  <c r="T414"/>
  <c r="T415"/>
  <c r="T416"/>
  <c r="T417"/>
  <c r="T418"/>
  <c r="T419"/>
  <c r="T420"/>
  <c r="T421"/>
  <c r="T422"/>
  <c r="T423"/>
  <c r="T424"/>
  <c r="T425"/>
  <c r="T426"/>
  <c r="T427"/>
  <c r="T428"/>
  <c r="T429"/>
  <c r="T430"/>
  <c r="T431"/>
  <c r="T432"/>
  <c r="T433"/>
  <c r="T434"/>
  <c r="T435"/>
  <c r="T3"/>
  <c r="T4"/>
  <c r="T5"/>
  <c r="T6"/>
  <c r="T7"/>
  <c r="T8"/>
  <c r="T9"/>
  <c r="T10"/>
  <c r="T11"/>
  <c r="T12"/>
  <c r="T13"/>
  <c r="T14"/>
  <c r="T15"/>
  <c r="T16"/>
  <c r="T17"/>
  <c r="T18"/>
  <c r="T19"/>
  <c r="T20"/>
  <c r="T21"/>
  <c r="T22"/>
  <c r="T23"/>
  <c r="T24"/>
  <c r="T25"/>
  <c r="T26"/>
  <c r="T27"/>
  <c r="T28"/>
  <c r="T29"/>
  <c r="T30"/>
  <c r="T31"/>
  <c r="T32"/>
  <c r="T33"/>
  <c r="T34"/>
  <c r="T36"/>
  <c r="T35"/>
  <c r="T37"/>
  <c r="T2"/>
  <c r="V50"/>
  <c r="V50" i="20"/>
  <c r="B5" i="17"/>
  <c r="B9"/>
  <c r="B11"/>
  <c r="B12"/>
  <c r="B14"/>
  <c r="B15"/>
  <c r="B17"/>
  <c r="B19"/>
  <c r="B21"/>
  <c r="B22"/>
  <c r="B24"/>
  <c r="B27"/>
  <c r="B29"/>
  <c r="B30"/>
  <c r="B40"/>
  <c r="B43"/>
  <c r="B44"/>
  <c r="B45"/>
  <c r="B48"/>
  <c r="B51"/>
  <c r="B58"/>
  <c r="B59"/>
  <c r="B62"/>
  <c r="B64"/>
  <c r="B66"/>
  <c r="B67"/>
  <c r="B68"/>
  <c r="B69"/>
  <c r="B74"/>
  <c r="B76"/>
  <c r="B77"/>
  <c r="B78"/>
  <c r="B79"/>
  <c r="B85"/>
  <c r="B88"/>
  <c r="B89"/>
  <c r="B90"/>
  <c r="B91"/>
  <c r="B92"/>
  <c r="B104"/>
  <c r="B105"/>
  <c r="B107"/>
  <c r="B108"/>
  <c r="B109"/>
  <c r="B110"/>
  <c r="B111"/>
  <c r="B112"/>
  <c r="B115"/>
  <c r="B118"/>
  <c r="B122"/>
  <c r="B125"/>
  <c r="B126"/>
  <c r="B127"/>
  <c r="B130"/>
  <c r="B132"/>
  <c r="B133"/>
  <c r="B134"/>
  <c r="B135"/>
  <c r="B136"/>
  <c r="B137"/>
  <c r="B138"/>
  <c r="B141"/>
  <c r="B143"/>
  <c r="B144"/>
  <c r="B150"/>
  <c r="B152"/>
  <c r="B153"/>
  <c r="B154"/>
  <c r="B156"/>
  <c r="B159"/>
  <c r="B161"/>
  <c r="B162"/>
  <c r="B164"/>
  <c r="B166"/>
  <c r="B169"/>
  <c r="B174"/>
  <c r="B176"/>
  <c r="B177"/>
  <c r="B182"/>
  <c r="B183"/>
  <c r="B184"/>
  <c r="B185"/>
  <c r="B189"/>
  <c r="B188"/>
  <c r="B195"/>
  <c r="B196"/>
  <c r="B199"/>
  <c r="B203"/>
  <c r="B204"/>
  <c r="B205"/>
  <c r="B206"/>
  <c r="B207"/>
  <c r="B208"/>
  <c r="B209"/>
  <c r="B212"/>
  <c r="B215"/>
  <c r="B217"/>
  <c r="B222"/>
  <c r="B223"/>
  <c r="B224"/>
  <c r="B225"/>
  <c r="B226"/>
  <c r="B227"/>
  <c r="B231"/>
  <c r="B232"/>
  <c r="B234"/>
  <c r="B235"/>
  <c r="B236"/>
  <c r="B242"/>
  <c r="B243"/>
  <c r="B246"/>
  <c r="B247"/>
  <c r="B248"/>
  <c r="B250"/>
  <c r="B251"/>
  <c r="B253"/>
  <c r="B256"/>
  <c r="B257"/>
  <c r="B258"/>
  <c r="B265"/>
  <c r="B268"/>
  <c r="B270"/>
  <c r="B271"/>
  <c r="B272"/>
  <c r="B273"/>
  <c r="B279"/>
  <c r="B280"/>
  <c r="B281"/>
  <c r="B288"/>
  <c r="B293"/>
  <c r="B296"/>
  <c r="B298"/>
  <c r="B299"/>
  <c r="B300"/>
  <c r="B303"/>
  <c r="B308"/>
  <c r="B309"/>
  <c r="B310"/>
  <c r="B313"/>
  <c r="B314"/>
  <c r="B315"/>
  <c r="B318"/>
  <c r="B319"/>
  <c r="B321"/>
  <c r="B322"/>
  <c r="B325"/>
  <c r="B327"/>
  <c r="B328"/>
  <c r="B333"/>
  <c r="B335"/>
  <c r="B336"/>
  <c r="B339"/>
  <c r="B364"/>
  <c r="B343"/>
  <c r="B344"/>
  <c r="B345"/>
  <c r="B346"/>
  <c r="B347"/>
  <c r="B348"/>
  <c r="B349"/>
  <c r="B350"/>
  <c r="B358"/>
  <c r="B359"/>
  <c r="B360"/>
  <c r="B361"/>
  <c r="B362"/>
  <c r="B367"/>
  <c r="B378"/>
  <c r="B377"/>
  <c r="B376"/>
  <c r="B375"/>
  <c r="B374"/>
  <c r="B373"/>
  <c r="C4" i="13"/>
  <c r="D4"/>
  <c r="E4"/>
  <c r="F4"/>
  <c r="G4"/>
  <c r="B4"/>
  <c r="G26"/>
  <c r="F26"/>
  <c r="E26"/>
  <c r="G25"/>
  <c r="F25"/>
  <c r="E25"/>
  <c r="G24"/>
  <c r="F24"/>
  <c r="E24"/>
  <c r="G23"/>
  <c r="F23"/>
  <c r="E23"/>
  <c r="G22"/>
  <c r="F22"/>
  <c r="E22"/>
  <c r="G21"/>
  <c r="F21"/>
  <c r="E21"/>
  <c r="G20"/>
  <c r="F20"/>
  <c r="E20"/>
  <c r="G19"/>
  <c r="F19"/>
  <c r="E19"/>
  <c r="G18"/>
  <c r="F18"/>
  <c r="E18"/>
  <c r="G17"/>
  <c r="F17"/>
  <c r="E17"/>
  <c r="G16"/>
  <c r="F16"/>
  <c r="E16"/>
  <c r="F13"/>
  <c r="F12"/>
  <c r="C14"/>
  <c r="C13"/>
  <c r="C12"/>
  <c r="G5"/>
  <c r="F5"/>
  <c r="E5"/>
  <c r="D5"/>
  <c r="C5"/>
  <c r="B5"/>
  <c r="A26"/>
  <c r="A25"/>
  <c r="A24"/>
  <c r="A23"/>
  <c r="A22"/>
  <c r="A21"/>
  <c r="A20"/>
  <c r="A19"/>
  <c r="A18"/>
  <c r="A17"/>
  <c r="A16"/>
  <c r="G277" i="18"/>
  <c r="G74"/>
  <c r="C74"/>
  <c r="D74"/>
  <c r="E74"/>
  <c r="B74"/>
  <c r="J203" i="13"/>
  <c r="I202"/>
  <c r="I200"/>
  <c r="I292"/>
  <c r="J296"/>
  <c r="I295"/>
  <c r="I294"/>
  <c r="J346"/>
  <c r="I221"/>
  <c r="I217"/>
  <c r="I216"/>
  <c r="F118"/>
  <c r="G63"/>
  <c r="G62"/>
  <c r="G61"/>
  <c r="G60"/>
  <c r="G59"/>
  <c r="G57"/>
  <c r="G56"/>
  <c r="G55"/>
  <c r="G54"/>
  <c r="F64"/>
  <c r="E64"/>
  <c r="F58"/>
  <c r="E58"/>
  <c r="E65" s="1"/>
  <c r="I160"/>
  <c r="I159"/>
  <c r="I158"/>
  <c r="I157"/>
  <c r="I156"/>
  <c r="J161"/>
  <c r="I211"/>
  <c r="I210"/>
  <c r="I209"/>
  <c r="I205"/>
  <c r="J212"/>
  <c r="I199"/>
  <c r="I198"/>
  <c r="I197"/>
  <c r="I196"/>
  <c r="I195"/>
  <c r="I164"/>
  <c r="I165"/>
  <c r="I166"/>
  <c r="I167"/>
  <c r="I168"/>
  <c r="I169"/>
  <c r="I170"/>
  <c r="I171"/>
  <c r="I172"/>
  <c r="I173"/>
  <c r="I163"/>
  <c r="J174"/>
  <c r="I206" l="1"/>
  <c r="D339" i="19"/>
  <c r="K77"/>
  <c r="K339"/>
  <c r="F77"/>
  <c r="M77"/>
  <c r="F339"/>
  <c r="M339"/>
  <c r="E291"/>
  <c r="J291"/>
  <c r="L291"/>
  <c r="N291"/>
  <c r="E77"/>
  <c r="J77"/>
  <c r="L77"/>
  <c r="D291"/>
  <c r="F291"/>
  <c r="K291"/>
  <c r="E339"/>
  <c r="J339"/>
  <c r="L339"/>
  <c r="D291" i="20"/>
  <c r="F291"/>
  <c r="K291"/>
  <c r="M291"/>
  <c r="E339"/>
  <c r="J339"/>
  <c r="L339"/>
  <c r="N339"/>
  <c r="E77"/>
  <c r="J77"/>
  <c r="L77"/>
  <c r="N77"/>
  <c r="E291"/>
  <c r="J291"/>
  <c r="L291"/>
  <c r="D339"/>
  <c r="F339"/>
  <c r="K339"/>
  <c r="D77"/>
  <c r="F77"/>
  <c r="K77"/>
  <c r="E157" i="21"/>
  <c r="J157"/>
  <c r="L157"/>
  <c r="N157"/>
  <c r="E292"/>
  <c r="D157"/>
  <c r="F157"/>
  <c r="K157"/>
  <c r="E77"/>
  <c r="K77"/>
  <c r="M77"/>
  <c r="D77"/>
  <c r="F77"/>
  <c r="J77"/>
  <c r="L77"/>
  <c r="N77"/>
  <c r="D292"/>
  <c r="F292"/>
  <c r="J292"/>
  <c r="L292"/>
  <c r="N292"/>
  <c r="K292"/>
  <c r="D340"/>
  <c r="F340"/>
  <c r="J340"/>
  <c r="L340"/>
  <c r="N340"/>
  <c r="E340"/>
  <c r="K340"/>
  <c r="E10" i="13"/>
  <c r="I203"/>
  <c r="F74" i="18"/>
  <c r="G65" i="13"/>
  <c r="G64"/>
  <c r="G58"/>
  <c r="I212"/>
  <c r="I161"/>
  <c r="I174"/>
  <c r="C22" i="14" l="1"/>
  <c r="C21"/>
  <c r="C6"/>
  <c r="C5"/>
  <c r="I342" i="13"/>
  <c r="I341"/>
  <c r="I340"/>
  <c r="I339"/>
  <c r="I338"/>
  <c r="I337"/>
  <c r="I336"/>
  <c r="I335"/>
  <c r="I334"/>
  <c r="I331"/>
  <c r="I330"/>
  <c r="I329"/>
  <c r="I328"/>
  <c r="I327"/>
  <c r="I326"/>
  <c r="I325"/>
  <c r="I324"/>
  <c r="I321"/>
  <c r="I320"/>
  <c r="I319"/>
  <c r="I318"/>
  <c r="I317"/>
  <c r="I316"/>
  <c r="I315"/>
  <c r="I314"/>
  <c r="I313"/>
  <c r="I312"/>
  <c r="I309"/>
  <c r="I228"/>
  <c r="I274"/>
  <c r="I307"/>
  <c r="I308"/>
  <c r="I306"/>
  <c r="I305"/>
  <c r="I304"/>
  <c r="I303"/>
  <c r="I302"/>
  <c r="I301"/>
  <c r="I300"/>
  <c r="I299"/>
  <c r="I298"/>
  <c r="I284"/>
  <c r="I285"/>
  <c r="I286"/>
  <c r="I287"/>
  <c r="I293"/>
  <c r="I283"/>
  <c r="I276"/>
  <c r="I277"/>
  <c r="I278"/>
  <c r="I279"/>
  <c r="I280"/>
  <c r="I275"/>
  <c r="I272"/>
  <c r="I273"/>
  <c r="I271"/>
  <c r="I260"/>
  <c r="I261"/>
  <c r="I262"/>
  <c r="I263"/>
  <c r="I264"/>
  <c r="I265"/>
  <c r="I266"/>
  <c r="I267"/>
  <c r="I268"/>
  <c r="I259"/>
  <c r="I250"/>
  <c r="I251"/>
  <c r="I252"/>
  <c r="I253"/>
  <c r="I254"/>
  <c r="I255"/>
  <c r="I256"/>
  <c r="I249"/>
  <c r="I246"/>
  <c r="I245"/>
  <c r="I244"/>
  <c r="I243"/>
  <c r="I242"/>
  <c r="I241"/>
  <c r="I240"/>
  <c r="I239"/>
  <c r="I237"/>
  <c r="I230"/>
  <c r="I231"/>
  <c r="I232"/>
  <c r="I233"/>
  <c r="I234"/>
  <c r="I229"/>
  <c r="I227"/>
  <c r="I215"/>
  <c r="I218"/>
  <c r="I219"/>
  <c r="I220"/>
  <c r="I222"/>
  <c r="I224"/>
  <c r="I214"/>
  <c r="I185"/>
  <c r="I186"/>
  <c r="I187"/>
  <c r="I188"/>
  <c r="I189"/>
  <c r="I190"/>
  <c r="I191"/>
  <c r="I192"/>
  <c r="I184"/>
  <c r="I177"/>
  <c r="I178"/>
  <c r="I179"/>
  <c r="I180"/>
  <c r="I181"/>
  <c r="I176"/>
  <c r="I149"/>
  <c r="I150"/>
  <c r="I151"/>
  <c r="I152"/>
  <c r="I153"/>
  <c r="I148"/>
  <c r="I132"/>
  <c r="I133"/>
  <c r="I134"/>
  <c r="I135"/>
  <c r="I136"/>
  <c r="I144"/>
  <c r="I145"/>
  <c r="I131"/>
  <c r="I123"/>
  <c r="I124"/>
  <c r="I125"/>
  <c r="I126"/>
  <c r="I127"/>
  <c r="I128"/>
  <c r="I122"/>
  <c r="D103"/>
  <c r="D102"/>
  <c r="D98"/>
  <c r="F6" i="14"/>
  <c r="F22"/>
  <c r="F21"/>
  <c r="J310" i="13"/>
  <c r="F14" i="14" s="1"/>
  <c r="J322" i="13"/>
  <c r="J257"/>
  <c r="F10" i="14" s="1"/>
  <c r="J129" i="13"/>
  <c r="I6" i="14"/>
  <c r="I5"/>
  <c r="I4"/>
  <c r="I3"/>
  <c r="J225" i="13"/>
  <c r="J269"/>
  <c r="J332"/>
  <c r="F16" i="14" s="1"/>
  <c r="J247" i="13"/>
  <c r="J235"/>
  <c r="F8" i="14" s="1"/>
  <c r="J154" i="13"/>
  <c r="J182"/>
  <c r="J146"/>
  <c r="J281"/>
  <c r="F12" i="14" s="1"/>
  <c r="J193" i="13"/>
  <c r="F4" i="14" s="1"/>
  <c r="I154" i="13" l="1"/>
  <c r="C20" i="14" s="1"/>
  <c r="I146" i="13"/>
  <c r="C19" i="14" s="1"/>
  <c r="D19" s="1"/>
  <c r="I296" i="13"/>
  <c r="C13" i="14" s="1"/>
  <c r="I129" i="13"/>
  <c r="C18" i="14" s="1"/>
  <c r="I346" i="13"/>
  <c r="C17" i="14" s="1"/>
  <c r="D17" s="1"/>
  <c r="I225" i="13"/>
  <c r="C7" i="14" s="1"/>
  <c r="D7" s="1"/>
  <c r="I247" i="13"/>
  <c r="C9" i="14" s="1"/>
  <c r="D9" s="1"/>
  <c r="I332" i="13"/>
  <c r="C16" i="14" s="1"/>
  <c r="D16" s="1"/>
  <c r="I322" i="13"/>
  <c r="C15" i="14" s="1"/>
  <c r="D15" s="1"/>
  <c r="I310" i="13"/>
  <c r="C14" i="14" s="1"/>
  <c r="I281" i="13"/>
  <c r="C12" i="14" s="1"/>
  <c r="D12" s="1"/>
  <c r="I269" i="13"/>
  <c r="C11" i="14" s="1"/>
  <c r="D11" s="1"/>
  <c r="I257" i="13"/>
  <c r="C10" i="14" s="1"/>
  <c r="D10" s="1"/>
  <c r="I235" i="13"/>
  <c r="C8" i="14" s="1"/>
  <c r="I193" i="13"/>
  <c r="C4" i="14" s="1"/>
  <c r="D4" s="1"/>
  <c r="I182" i="13"/>
  <c r="C3" i="14" s="1"/>
  <c r="D20"/>
  <c r="D5"/>
  <c r="D22"/>
  <c r="D6"/>
  <c r="F3"/>
  <c r="F5"/>
  <c r="F7"/>
  <c r="F9"/>
  <c r="F11"/>
  <c r="F13"/>
  <c r="F15"/>
  <c r="F17"/>
  <c r="F20"/>
  <c r="D21"/>
  <c r="F19"/>
  <c r="F18"/>
  <c r="B24" l="1"/>
  <c r="D13"/>
  <c r="E13"/>
  <c r="J5"/>
  <c r="K5" s="1"/>
  <c r="D3"/>
  <c r="E3"/>
  <c r="J3"/>
  <c r="K3" s="1"/>
  <c r="D8"/>
  <c r="E8"/>
  <c r="J4"/>
  <c r="K4" s="1"/>
  <c r="E18"/>
  <c r="J6"/>
  <c r="K6" s="1"/>
  <c r="D18"/>
  <c r="D14"/>
</calcChain>
</file>

<file path=xl/comments1.xml><?xml version="1.0" encoding="utf-8"?>
<comments xmlns="http://schemas.openxmlformats.org/spreadsheetml/2006/main">
  <authors>
    <author>Ken Sanderson</author>
  </authors>
  <commentList>
    <comment ref="B4" authorId="0">
      <text>
        <r>
          <rPr>
            <b/>
            <sz val="9"/>
            <color indexed="81"/>
            <rFont val="Tahoma"/>
            <family val="2"/>
          </rPr>
          <t>Ken Sanderson:</t>
        </r>
        <r>
          <rPr>
            <sz val="9"/>
            <color indexed="81"/>
            <rFont val="Tahoma"/>
            <family val="2"/>
          </rPr>
          <t xml:space="preserve">
MMF = Manitoba Metis Federation</t>
        </r>
      </text>
    </comment>
    <comment ref="C4" authorId="0">
      <text>
        <r>
          <rPr>
            <b/>
            <sz val="9"/>
            <color indexed="81"/>
            <rFont val="Tahoma"/>
            <family val="2"/>
          </rPr>
          <t>Ken Sanderson:</t>
        </r>
        <r>
          <rPr>
            <sz val="9"/>
            <color indexed="81"/>
            <rFont val="Tahoma"/>
            <family val="2"/>
          </rPr>
          <t xml:space="preserve">
RHA = Regional Health Authorities</t>
        </r>
      </text>
    </comment>
    <comment ref="D4" authorId="0">
      <text>
        <r>
          <rPr>
            <b/>
            <sz val="9"/>
            <color indexed="81"/>
            <rFont val="Tahoma"/>
            <family val="2"/>
          </rPr>
          <t>Ken Sanderson:</t>
        </r>
        <r>
          <rPr>
            <sz val="9"/>
            <color indexed="81"/>
            <rFont val="Tahoma"/>
            <family val="2"/>
          </rPr>
          <t xml:space="preserve">
RDC = Regional Development Corporations</t>
        </r>
      </text>
    </comment>
    <comment ref="E4" authorId="0">
      <text>
        <r>
          <rPr>
            <b/>
            <sz val="9"/>
            <color indexed="81"/>
            <rFont val="Tahoma"/>
            <family val="2"/>
          </rPr>
          <t>Ken Sanderson:</t>
        </r>
        <r>
          <rPr>
            <sz val="9"/>
            <color indexed="81"/>
            <rFont val="Tahoma"/>
            <family val="2"/>
          </rPr>
          <t xml:space="preserve">
CFDC = Community Futures Development Corporations</t>
        </r>
      </text>
    </comment>
    <comment ref="A6" authorId="0">
      <text>
        <r>
          <rPr>
            <b/>
            <sz val="9"/>
            <color indexed="81"/>
            <rFont val="Tahoma"/>
            <family val="2"/>
          </rPr>
          <t>Ken Sanderson:</t>
        </r>
        <r>
          <rPr>
            <sz val="9"/>
            <color indexed="81"/>
            <rFont val="Tahoma"/>
            <family val="2"/>
          </rPr>
          <t xml:space="preserve">
Community Council, Municipal, First Nations</t>
        </r>
      </text>
    </comment>
    <comment ref="A14" authorId="0">
      <text>
        <r>
          <rPr>
            <b/>
            <sz val="9"/>
            <color indexed="81"/>
            <rFont val="Tahoma"/>
            <family val="2"/>
          </rPr>
          <t>Ken Sanderson:</t>
        </r>
        <r>
          <rPr>
            <sz val="9"/>
            <color indexed="81"/>
            <rFont val="Tahoma"/>
            <family val="2"/>
          </rPr>
          <t xml:space="preserve">
Community Well-Being Index published by INAC</t>
        </r>
      </text>
    </comment>
    <comment ref="A145" authorId="0">
      <text>
        <r>
          <rPr>
            <b/>
            <sz val="9"/>
            <color indexed="81"/>
            <rFont val="Tahoma"/>
            <family val="2"/>
          </rPr>
          <t>Ken Sanderson:</t>
        </r>
        <r>
          <rPr>
            <sz val="9"/>
            <color indexed="81"/>
            <rFont val="Tahoma"/>
            <family val="2"/>
          </rPr>
          <t xml:space="preserve">
Economic activity includes activities that are not counted by mainstream economics. These include, child development, unpaid household work and child rearing, barter exchange, subsistence economy, volunteer activity, etc.</t>
        </r>
      </text>
    </comment>
  </commentList>
</comments>
</file>

<file path=xl/sharedStrings.xml><?xml version="1.0" encoding="utf-8"?>
<sst xmlns="http://schemas.openxmlformats.org/spreadsheetml/2006/main" count="6241" uniqueCount="972">
  <si>
    <t>Planning</t>
  </si>
  <si>
    <t>Vision</t>
  </si>
  <si>
    <t>Economic Development Plan</t>
  </si>
  <si>
    <t>Comprehensive Land Use Plan</t>
  </si>
  <si>
    <t>Local Government</t>
  </si>
  <si>
    <t>Chambers of Commerce/ Business Associations</t>
  </si>
  <si>
    <t>Economic Assets</t>
  </si>
  <si>
    <t>Industrial Site</t>
  </si>
  <si>
    <t>Business Attraction and Retention Program</t>
  </si>
  <si>
    <t>Leadership Development</t>
  </si>
  <si>
    <t>CEDO</t>
  </si>
  <si>
    <t>Downtown Organization</t>
  </si>
  <si>
    <t>Growth Capacity</t>
  </si>
  <si>
    <t>Economic Champions</t>
  </si>
  <si>
    <t>Leadership and Support</t>
  </si>
  <si>
    <t>CED Index</t>
  </si>
  <si>
    <t>Max</t>
  </si>
  <si>
    <t>%</t>
  </si>
  <si>
    <t>Type of Government</t>
  </si>
  <si>
    <t>1. Population</t>
  </si>
  <si>
    <t>Community</t>
  </si>
  <si>
    <t>No</t>
  </si>
  <si>
    <t>a. Parks</t>
  </si>
  <si>
    <t>Full-time</t>
  </si>
  <si>
    <t>Part-time</t>
  </si>
  <si>
    <t>Volunteer</t>
  </si>
  <si>
    <t>Name of Employer</t>
  </si>
  <si>
    <t>Number of Employees</t>
  </si>
  <si>
    <t>Change (1996-2006)</t>
  </si>
  <si>
    <t>Part A: Community Profile</t>
  </si>
  <si>
    <t>Yes</t>
  </si>
  <si>
    <t>Don't Know</t>
  </si>
  <si>
    <t xml:space="preserve">a. Do members represent the diversity in the community (age, gender, race, length of residency)? </t>
  </si>
  <si>
    <t xml:space="preserve">b. Do local employers encourage their employees to participate in the program? </t>
  </si>
  <si>
    <t xml:space="preserve">c. Does the community have a formal leadership-mentoring program? </t>
  </si>
  <si>
    <t xml:space="preserve">d. Does local government support this program? </t>
  </si>
  <si>
    <t xml:space="preserve">e. Does the local business community support this program? </t>
  </si>
  <si>
    <t xml:space="preserve">g. Are new members recruited from underrepresented groups? </t>
  </si>
  <si>
    <t xml:space="preserve">b. Does the mission of the organization include more than economic development goals, such a quality of life goals related to recreation, housing, etc.? </t>
  </si>
  <si>
    <t xml:space="preserve">c. Does the organization have a paid director? </t>
  </si>
  <si>
    <t xml:space="preserve">d. Are promotional brochures about the organization updated and revised on a regular basis? </t>
  </si>
  <si>
    <t xml:space="preserve">e. Is the membership of the economic development organization diverse (include individuals from outside the business community, and diverse by gender, race, age, length of residency)? </t>
  </si>
  <si>
    <t xml:space="preserve">f. Are community members encouraged to participate in the organization? </t>
  </si>
  <si>
    <t xml:space="preserve">g. Are meeting agenda available through various media? </t>
  </si>
  <si>
    <t xml:space="preserve">h. Does the economic development organization work with local schools in mentoring, shadowing or other programs? </t>
  </si>
  <si>
    <t xml:space="preserve">d. Does the local government contribute to the local economic development organization annual budget? </t>
  </si>
  <si>
    <t xml:space="preserve">b. Are ordinances outlined in plan actively enforced by appropriate public agencies and officials? </t>
  </si>
  <si>
    <t xml:space="preserve">c. Are there provisions in the plan for expanding commercial and industrial sites? </t>
  </si>
  <si>
    <t xml:space="preserve">a. Is there a paid executive, at least on a part-time basis? </t>
  </si>
  <si>
    <t xml:space="preserve">b. Is there a cooperative advertising program for merchants? </t>
  </si>
  <si>
    <t xml:space="preserve">c. Has the organization completed a retail trade area analysis within the past three years? </t>
  </si>
  <si>
    <t xml:space="preserve">a. Does the community own or have an option on any sites of 15 acres or more? </t>
  </si>
  <si>
    <t xml:space="preserve">b. Are there adequate water and sewer lines to the industrial site? </t>
  </si>
  <si>
    <t xml:space="preserve">c. Does the site have access to high speed Internet? </t>
  </si>
  <si>
    <t xml:space="preserve">d. Is the industrial site accessible to major roads? </t>
  </si>
  <si>
    <t xml:space="preserve">f. Are copies of site covenants and restrictions readily available? </t>
  </si>
  <si>
    <t xml:space="preserve">g. Have site-compatible industries been identified? </t>
  </si>
  <si>
    <t xml:space="preserve">a. Has the community completed a business retention and expansion study in the past three years? </t>
  </si>
  <si>
    <t xml:space="preserve">b. Is there a business retention plan in place that is not more than three years old? </t>
  </si>
  <si>
    <t xml:space="preserve">c. Do members of the Chamber of Commerce, business development organization, or industrial group make regular visits to business owners and managers? </t>
  </si>
  <si>
    <t xml:space="preserve">d. Does the community have an annual industrial and commercial recognition event? </t>
  </si>
  <si>
    <t xml:space="preserve">f. Is there a business incubator in the community? </t>
  </si>
  <si>
    <t xml:space="preserve">i. Is there a school-based entrepreneurship training program in the local high school? </t>
  </si>
  <si>
    <t xml:space="preserve">a. Does the community have access to an environmentally sound waste disposal site for at least five years? </t>
  </si>
  <si>
    <t>Transfer Payments</t>
  </si>
  <si>
    <t>Region</t>
  </si>
  <si>
    <t>2. Local Government Revenue</t>
  </si>
  <si>
    <t>b. How many hospitals?</t>
  </si>
  <si>
    <t>c. How many hospital beds?</t>
  </si>
  <si>
    <t>d. How many clinics?</t>
  </si>
  <si>
    <t>a. Ambulance service?</t>
  </si>
  <si>
    <t>&gt; if 0, how far to nearest hospital?</t>
  </si>
  <si>
    <t>4. Law enforcement</t>
  </si>
  <si>
    <t>b. Are there community constables?</t>
  </si>
  <si>
    <t>c. How many RCMP officers are:</t>
  </si>
  <si>
    <t>d. How many community constables are:</t>
  </si>
  <si>
    <t>e. How many fire-fighter personnel are:</t>
  </si>
  <si>
    <t>5. Number of recreation facilities:</t>
  </si>
  <si>
    <t>b. Trails</t>
  </si>
  <si>
    <t>d. Campgrounds</t>
  </si>
  <si>
    <t>e. Fishing spots</t>
  </si>
  <si>
    <t>f. Playgrounds</t>
  </si>
  <si>
    <t>g. Baseball diamonds</t>
  </si>
  <si>
    <t>i. Lakefront or beaches</t>
  </si>
  <si>
    <t>j. Swimming Pools</t>
  </si>
  <si>
    <t>h. Tennis Courts</t>
  </si>
  <si>
    <t>c. Golf Courses</t>
  </si>
  <si>
    <t>k. Arenas</t>
  </si>
  <si>
    <t>l. Community Centres</t>
  </si>
  <si>
    <t>6. Is there a public library or school library in your community?</t>
  </si>
  <si>
    <t>Community Support</t>
  </si>
  <si>
    <t>Community Marketing Program</t>
  </si>
  <si>
    <t>Transportation Infrastructure</t>
  </si>
  <si>
    <t>Financial Infrastructure</t>
  </si>
  <si>
    <t>ICT Infrastructure</t>
  </si>
  <si>
    <t>Industrial Development Plan</t>
  </si>
  <si>
    <t>Education and Training Plan</t>
  </si>
  <si>
    <t xml:space="preserve">3. Does your community have a comprehensive land use plan, including a zoning ordinance? </t>
  </si>
  <si>
    <t>4. Does your community have an industrial development plan?</t>
  </si>
  <si>
    <t>5. Does your community have an education &amp; training plan?</t>
  </si>
  <si>
    <t xml:space="preserve">15. Does your community have an economic development organization? </t>
  </si>
  <si>
    <t xml:space="preserve">19. Does the community have an industrial site with vacancies? </t>
  </si>
  <si>
    <t xml:space="preserve">2. Does your community have a community economic development plan? </t>
  </si>
  <si>
    <t xml:space="preserve">a. Has the land use plan been written or formally reviewed by a stakeholder/community member committee in the past 3 years? </t>
  </si>
  <si>
    <t xml:space="preserve">e. Does the land use plan identify areas where development would be inappropriate? </t>
  </si>
  <si>
    <t>d. Are there mechanisms in place to allow for public input to planned developments?</t>
  </si>
  <si>
    <t xml:space="preserve">6. Does local government support community economic development? </t>
  </si>
  <si>
    <t xml:space="preserve">a. Does the local government secure Federal or Provincial funding to support CED projects? </t>
  </si>
  <si>
    <t xml:space="preserve">7. Does your community have a leadership development program? </t>
  </si>
  <si>
    <t xml:space="preserve">f. Do members of the program have access to professional development or training programs each year? </t>
  </si>
  <si>
    <t xml:space="preserve">11. Is there a Chamber of Commerce or business organization in the community? </t>
  </si>
  <si>
    <t xml:space="preserve">d. Have the findings of the trade area analysis been shared with the community or to business prospects? </t>
  </si>
  <si>
    <t xml:space="preserve">f. Has the organization sponsored courses, seminars, or workshops for business owners in the past year? </t>
  </si>
  <si>
    <t xml:space="preserve">g. Does the organization provide a regular business forum to address local business issues? </t>
  </si>
  <si>
    <t xml:space="preserve">c. Does the promotional material describe public services (e.g., Hospitals, schools, etc.) in the community? </t>
  </si>
  <si>
    <t xml:space="preserve">d. Does the promotional material describe local housing stock?  </t>
  </si>
  <si>
    <t xml:space="preserve">e. Does the promotional material identify major employers? </t>
  </si>
  <si>
    <t xml:space="preserve">f. Does the promotional material describe recreational opportunities available in the area? </t>
  </si>
  <si>
    <t xml:space="preserve">g. Has the promotional material been updated within the past 3 years? </t>
  </si>
  <si>
    <t>a. Is there at least one paid staff leading this program?</t>
  </si>
  <si>
    <t xml:space="preserve">g. Is there advisory support for Co-operatives or social enterprises? </t>
  </si>
  <si>
    <t xml:space="preserve">h. Is there an active promotion campaign within the community to support locally owned businesses/enterprises? </t>
  </si>
  <si>
    <t xml:space="preserve">a. Is the organization in partnership with or working with other local and regional organizations? </t>
  </si>
  <si>
    <t>b. Is there a residential waste pick-up service in your community?</t>
  </si>
  <si>
    <t>d. Is there an industrial waste pick-up service in your community?</t>
  </si>
  <si>
    <t>a. Does the community have a banking branch?</t>
  </si>
  <si>
    <t>b. Are there ATMs in the community?</t>
  </si>
  <si>
    <t>c. Is telephone banking available to the community?</t>
  </si>
  <si>
    <t>d. Is Internet banking available to the community?</t>
  </si>
  <si>
    <t>e. Is mobile banking available to the community?</t>
  </si>
  <si>
    <t>f. Are there debit machines in the community?</t>
  </si>
  <si>
    <t>g. Are there any loan providers in the community?</t>
  </si>
  <si>
    <t>h. Are there any investment services in the community?</t>
  </si>
  <si>
    <t>i. Are there any financial planning or debt counselling services?</t>
  </si>
  <si>
    <t xml:space="preserve">e. Is there a fixed sale/lease price for the property? </t>
  </si>
  <si>
    <t>7. Is there a Chamber of Commerce or business organization working with retail or other commercial business in your community?</t>
  </si>
  <si>
    <t xml:space="preserve">8. Identify the ten largest employers in your community:
</t>
  </si>
  <si>
    <t>a. Does your community have paved roads?</t>
  </si>
  <si>
    <t>b. Is there public transit bus service in your community?</t>
  </si>
  <si>
    <t>c. Is there a taxi service in your community?</t>
  </si>
  <si>
    <t>d. Are there shuttle services in the hotels or airports in your community?</t>
  </si>
  <si>
    <t>e. Are there charter buses or plane services in your community?</t>
  </si>
  <si>
    <t>f. Is there a commercial air service in your community?</t>
  </si>
  <si>
    <t>g. Are there any adjoining navigable rivers?</t>
  </si>
  <si>
    <t>h. Is there a ferry service in/near your community?</t>
  </si>
  <si>
    <t>j. Is there an active rail service to your community?</t>
  </si>
  <si>
    <t xml:space="preserve">20. Is there substantial telecommunications infrastructure in your community? </t>
  </si>
  <si>
    <t xml:space="preserve">a. Is there a local radio station/program? </t>
  </si>
  <si>
    <t>b. Is there widespread telephone service in the community?</t>
  </si>
  <si>
    <t>c. Do workplaces in the community have access to fax machines?</t>
  </si>
  <si>
    <t>d. Is there cell phone service in the community?</t>
  </si>
  <si>
    <t>f. Is there a local TV station/program?</t>
  </si>
  <si>
    <t>h. Are most workplaces adequately equipped with computers and printers?</t>
  </si>
  <si>
    <t>First Nation</t>
  </si>
  <si>
    <t>Community Council</t>
  </si>
  <si>
    <t>Municipality</t>
  </si>
  <si>
    <t>Lists for Data input</t>
  </si>
  <si>
    <t>Yes/No</t>
  </si>
  <si>
    <t>Yes, full time</t>
  </si>
  <si>
    <t>Yes, part time</t>
  </si>
  <si>
    <t>i. What type of road access is present leading into and from your community?</t>
  </si>
  <si>
    <t>Year-round Road</t>
  </si>
  <si>
    <t>Winter Roads</t>
  </si>
  <si>
    <t>No Roads</t>
  </si>
  <si>
    <t>Score</t>
  </si>
  <si>
    <t>a. Does the plan reference labour force needs and community career opportunities?</t>
  </si>
  <si>
    <t>b. Does the plan include high school university preparation?</t>
  </si>
  <si>
    <t>c. Does the plan include high school technical preparation (college and/or apprenticeship)?</t>
  </si>
  <si>
    <t>d. Does the plan include high school entrepreneurship preparation?</t>
  </si>
  <si>
    <t>e. Does the plan include adult education and academic upgrading?</t>
  </si>
  <si>
    <t>f. Does the plan include local access to post-secondary programs?</t>
  </si>
  <si>
    <t>g. Does the plan include essential skills and PLAR?</t>
  </si>
  <si>
    <t>h. Does the plan include professional development opportunities?</t>
  </si>
  <si>
    <t>j. Does the plan include a career counselling and awareness component?</t>
  </si>
  <si>
    <t>a. Do a lot of community members attend the Annual Meetings of the organizations in the community?</t>
  </si>
  <si>
    <t>b. Is there good attendance by community members in community gatherings/forums/events?</t>
  </si>
  <si>
    <t>c. Is there an active culture of volunteerism in the community?</t>
  </si>
  <si>
    <t>d. Does participation in the various annual meetings and events of the community reflect the diversity of community members?</t>
  </si>
  <si>
    <t>e. Is there a sense of loyalty to support local businesses?</t>
  </si>
  <si>
    <t>f. Is economic development a priority for community members?</t>
  </si>
  <si>
    <t>b. Has the plan identified types of businesses that fit the needs of the community?</t>
  </si>
  <si>
    <t>c. Has the community at large been consulted on the plan and proposed industrial sites?</t>
  </si>
  <si>
    <t>d. Does the plan include environmental sustainability and protection?</t>
  </si>
  <si>
    <t>Total Government Revenue</t>
  </si>
  <si>
    <r>
      <t xml:space="preserve">13. </t>
    </r>
    <r>
      <rPr>
        <b/>
        <sz val="12"/>
        <color theme="1"/>
        <rFont val="Calibri"/>
        <family val="2"/>
        <scheme val="minor"/>
      </rPr>
      <t xml:space="preserve">Does </t>
    </r>
    <r>
      <rPr>
        <b/>
        <sz val="11"/>
        <color theme="1"/>
        <rFont val="Calibri"/>
        <family val="2"/>
        <scheme val="minor"/>
      </rPr>
      <t>the community have a community marketing program?</t>
    </r>
  </si>
  <si>
    <r>
      <t xml:space="preserve">17. </t>
    </r>
    <r>
      <rPr>
        <b/>
        <sz val="12"/>
        <color theme="1"/>
        <rFont val="Calibri"/>
        <family val="2"/>
        <scheme val="minor"/>
      </rPr>
      <t>Does the community have extensive transportation infrastructure in place</t>
    </r>
    <r>
      <rPr>
        <b/>
        <sz val="11"/>
        <color theme="1"/>
        <rFont val="Calibri"/>
        <family val="2"/>
        <scheme val="minor"/>
      </rPr>
      <t>?</t>
    </r>
  </si>
  <si>
    <r>
      <t xml:space="preserve">18. </t>
    </r>
    <r>
      <rPr>
        <b/>
        <sz val="12"/>
        <color theme="1"/>
        <rFont val="Calibri"/>
        <family val="2"/>
        <scheme val="minor"/>
      </rPr>
      <t>Does the community have extensive financial infrastructure in place</t>
    </r>
    <r>
      <rPr>
        <b/>
        <sz val="11"/>
        <color theme="1"/>
        <rFont val="Calibri"/>
        <family val="2"/>
        <scheme val="minor"/>
      </rPr>
      <t>?</t>
    </r>
  </si>
  <si>
    <t>a. Is there a local RCMP detachment?</t>
  </si>
  <si>
    <t>Total</t>
  </si>
  <si>
    <t>RHA Region</t>
  </si>
  <si>
    <t>RDC Region</t>
  </si>
  <si>
    <t>Treaty Area</t>
  </si>
  <si>
    <t>Aghaming</t>
  </si>
  <si>
    <t>Baden</t>
  </si>
  <si>
    <t>Barren Lands First Nation</t>
  </si>
  <si>
    <t>Barrows</t>
  </si>
  <si>
    <t>Berens River</t>
  </si>
  <si>
    <t>Berens River First Nation</t>
  </si>
  <si>
    <t>Birdtail Sioux First Nation</t>
  </si>
  <si>
    <t>Bissett</t>
  </si>
  <si>
    <t>Bloodvein First Nation</t>
  </si>
  <si>
    <t>Brokenhead Ojibway Nation</t>
  </si>
  <si>
    <t>Buffalo Point First Nation</t>
  </si>
  <si>
    <t>Bunibonibee Cree Nation</t>
  </si>
  <si>
    <t>Canupawakpa Dakota First Nation</t>
  </si>
  <si>
    <t>Chemawawin Cree Nation</t>
  </si>
  <si>
    <t>Crane River</t>
  </si>
  <si>
    <t>Cross Lake First Nation</t>
  </si>
  <si>
    <t>Dakota Plains First Nation</t>
  </si>
  <si>
    <t>Dakota Tipi First Nation</t>
  </si>
  <si>
    <t>Dallas</t>
  </si>
  <si>
    <t>Dauphin River</t>
  </si>
  <si>
    <t>Dauphin River First Nation</t>
  </si>
  <si>
    <t>Dawson Bay</t>
  </si>
  <si>
    <t>Ebb and Flow First Nation</t>
  </si>
  <si>
    <t>Fisher Bay</t>
  </si>
  <si>
    <t>Fisher River First Nation</t>
  </si>
  <si>
    <t>Fox Lake First Nation</t>
  </si>
  <si>
    <t xml:space="preserve">Gamblers First Nation </t>
  </si>
  <si>
    <t>Garden Hill First Nation</t>
  </si>
  <si>
    <t>Granville Lake</t>
  </si>
  <si>
    <t>Harwill</t>
  </si>
  <si>
    <t xml:space="preserve">Herb Lake Landing </t>
  </si>
  <si>
    <t>Hollow Water First Nation</t>
  </si>
  <si>
    <t>Homebrook</t>
  </si>
  <si>
    <t>Keeseekoowenin First Nation</t>
  </si>
  <si>
    <t>Kinonjeoshtegon First Nation</t>
  </si>
  <si>
    <t>Lake Manitoba First Nation</t>
  </si>
  <si>
    <t>Lake St. Martin First Nation</t>
  </si>
  <si>
    <t>Little Grand Rapids First Nation</t>
  </si>
  <si>
    <t>Little Saskatchewan First Nation</t>
  </si>
  <si>
    <t>Loon Straits</t>
  </si>
  <si>
    <t>Mallard</t>
  </si>
  <si>
    <t>Manigotagan</t>
  </si>
  <si>
    <t>Manto Sipi Cree Nation</t>
  </si>
  <si>
    <t>Marcel Colomb First Nation</t>
  </si>
  <si>
    <t>Matheson Island</t>
  </si>
  <si>
    <t>Mathias Colomb First Nation</t>
  </si>
  <si>
    <t>Meadow Portage</t>
  </si>
  <si>
    <t xml:space="preserve">Mosakahiken Cree Nation </t>
  </si>
  <si>
    <t>National Mills</t>
  </si>
  <si>
    <t>Nisichawayasihk Cree Nation</t>
  </si>
  <si>
    <t>Northlands First Nation</t>
  </si>
  <si>
    <t>Norway House Cree Nation</t>
  </si>
  <si>
    <t>O-Chi-Chak-Ko-Sipi First Nation</t>
  </si>
  <si>
    <t>Opaskwayak Cree Nation</t>
  </si>
  <si>
    <t>Pauingassi First Nation</t>
  </si>
  <si>
    <t>Peguis First Nation</t>
  </si>
  <si>
    <t>Pelican Rapids</t>
  </si>
  <si>
    <t>Pinaymootang First Nation</t>
  </si>
  <si>
    <t>Pine Creek First Nation</t>
  </si>
  <si>
    <t>Pine Dock</t>
  </si>
  <si>
    <t>Poplar River First Nation</t>
  </si>
  <si>
    <t>Powell</t>
  </si>
  <si>
    <t>Princess Harbour</t>
  </si>
  <si>
    <t>Red Deer Lake</t>
  </si>
  <si>
    <t>Red Rose</t>
  </si>
  <si>
    <t>Red Sucker Lake First Nation</t>
  </si>
  <si>
    <t>Rock Ridge</t>
  </si>
  <si>
    <t>Rolling River First Nation</t>
  </si>
  <si>
    <t>Roseau River Anishinabe First Nation</t>
  </si>
  <si>
    <t>St. Theresa Point First Nation</t>
  </si>
  <si>
    <t>Sagkeeng First Nation</t>
  </si>
  <si>
    <t>Salt Point</t>
  </si>
  <si>
    <t>Sandy Bay First Nation</t>
  </si>
  <si>
    <t>Sapotaweyak Cree Nation</t>
  </si>
  <si>
    <t>Sayisi Dene First Nation</t>
  </si>
  <si>
    <t>Seymourville</t>
  </si>
  <si>
    <t>Shamattawa First Nation</t>
  </si>
  <si>
    <t>Sioux Valley Dakota Nation</t>
  </si>
  <si>
    <t>Skownan First Nation</t>
  </si>
  <si>
    <t>Spence Lake</t>
  </si>
  <si>
    <t>Swan Lake First Nation</t>
  </si>
  <si>
    <t>Tataskweyak Cree Nation</t>
  </si>
  <si>
    <t>Thicket Portage</t>
  </si>
  <si>
    <t>Tootinaowaziibeeng First Nation</t>
  </si>
  <si>
    <t>War Lake First Nation</t>
  </si>
  <si>
    <t>Wasagamack First Nation</t>
  </si>
  <si>
    <t>Waterhen</t>
  </si>
  <si>
    <t>Waywayseecappo First Nation</t>
  </si>
  <si>
    <t>Albert</t>
  </si>
  <si>
    <t>Alexander</t>
  </si>
  <si>
    <t>Alonsa</t>
  </si>
  <si>
    <t>Altona</t>
  </si>
  <si>
    <t>Angusville</t>
  </si>
  <si>
    <t>Anola</t>
  </si>
  <si>
    <t>Arborg</t>
  </si>
  <si>
    <t>Argyle</t>
  </si>
  <si>
    <t>Ashern</t>
  </si>
  <si>
    <t>Ashville</t>
  </si>
  <si>
    <t xml:space="preserve">Austin </t>
  </si>
  <si>
    <t>Badger</t>
  </si>
  <si>
    <t>Bakers Narrows</t>
  </si>
  <si>
    <t>Baldur</t>
  </si>
  <si>
    <t>Beausejour</t>
  </si>
  <si>
    <t>Benito</t>
  </si>
  <si>
    <t>Binscarth</t>
  </si>
  <si>
    <t>Birch River</t>
  </si>
  <si>
    <t>Birds Hill</t>
  </si>
  <si>
    <t>Birtle</t>
  </si>
  <si>
    <t>Blumenort</t>
  </si>
  <si>
    <t>Boissevain</t>
  </si>
  <si>
    <t>Bowsman</t>
  </si>
  <si>
    <t>Brandon</t>
  </si>
  <si>
    <t>Brochet</t>
  </si>
  <si>
    <t>Bruxelles</t>
  </si>
  <si>
    <t>Caliento</t>
  </si>
  <si>
    <t>Camperville</t>
  </si>
  <si>
    <t>Carberry</t>
  </si>
  <si>
    <t>Carman</t>
  </si>
  <si>
    <t>Cartwright</t>
  </si>
  <si>
    <t>Chater</t>
  </si>
  <si>
    <t>Churchill</t>
  </si>
  <si>
    <t>Clearwater</t>
  </si>
  <si>
    <t>Cottonwoods</t>
  </si>
  <si>
    <t>Cormorant</t>
  </si>
  <si>
    <t>Cranberry Portage</t>
  </si>
  <si>
    <t>Cross Lake</t>
  </si>
  <si>
    <t>Crystal City</t>
  </si>
  <si>
    <t xml:space="preserve">Cypress River </t>
  </si>
  <si>
    <t>Dauphin</t>
  </si>
  <si>
    <t>Deloraine</t>
  </si>
  <si>
    <t>Douglas</t>
  </si>
  <si>
    <t>Dominion City</t>
  </si>
  <si>
    <t>Duck Bay</t>
  </si>
  <si>
    <t xml:space="preserve">Dugald </t>
  </si>
  <si>
    <t>East Selkirk</t>
  </si>
  <si>
    <t>Easterville</t>
  </si>
  <si>
    <t>Elie</t>
  </si>
  <si>
    <t>Elgin</t>
  </si>
  <si>
    <t>Elkhorn</t>
  </si>
  <si>
    <t>Elm Creek</t>
  </si>
  <si>
    <t>Elma</t>
  </si>
  <si>
    <t>Elphinstone</t>
  </si>
  <si>
    <t>Emerson</t>
  </si>
  <si>
    <t>Erickson</t>
  </si>
  <si>
    <t>Falcon Lake</t>
  </si>
  <si>
    <t>Fisher Branch</t>
  </si>
  <si>
    <t>Flin Flon</t>
  </si>
  <si>
    <t>Forrest</t>
  </si>
  <si>
    <t>Fort Alexander</t>
  </si>
  <si>
    <t>Foxwarren</t>
  </si>
  <si>
    <t>Fraserwood</t>
  </si>
  <si>
    <t>Fridensfeld</t>
  </si>
  <si>
    <t>Friedensruh</t>
  </si>
  <si>
    <t>Gardenton</t>
  </si>
  <si>
    <t>Garson</t>
  </si>
  <si>
    <t>Gilbert Plains</t>
  </si>
  <si>
    <t>Gillam</t>
  </si>
  <si>
    <t>Gimli</t>
  </si>
  <si>
    <t>Gladstone</t>
  </si>
  <si>
    <t>Glenboro</t>
  </si>
  <si>
    <t>Gods Lake Narrows</t>
  </si>
  <si>
    <t>Gods River</t>
  </si>
  <si>
    <t>Grand Rapids</t>
  </si>
  <si>
    <t>Grandview</t>
  </si>
  <si>
    <t>Gretna</t>
  </si>
  <si>
    <t>Grunthal</t>
  </si>
  <si>
    <t xml:space="preserve">Gunton </t>
  </si>
  <si>
    <t>Hadashville</t>
  </si>
  <si>
    <t>Hamiota</t>
  </si>
  <si>
    <t>Hartney</t>
  </si>
  <si>
    <t>Hochfeld</t>
  </si>
  <si>
    <t>Holland</t>
  </si>
  <si>
    <t>Île-des-Chênes</t>
  </si>
  <si>
    <t>Ilford</t>
  </si>
  <si>
    <t xml:space="preserve">Island Lake </t>
  </si>
  <si>
    <t>Kemnay</t>
  </si>
  <si>
    <t>Kenton</t>
  </si>
  <si>
    <t>Killarney</t>
  </si>
  <si>
    <t xml:space="preserve">Kleefeld </t>
  </si>
  <si>
    <t>La Broquerie</t>
  </si>
  <si>
    <t>La Riviere</t>
  </si>
  <si>
    <t>Lac Brochet</t>
  </si>
  <si>
    <t>Lac du Bonnet</t>
  </si>
  <si>
    <t>Landmark</t>
  </si>
  <si>
    <t>Leaf Rapids</t>
  </si>
  <si>
    <t>Libau</t>
  </si>
  <si>
    <t>Little Grand Rapids</t>
  </si>
  <si>
    <t>Lockport</t>
  </si>
  <si>
    <t>Lorette</t>
  </si>
  <si>
    <t>Lundar</t>
  </si>
  <si>
    <t>Manitou</t>
  </si>
  <si>
    <t>Matlock</t>
  </si>
  <si>
    <t>McCreary</t>
  </si>
  <si>
    <t>Melita</t>
  </si>
  <si>
    <t>Miami</t>
  </si>
  <si>
    <t>Minitonas</t>
  </si>
  <si>
    <t>Minnedosa</t>
  </si>
  <si>
    <t>Moose Lake</t>
  </si>
  <si>
    <t>Morden</t>
  </si>
  <si>
    <t>Morris</t>
  </si>
  <si>
    <t>Narcisse</t>
  </si>
  <si>
    <t>Neelin</t>
  </si>
  <si>
    <t>Neepawa</t>
  </si>
  <si>
    <t>New Bothwell</t>
  </si>
  <si>
    <t>Nelson House</t>
  </si>
  <si>
    <t>Niverville</t>
  </si>
  <si>
    <t>Norway House</t>
  </si>
  <si>
    <t>Oakbank</t>
  </si>
  <si>
    <t>Oakburn</t>
  </si>
  <si>
    <t>Oak Lake</t>
  </si>
  <si>
    <t>Oakville</t>
  </si>
  <si>
    <t>Olha</t>
  </si>
  <si>
    <t>Onanole</t>
  </si>
  <si>
    <t xml:space="preserve">Oxford House </t>
  </si>
  <si>
    <t>Pierson</t>
  </si>
  <si>
    <t>Pikwitonei</t>
  </si>
  <si>
    <t>Pilot Mound</t>
  </si>
  <si>
    <t>Pinawa</t>
  </si>
  <si>
    <t>Pine Falls</t>
  </si>
  <si>
    <t>Piney</t>
  </si>
  <si>
    <t>Pipestone</t>
  </si>
  <si>
    <t>Plum Coulee</t>
  </si>
  <si>
    <t>Portage la Prairie</t>
  </si>
  <si>
    <t>Powerview</t>
  </si>
  <si>
    <t xml:space="preserve">Pukatawagan </t>
  </si>
  <si>
    <t>Rapid City</t>
  </si>
  <si>
    <t>Red Sucker Lake</t>
  </si>
  <si>
    <t>Reinfeld</t>
  </si>
  <si>
    <t>Reston</t>
  </si>
  <si>
    <t>Richer</t>
  </si>
  <si>
    <t>River Hills</t>
  </si>
  <si>
    <t>Rivers</t>
  </si>
  <si>
    <t>Riverton</t>
  </si>
  <si>
    <t>Roblin</t>
  </si>
  <si>
    <t>Rossburn</t>
  </si>
  <si>
    <t>St. Adolphe</t>
  </si>
  <si>
    <t>Ste. Anne</t>
  </si>
  <si>
    <t>St. Claude</t>
  </si>
  <si>
    <t>St. Georges</t>
  </si>
  <si>
    <t>St. Jean Baptiste</t>
  </si>
  <si>
    <t>St. Laurent</t>
  </si>
  <si>
    <t>St. Malo</t>
  </si>
  <si>
    <t>St. Pierre-Jolys</t>
  </si>
  <si>
    <t>Ste. Rose du Lac</t>
  </si>
  <si>
    <t>St. Theresa Point</t>
  </si>
  <si>
    <t>St. Lazare</t>
  </si>
  <si>
    <t>Sandy Bay</t>
  </si>
  <si>
    <t>Sandy Lake</t>
  </si>
  <si>
    <t>Sanford</t>
  </si>
  <si>
    <t>Selkirk</t>
  </si>
  <si>
    <t>Seven Sisters</t>
  </si>
  <si>
    <t>Shamattawa</t>
  </si>
  <si>
    <t>Sherridon</t>
  </si>
  <si>
    <t>Shilo</t>
  </si>
  <si>
    <t>Shoal Lake</t>
  </si>
  <si>
    <t>Silver</t>
  </si>
  <si>
    <t>Snow Lake</t>
  </si>
  <si>
    <t>Somerset</t>
  </si>
  <si>
    <t>Souris</t>
  </si>
  <si>
    <t>South Indian Lake</t>
  </si>
  <si>
    <t>South Junction</t>
  </si>
  <si>
    <t>Split Lake</t>
  </si>
  <si>
    <t>Sprague</t>
  </si>
  <si>
    <t>Sprucewoods</t>
  </si>
  <si>
    <t>Starbuck</t>
  </si>
  <si>
    <t>Steinbach</t>
  </si>
  <si>
    <t>Stonewall</t>
  </si>
  <si>
    <t>Stony Mountain</t>
  </si>
  <si>
    <t>Stuartburn</t>
  </si>
  <si>
    <t>Sundance</t>
  </si>
  <si>
    <t>Sundown</t>
  </si>
  <si>
    <t>Tadoule Lake</t>
  </si>
  <si>
    <t>Teulon</t>
  </si>
  <si>
    <t>The Pas</t>
  </si>
  <si>
    <t>Thompson</t>
  </si>
  <si>
    <t>Treesbank</t>
  </si>
  <si>
    <t>Treherne</t>
  </si>
  <si>
    <t>Tolstoi</t>
  </si>
  <si>
    <t xml:space="preserve">Tyndall </t>
  </si>
  <si>
    <t>Vassar</t>
  </si>
  <si>
    <t>Virden</t>
  </si>
  <si>
    <t>Wabowden</t>
  </si>
  <si>
    <t>Wanless</t>
  </si>
  <si>
    <t>Warren</t>
  </si>
  <si>
    <t>Waskada</t>
  </si>
  <si>
    <t>Wawanesa</t>
  </si>
  <si>
    <t>West St. Paul</t>
  </si>
  <si>
    <t>Whitemouth</t>
  </si>
  <si>
    <t>Winkler</t>
  </si>
  <si>
    <t>Winnipeg</t>
  </si>
  <si>
    <t>Winnipeg Beach</t>
  </si>
  <si>
    <t xml:space="preserve">York Landing </t>
  </si>
  <si>
    <t>Zhoda</t>
  </si>
  <si>
    <t>North Central</t>
  </si>
  <si>
    <t>Northern</t>
  </si>
  <si>
    <t>N/A</t>
  </si>
  <si>
    <t>Burntwood</t>
  </si>
  <si>
    <t>Okawamithikani</t>
  </si>
  <si>
    <t>O-Pipon-Na-Piwin</t>
  </si>
  <si>
    <t>Bird</t>
  </si>
  <si>
    <t>God's Lake Narrows First Nation</t>
  </si>
  <si>
    <t>NOR-MAN</t>
  </si>
  <si>
    <t>Misipawistik Cree Nation</t>
  </si>
  <si>
    <t>Kelsey</t>
  </si>
  <si>
    <t>Gypsumville</t>
  </si>
  <si>
    <t>Interlake</t>
  </si>
  <si>
    <t>St. Martin</t>
  </si>
  <si>
    <t>Fairford</t>
  </si>
  <si>
    <t>Eriksdale</t>
  </si>
  <si>
    <t>Mode of Transportation to nearest hospital?</t>
  </si>
  <si>
    <t>m. Shooting Ranges</t>
  </si>
  <si>
    <t>Years in Business</t>
  </si>
  <si>
    <t xml:space="preserve">1. Does your community have a widely shared understanding and community vision in the area of Community and Economic Development? </t>
  </si>
  <si>
    <t xml:space="preserve">c. Does local government understand the difference between Community Development and Community Economic Development? </t>
  </si>
  <si>
    <t xml:space="preserve">b. Is the community part of a Regional Economic Development Organization? </t>
  </si>
  <si>
    <t xml:space="preserve">a. Is there land available to support community growth? </t>
  </si>
  <si>
    <t>h. Is there available housing to support community population growth?</t>
  </si>
  <si>
    <t xml:space="preserve">e. Has a Capital Improvement Plan (CIP) been updated annually? </t>
  </si>
  <si>
    <t xml:space="preserve">f. Can the schools absorb 10% more students without new buildings or overcrowding? </t>
  </si>
  <si>
    <t>g. Can the daycare capacity absorb 10% more children?</t>
  </si>
  <si>
    <t>Number of businesses in the community</t>
  </si>
  <si>
    <t xml:space="preserve">b. Does the downtown organization have a regular calendar of promotion activity? </t>
  </si>
  <si>
    <t xml:space="preserve">c. Has the downtown organization completed a physical renovation plan within the past 10 years? </t>
  </si>
  <si>
    <t xml:space="preserve">d. Do merchants follow the plan when renovating? </t>
  </si>
  <si>
    <t xml:space="preserve">e. Does the community have a historic preservation ordinance? </t>
  </si>
  <si>
    <t xml:space="preserve">f. Does the community have a uniform billboard and street sign ordinance? </t>
  </si>
  <si>
    <t xml:space="preserve">g. Is parking adequate in the downtown? </t>
  </si>
  <si>
    <t xml:space="preserve">h. Does the downtown organization actively encourage new retail businesses to locate downtown? </t>
  </si>
  <si>
    <t xml:space="preserve">i. Do downtown merchants have coordinated and/or extended store hours? </t>
  </si>
  <si>
    <t>12. Is there an identifiable downtown area in the community?</t>
  </si>
  <si>
    <t xml:space="preserve">a. Does the community have an active organization working with downtown merchants? </t>
  </si>
  <si>
    <t xml:space="preserve">14. Does the community have a business retention, expansion and attraction program? </t>
  </si>
  <si>
    <t>i. Does your community hold an annual community clean up day?</t>
  </si>
  <si>
    <t xml:space="preserve">j. Are there fire hydrants in your community? </t>
  </si>
  <si>
    <t>l. Does your community have renewable energy sources (wind, solar, etc.)</t>
  </si>
  <si>
    <t>Basic Infrastructure</t>
  </si>
  <si>
    <t>a. Does the community council have a space designated for the permanent storage of historical administration files?</t>
  </si>
  <si>
    <t>b. Does your community council have established committees?</t>
  </si>
  <si>
    <t>c. Does your community council have access to legal advice?</t>
  </si>
  <si>
    <t>d. Does your community council have the equipment and tools required to carry out their responsibilities?</t>
  </si>
  <si>
    <t>e. Does your community council have access to statistics and data about the community?</t>
  </si>
  <si>
    <t>Operational Strength</t>
  </si>
  <si>
    <t>Grosse Isle</t>
  </si>
  <si>
    <t>Hecla</t>
  </si>
  <si>
    <t>Hodgson</t>
  </si>
  <si>
    <t>Moosehorn</t>
  </si>
  <si>
    <t>Mulvhill</t>
  </si>
  <si>
    <t>Steep Rock</t>
  </si>
  <si>
    <t>Treaty 10</t>
  </si>
  <si>
    <t>Treaty 5</t>
  </si>
  <si>
    <t>Treaty 2</t>
  </si>
  <si>
    <t>Treaty 6</t>
  </si>
  <si>
    <t>Black River First Nation</t>
  </si>
  <si>
    <t>Treaty 1</t>
  </si>
  <si>
    <t>Treaty 3</t>
  </si>
  <si>
    <t>Treaty 4</t>
  </si>
  <si>
    <t>Parkland</t>
  </si>
  <si>
    <t>Hillsburg</t>
  </si>
  <si>
    <t>Lawrence</t>
  </si>
  <si>
    <t>Wuskwi Sipihk First Nation</t>
  </si>
  <si>
    <t>Central</t>
  </si>
  <si>
    <t>Rosenort</t>
  </si>
  <si>
    <t>Swan Lake</t>
  </si>
  <si>
    <t>La Salle</t>
  </si>
  <si>
    <t>St. Leon</t>
  </si>
  <si>
    <t>North Eastman</t>
  </si>
  <si>
    <t>Assiniboine</t>
  </si>
  <si>
    <t>South Eastman</t>
  </si>
  <si>
    <t>Dencross</t>
  </si>
  <si>
    <t>Stead</t>
  </si>
  <si>
    <t>Kenville</t>
  </si>
  <si>
    <t>Central Plains Inc.</t>
  </si>
  <si>
    <t>CFDC Region</t>
  </si>
  <si>
    <t>Westman</t>
  </si>
  <si>
    <t>Kitayan</t>
  </si>
  <si>
    <t>Northwest</t>
  </si>
  <si>
    <t>Greenstone</t>
  </si>
  <si>
    <t>Cedar Lake</t>
  </si>
  <si>
    <t>Southeast</t>
  </si>
  <si>
    <t>Winnipeg River</t>
  </si>
  <si>
    <t>Southwest</t>
  </si>
  <si>
    <t>Eastman</t>
  </si>
  <si>
    <t>NorMan</t>
  </si>
  <si>
    <t>Pembina Valley</t>
  </si>
  <si>
    <t>Laurier</t>
  </si>
  <si>
    <t>Heartland</t>
  </si>
  <si>
    <t>East Interlake</t>
  </si>
  <si>
    <t>West Interlake</t>
  </si>
  <si>
    <t>North Red</t>
  </si>
  <si>
    <t>Triple R</t>
  </si>
  <si>
    <t>White Horse Plains</t>
  </si>
  <si>
    <t>Swampy Cree</t>
  </si>
  <si>
    <t>Independent</t>
  </si>
  <si>
    <t>Island Lake</t>
  </si>
  <si>
    <t>Keewatin</t>
  </si>
  <si>
    <t>Dakota Ojibway</t>
  </si>
  <si>
    <t>West Region</t>
  </si>
  <si>
    <t>South East Resource Development</t>
  </si>
  <si>
    <t>Interlake Reserve</t>
  </si>
  <si>
    <t>York Factory First Nation</t>
  </si>
  <si>
    <t>Not in list? Type here:</t>
  </si>
  <si>
    <t>Not in list</t>
  </si>
  <si>
    <t>Census subdivision (CSD) name</t>
  </si>
  <si>
    <t>2006 Income Score</t>
  </si>
  <si>
    <t>2006 Education Score</t>
  </si>
  <si>
    <t>2006 Housing Score</t>
  </si>
  <si>
    <t>2006 Labour Force Activity Score</t>
  </si>
  <si>
    <t>2006 CWB Score</t>
  </si>
  <si>
    <t>2006 2B Population</t>
  </si>
  <si>
    <t>Type of collectivity</t>
  </si>
  <si>
    <t>Other</t>
  </si>
  <si>
    <t>Reynolds</t>
  </si>
  <si>
    <t>Victoria Beach</t>
  </si>
  <si>
    <t>Division No.  1, Unorganized</t>
  </si>
  <si>
    <t>Franklin</t>
  </si>
  <si>
    <t>De Salaberry</t>
  </si>
  <si>
    <t>Hanover</t>
  </si>
  <si>
    <t>Taché</t>
  </si>
  <si>
    <t>Ritchot</t>
  </si>
  <si>
    <t>Montcalm</t>
  </si>
  <si>
    <t>Rhineland</t>
  </si>
  <si>
    <t>Stanley</t>
  </si>
  <si>
    <t>Roland</t>
  </si>
  <si>
    <t>Dufferin</t>
  </si>
  <si>
    <t>Pembina</t>
  </si>
  <si>
    <t>Louise</t>
  </si>
  <si>
    <t>Lorne</t>
  </si>
  <si>
    <t>Turtle Mountain</t>
  </si>
  <si>
    <t>Morton</t>
  </si>
  <si>
    <t>Winchester</t>
  </si>
  <si>
    <t>Brenda</t>
  </si>
  <si>
    <t>Arthur</t>
  </si>
  <si>
    <t>Edward</t>
  </si>
  <si>
    <t>Cameron</t>
  </si>
  <si>
    <t>Whitewater</t>
  </si>
  <si>
    <t>Riverside</t>
  </si>
  <si>
    <t>Strathcona</t>
  </si>
  <si>
    <t>Sifton</t>
  </si>
  <si>
    <t>Wallace</t>
  </si>
  <si>
    <t>Woodworth</t>
  </si>
  <si>
    <t>South Cypress</t>
  </si>
  <si>
    <t>Oakland</t>
  </si>
  <si>
    <t>Glenwood</t>
  </si>
  <si>
    <t>Whitehead</t>
  </si>
  <si>
    <t>Cornwallis</t>
  </si>
  <si>
    <t>North Cypress</t>
  </si>
  <si>
    <t>Elton</t>
  </si>
  <si>
    <t>Daly</t>
  </si>
  <si>
    <t>South Norfolk</t>
  </si>
  <si>
    <t>Notre Dame de Lourdes</t>
  </si>
  <si>
    <t>Victoria</t>
  </si>
  <si>
    <t>North Norfolk</t>
  </si>
  <si>
    <t>MacGregor</t>
  </si>
  <si>
    <t>Lansdowne</t>
  </si>
  <si>
    <t>Westbourne</t>
  </si>
  <si>
    <t>Lakeview</t>
  </si>
  <si>
    <t>Glenella</t>
  </si>
  <si>
    <t>Grey</t>
  </si>
  <si>
    <t>Macdonald</t>
  </si>
  <si>
    <t>Cartier</t>
  </si>
  <si>
    <t>St. François Xavier</t>
  </si>
  <si>
    <t>Headingley</t>
  </si>
  <si>
    <t>Springfield</t>
  </si>
  <si>
    <t>Brokenhead</t>
  </si>
  <si>
    <t>East St. Paul</t>
  </si>
  <si>
    <t>St. Andrews</t>
  </si>
  <si>
    <t>Dunnottar</t>
  </si>
  <si>
    <t>St. Clements</t>
  </si>
  <si>
    <t>Rosser</t>
  </si>
  <si>
    <t>Woodlands</t>
  </si>
  <si>
    <t>Rockwood</t>
  </si>
  <si>
    <t>Langford</t>
  </si>
  <si>
    <t>Odanah</t>
  </si>
  <si>
    <t>Saskatchewan</t>
  </si>
  <si>
    <t>Blanshard</t>
  </si>
  <si>
    <t>Miniota</t>
  </si>
  <si>
    <t>Archie</t>
  </si>
  <si>
    <t>Ellice</t>
  </si>
  <si>
    <t>Strathclair</t>
  </si>
  <si>
    <t>Harrison</t>
  </si>
  <si>
    <t>Minto</t>
  </si>
  <si>
    <t>Rosedale</t>
  </si>
  <si>
    <t>Clanwilliam</t>
  </si>
  <si>
    <t>Park (South)</t>
  </si>
  <si>
    <t>Silver Creek</t>
  </si>
  <si>
    <t>Russell</t>
  </si>
  <si>
    <t>Shellmouth-Boulton</t>
  </si>
  <si>
    <t>Shell River</t>
  </si>
  <si>
    <t>Park (North)</t>
  </si>
  <si>
    <t>Ste. Rose</t>
  </si>
  <si>
    <t>Ochre River</t>
  </si>
  <si>
    <t>Ethelbert</t>
  </si>
  <si>
    <t>Mossey River</t>
  </si>
  <si>
    <t>Winnipegosis</t>
  </si>
  <si>
    <t>Division No. 17, Unorganized</t>
  </si>
  <si>
    <t>Armstrong</t>
  </si>
  <si>
    <t>Coldwell</t>
  </si>
  <si>
    <t>Siglunes</t>
  </si>
  <si>
    <t>Grahamdale</t>
  </si>
  <si>
    <t>Fisher</t>
  </si>
  <si>
    <t>Bifrost</t>
  </si>
  <si>
    <t>Division No. 18, Unorganized, East Part</t>
  </si>
  <si>
    <t>Division No. 18, Unorganized, West Part</t>
  </si>
  <si>
    <t>Division No. 19, Unorganized</t>
  </si>
  <si>
    <t>Mountain (South)</t>
  </si>
  <si>
    <t>Swan River</t>
  </si>
  <si>
    <t>Mountain (North)</t>
  </si>
  <si>
    <t>Division No. 20, Unorganized, South Part</t>
  </si>
  <si>
    <t>Division No. 20, Unorganized, North Part</t>
  </si>
  <si>
    <t>Opaskwayak Cree Nation 21A</t>
  </si>
  <si>
    <t>Opaskwayak Cree Nation 21I</t>
  </si>
  <si>
    <t>Division No. 21, Unorganized</t>
  </si>
  <si>
    <t>Mystery Lake</t>
  </si>
  <si>
    <t>Division No. 22, Unorganized</t>
  </si>
  <si>
    <t>Cross Lake 19</t>
  </si>
  <si>
    <t>Cross Lake 19A</t>
  </si>
  <si>
    <t>Cross Lake 19E</t>
  </si>
  <si>
    <t>Lynn Lake</t>
  </si>
  <si>
    <t>Churchill 1</t>
  </si>
  <si>
    <t>Division No. 23, Unorganized</t>
  </si>
  <si>
    <t>Long Plain First Nation</t>
  </si>
  <si>
    <t>2006 Labour Score</t>
  </si>
  <si>
    <t>2006 Overall CWB Score</t>
  </si>
  <si>
    <t>Total population</t>
  </si>
  <si>
    <t>Total number of persons in private households</t>
  </si>
  <si>
    <t xml:space="preserve">Average number of children at home per census family </t>
  </si>
  <si>
    <t>Average family income $</t>
  </si>
  <si>
    <t>Incidence of low income economic families %</t>
  </si>
  <si>
    <t>Total number of occupied private dwellings</t>
  </si>
  <si>
    <t>Occupied private dwelling needs minor repairs</t>
  </si>
  <si>
    <t>Occupied private dwelling needs major repairs</t>
  </si>
  <si>
    <t>% Occupied private dwelling is owned</t>
  </si>
  <si>
    <t>% Occupied private dwelling is rented</t>
  </si>
  <si>
    <t>Manitoba</t>
  </si>
  <si>
    <t>Assiniboine Regional Health Authority</t>
  </si>
  <si>
    <t>Brandon Regional Health Authority</t>
  </si>
  <si>
    <t>Burntwood Regional Health Authority</t>
  </si>
  <si>
    <t>Central Regional Health Authority</t>
  </si>
  <si>
    <t>Churchill Regional Health Authority</t>
  </si>
  <si>
    <t>Dauphin (Rural)</t>
  </si>
  <si>
    <t>Division No.  1, Unorganized</t>
  </si>
  <si>
    <t>Division No. 1</t>
  </si>
  <si>
    <t>Division No. 10</t>
  </si>
  <si>
    <t>Division No. 11</t>
  </si>
  <si>
    <t>Division No. 12</t>
  </si>
  <si>
    <t>Division No. 13</t>
  </si>
  <si>
    <t>Division No. 14</t>
  </si>
  <si>
    <t>Division No. 15</t>
  </si>
  <si>
    <t>Division No. 16</t>
  </si>
  <si>
    <t>Division No. 17</t>
  </si>
  <si>
    <t>Division No. 18</t>
  </si>
  <si>
    <t>Division No. 19</t>
  </si>
  <si>
    <t>Division No. 2</t>
  </si>
  <si>
    <t>Division No. 20</t>
  </si>
  <si>
    <t>Division No. 21</t>
  </si>
  <si>
    <t>Division No. 22</t>
  </si>
  <si>
    <t>Division No. 23</t>
  </si>
  <si>
    <t>Division No. 3</t>
  </si>
  <si>
    <t>Division No. 4</t>
  </si>
  <si>
    <t>Division No. 5</t>
  </si>
  <si>
    <t>Division No. 6</t>
  </si>
  <si>
    <t>Division No. 7</t>
  </si>
  <si>
    <t>Division No. 8</t>
  </si>
  <si>
    <t>Division No. 9</t>
  </si>
  <si>
    <t>Gamblers First Nation</t>
  </si>
  <si>
    <t>Interlake Regional Health Authority</t>
  </si>
  <si>
    <t>Mosakahiken Cree Nation</t>
  </si>
  <si>
    <t>Norman Regional Health Authority</t>
  </si>
  <si>
    <t>North</t>
  </si>
  <si>
    <t>North Eastman Regional Health Authority</t>
  </si>
  <si>
    <t>Parkland Regional Health Authority</t>
  </si>
  <si>
    <t>Parklands</t>
  </si>
  <si>
    <t>Roseau Rapids 2A</t>
  </si>
  <si>
    <t>South Central</t>
  </si>
  <si>
    <t>South Eastman Regional Health Authority</t>
  </si>
  <si>
    <t>Winnipeg Regional Health Authority</t>
  </si>
  <si>
    <t>York Landing</t>
  </si>
  <si>
    <t>Opaskwayak Cree Nation 21B</t>
  </si>
  <si>
    <t>Opaskwayak Cree Nation 21C</t>
  </si>
  <si>
    <t>Fisher River First Nation 44A</t>
  </si>
  <si>
    <t>Thompson (Rural)</t>
  </si>
  <si>
    <t>Teraty 1</t>
  </si>
  <si>
    <t>Birtle (Rural)</t>
  </si>
  <si>
    <t>Ethelbert (Rural)</t>
  </si>
  <si>
    <t>Gilbert Plains (Rural)</t>
  </si>
  <si>
    <t>Hamiota (Rural)</t>
  </si>
  <si>
    <t>Lac du Bonnet (Rural)</t>
  </si>
  <si>
    <t>McCreary (Rural)</t>
  </si>
  <si>
    <t>Morris (Rural)</t>
  </si>
  <si>
    <t>Russell (Rural)</t>
  </si>
  <si>
    <t>Roblin (Rural)</t>
  </si>
  <si>
    <t>Shoal Lake (Rural)</t>
  </si>
  <si>
    <t>Ste. Anne (Rural)</t>
  </si>
  <si>
    <t>Swan River (Rural)</t>
  </si>
  <si>
    <t>No Info</t>
  </si>
  <si>
    <t>n/a</t>
  </si>
  <si>
    <t>Austin</t>
  </si>
  <si>
    <t>Grandview (Rural)</t>
  </si>
  <si>
    <t>Tyndall</t>
  </si>
  <si>
    <t>Tribal Council</t>
  </si>
  <si>
    <t>Aboriginal &amp; Northern Affairs</t>
  </si>
  <si>
    <t>Special thanks to University of Illinois for inspiring the tool and pioneering tools of this nature.</t>
  </si>
  <si>
    <t>MMF Region</t>
  </si>
  <si>
    <t>Disclaimer: Data presented here are based on public data available through Statistics Canada and Indian &amp; Northern Affairs. The creators of this tool are not responsible for the accuracy of these 3rd party data, which is provided for information purposes only. This tool is in no way intended to replace the need for strategic plans or other such due diligence.</t>
  </si>
  <si>
    <t>3. Is there a hospital, health centre/nursing station or clinic in your community?</t>
  </si>
  <si>
    <t>e. How many health centres/nursing stations?</t>
  </si>
  <si>
    <t>f. How many health centre/nursing station beds?</t>
  </si>
  <si>
    <t>Median income of males 15+</t>
  </si>
  <si>
    <t>Median income of females 15+</t>
  </si>
  <si>
    <t>Opaskwayak Cree Nation 21E</t>
  </si>
  <si>
    <t>Rossburn (Rural)</t>
  </si>
  <si>
    <t>Portage la Prairie (Rural)</t>
  </si>
  <si>
    <t>Labour Force Replacement Ratio</t>
  </si>
  <si>
    <t>Population Dependency Ratio</t>
  </si>
  <si>
    <t>15-64</t>
  </si>
  <si>
    <t>65+</t>
  </si>
  <si>
    <t>Other (Type source here)</t>
  </si>
  <si>
    <t>a. Is the plan built from the community's vision?</t>
  </si>
  <si>
    <t>d. Have key leaders and organizations participated in the planning process?</t>
  </si>
  <si>
    <t>e. Does the plan address economic considerations?</t>
  </si>
  <si>
    <t>g. Does the plan address environmental considerations?</t>
  </si>
  <si>
    <t>h. Does the plan address human resources considerations?</t>
  </si>
  <si>
    <t>i. Does the plan address infrastructure needs?</t>
  </si>
  <si>
    <t>j. Does the plan address resource requirements?</t>
  </si>
  <si>
    <t>k. Does the vision recognize the connection to areas beyond the community's political boundaries?</t>
  </si>
  <si>
    <t>l. Does the economic development plan include a complete evaluation of economic activity in the community?</t>
  </si>
  <si>
    <t>m. Is the plan shared with the community at large?</t>
  </si>
  <si>
    <t>b. Does the plan represent the opinions of the diversity in the community?</t>
  </si>
  <si>
    <t>c. Does the plan address future generations?</t>
  </si>
  <si>
    <t>a. Does the vision have a significant purpose (does it answer “why?” regarding your community’s direction)?</t>
  </si>
  <si>
    <t>b. Does the vision paint a picture of the future of your community?</t>
  </si>
  <si>
    <t>d. Is the vision posted in a public area?</t>
  </si>
  <si>
    <t>e. Has the community had meaningful participation or consultation on the vision?</t>
  </si>
  <si>
    <t>f. Do community staff and leaders know the vision by memory (This is important because if the vision is not guiding the daily actions of staff and leaders, they will not be able to achieve it)?</t>
  </si>
  <si>
    <t>c. Does the vision contain a clear set of guiding principles to guide how your community will achieve the vision?</t>
  </si>
  <si>
    <t>Index Range:</t>
  </si>
  <si>
    <t>Maximum Capacity</t>
  </si>
  <si>
    <t>Check areas of weakness and build on them</t>
  </si>
  <si>
    <t>Community should be prepared to take on projects, but there are areas to improve.</t>
  </si>
  <si>
    <t>Yr 1</t>
  </si>
  <si>
    <t>Yr 2</t>
  </si>
  <si>
    <t>Part B: Community Economic Development Capacity Index</t>
  </si>
  <si>
    <t>Version:</t>
  </si>
  <si>
    <t>Wuskwi Siphik First Nation</t>
  </si>
  <si>
    <t>Cross Lake First Nation part</t>
  </si>
  <si>
    <t>Participation rate  15 years and over</t>
  </si>
  <si>
    <t xml:space="preserve">Employment rate  15 years and over </t>
  </si>
  <si>
    <t xml:space="preserve">Unemployment rate  15 years and over </t>
  </si>
  <si>
    <t>Total population 15 years and over with employment income    Average employment income $</t>
  </si>
  <si>
    <t>Males 15 years and over with employment income    Average employment income $</t>
  </si>
  <si>
    <t>Females 15 years and over with employment income by work activity    Average employment income $</t>
  </si>
  <si>
    <t>OChiChakKoSipi First Nation</t>
  </si>
  <si>
    <t>OPiponNaPiwin</t>
  </si>
  <si>
    <t>zGillam</t>
  </si>
  <si>
    <t>ÎledesChênes</t>
  </si>
  <si>
    <t>ShellmouthBoulton</t>
  </si>
  <si>
    <t>St. PierreJolys</t>
  </si>
  <si>
    <t>Total population 15 years and over  High school certificate or equivalent</t>
  </si>
  <si>
    <t>Total population 15 years and over  Apprenticeship or trades certificate or diploma</t>
  </si>
  <si>
    <t>Total population 15 years and over  College, CEGEP or other nonuniversity certificate or diploma</t>
  </si>
  <si>
    <t>Total population 15 years and over  University certificate, diploma or degree</t>
  </si>
  <si>
    <t>Roseau River 2</t>
  </si>
  <si>
    <t>Tataskweyak Cree Nation part</t>
  </si>
  <si>
    <t>Fisher River First Nation 44</t>
  </si>
  <si>
    <t>11 Agriculture, forestry, fishing and hunting</t>
  </si>
  <si>
    <t>21 Mining and oil and gas extraction</t>
  </si>
  <si>
    <t>22 Utilities</t>
  </si>
  <si>
    <t>23 Construction</t>
  </si>
  <si>
    <t>31-33 Manufacturing</t>
  </si>
  <si>
    <t>41 Wholesale trade</t>
  </si>
  <si>
    <t>44-45 Retail trade</t>
  </si>
  <si>
    <t>48-49 Transportation and warehousing</t>
  </si>
  <si>
    <t>51 Information and cultural industries</t>
  </si>
  <si>
    <t>52 Finance and insurance</t>
  </si>
  <si>
    <t>53 Real estate and rental and leasing</t>
  </si>
  <si>
    <t>54 Professional, scientific and technical services</t>
  </si>
  <si>
    <t>55 Management of companies and enterprises</t>
  </si>
  <si>
    <t>56 Administrative and support, waste management and remediation services</t>
  </si>
  <si>
    <t>61 Educational services</t>
  </si>
  <si>
    <t>62 Healthcare and social assistance</t>
  </si>
  <si>
    <t>71 Arts, entertainment and recreation</t>
  </si>
  <si>
    <t>72 Accommodation and food services</t>
  </si>
  <si>
    <t>81 Other services (except public administration)</t>
  </si>
  <si>
    <t>91 Public administration</t>
  </si>
  <si>
    <t>Location Quotients</t>
  </si>
  <si>
    <t>45-64</t>
  </si>
  <si>
    <t>0-14</t>
  </si>
  <si>
    <t>f. Does the plan address social-welfare (including recreation) considerations?</t>
  </si>
  <si>
    <t>i. Have educators and key local stakeholders participated in the development of the plan?</t>
  </si>
  <si>
    <t xml:space="preserve">e. Does the local government collaborate with the Provincial government, neighbouring communities and other organizations to encourage economic development in the region? </t>
  </si>
  <si>
    <t xml:space="preserve">h. Is enrolment for this program expanding? </t>
  </si>
  <si>
    <t xml:space="preserve">d. Is the labour force sufficient to support new economic growth? </t>
  </si>
  <si>
    <t xml:space="preserve">e. Has the organization compiled community and regional statistics relevant for business? </t>
  </si>
  <si>
    <t xml:space="preserve">b. Is there promotional material that describes the commercial services (e.g., Retail, restaurants, theatre, etc.) available in the community? </t>
  </si>
  <si>
    <t xml:space="preserve">e. Is one-to-one business management counselling available to existing or potential new business owners? </t>
  </si>
  <si>
    <t xml:space="preserve">16. Does the community have adequate basic (water, waste, energy) infrastructure to support current residents? </t>
  </si>
  <si>
    <t>c. Is there a recycling service in your community?</t>
  </si>
  <si>
    <t>k. Is your entire community connected to hydro-electric power?</t>
  </si>
  <si>
    <t>e. Is there sufficient equipment in the community for adequate two-way radio use?</t>
  </si>
  <si>
    <t>g. Is Television broadcasting (i.e. Cable) available in your community?</t>
  </si>
  <si>
    <t>n. Does the plan look beyond just business development (i.e. Co-operatives, social enterprises, a plan to minimize economic leakage, a broad understanding of economic activity)?</t>
  </si>
  <si>
    <t>This material is owned by the Manitoba government and protected by copyright law. It may not be reproduced or redistributed without the prior written permission of the Province of Manitoba.</t>
  </si>
  <si>
    <t>All rights reserved</t>
  </si>
  <si>
    <t>blank</t>
  </si>
  <si>
    <t>8. Operational Strength: Is your community leadership well staffed and well organized?</t>
  </si>
  <si>
    <t>g. Does the community council have adequate administrative support to respond to public inquiries?</t>
  </si>
  <si>
    <t>f. Does your community council have past experience starting and successfully completing projects?</t>
  </si>
  <si>
    <t xml:space="preserve">10. Does the community have support and physical capacity for economic growth? </t>
  </si>
  <si>
    <t>9. Is there a strong sense of community support?</t>
  </si>
  <si>
    <t>b. Are there vacant lots available for purchase/lease/use?</t>
  </si>
  <si>
    <t>c. Are there serviced lots available for purchase/lease/use?</t>
  </si>
  <si>
    <t xml:space="preserve">j. Has the community submitted proposals for Provincial and/or federal funding for development programs in the past five years? </t>
  </si>
  <si>
    <t>i. Has the community been consultated on population growth (especially if you determine that there is a need to import labour from outside the community)?</t>
  </si>
  <si>
    <t xml:space="preserve">i. Do staff or officers of the development organization regularly participate in provincial or national professional association activities? </t>
  </si>
  <si>
    <t>k. Is there bus service in or to your community?</t>
  </si>
  <si>
    <t>Taxation Revenue</t>
  </si>
  <si>
    <t>Grants in Lieu</t>
  </si>
  <si>
    <t>GA/VLT</t>
  </si>
  <si>
    <t>Other Grants (Prov./Fed.)</t>
  </si>
  <si>
    <t>Sub-Total</t>
  </si>
  <si>
    <t>Sale of Services/Goods</t>
  </si>
  <si>
    <t>Community Well-Being (CWB) Index -  is a means of measuring socio-economic well being.  The index score is a single number that can range from a low of 0 to a high of 100.  It is composed of data on income, education, housing conditions and labour force activity. See the User Guide for more detail.</t>
  </si>
  <si>
    <t>At this time, the tool is only designed for individual communities, not for collections of communities or small regions.</t>
  </si>
  <si>
    <t>Census figures - data imported from the Communities Information Database (http://www.cid-bdc.ca/Tableviewer/tableview.aspx)</t>
  </si>
  <si>
    <t>A ratio of children 0-14 (future labour force entrants) to people 44-64 (future retirees).</t>
  </si>
  <si>
    <t>A ratio of those typically not in the labour force (the dependent part) and those typically in the labour force (the productive part).</t>
  </si>
  <si>
    <t>The location quotient economic analysis technique uses employment data in an industry to compare how much employment there is in a community or region, compared to the amount of employment in that industry at the national or provincial level.  The location quotient (LQ) is helpful to examine the status of the local economy, to understand its’ strengths and weaknesses and to identify potential opportunities.   The location quotient is a number value which will identify if a community has more employment (LQ greater than 1), less employment (LQ less than 1) or similar employment (LQ equal to one) within an industry, compared to the rest of the province.
These quotients can be useful in getting a high level idea of the skill sets you might expect in the community. It may also illuminate some potential economic opportunities. If your community is not particularly active in retail, for example, why not? Perhaps there is an opportunity there.
MAFRI has a more detailed look at this concept and richer data, available online (http://www.gov.mb.ca/agriculture/ri/ced/pdf/locationquo.pdf)</t>
  </si>
  <si>
    <t>Select which years you wish to compare in cells E53 and F53.</t>
  </si>
  <si>
    <t>Vision: This first question set deals with the starting point for any community – the vision. Where is your community going? What would the residents like to see in the future for their community? Because this is a foundational element to succeeding as a community, this question set is heavily weighted. This is the “Where are we going?” part of the process.
It is not enough to say “yes, we have a vision.” The sub-questions here probe what that really means. Has the community been involved in it development? Is it publicly displayed? Does it truly guide staff actions and program planning?</t>
  </si>
  <si>
    <t>Community Economic Development Plan: Building on the community vision it is important to have a plan of action to determine how your community is going to get there. This is the “How will we get there?” part of the process.
There are some critical elements to this to understand. One of these is the concept of the plan addressing the future generations – in other words, sustainability and environmental integrity. Sub-questions L and N mention economic activity evaluation and leakage studies. These are important. A community should consider analyzing where money is being spent to determine how much of that is staying in the community. 
Some communities may require immigration to support their economic development plans. If this is the case, the plan should address this in the “social-welfare considerations.” Immigration will impact schools, housing, health services, recreation, community cohesiveness, etc. Failure to account for these types of considerations could result in community discord or backlash.
Similarly, recruiting from outside the community (even if it not immigration from foreign countries) may be required and should be taken into consideration under “human resource considerations.”</t>
  </si>
  <si>
    <t>Planning how scarce land resources will be allocated or used is critical to develop along side the vision and the community economic development plan. A community that allows whatever to be built wherever is neither appealing to the eyes nor conducive to proper growth. Additionally, it is important to ensure that land uses will not be negatively impacting residents, businesses, or other projects.
It is in this plan that sacred sites, protected areas, or environmental concerns should be raised.</t>
  </si>
  <si>
    <t>Businesses in a community need not be limited to ‘mom and pop’ shops, but can explore all manner of sectors, including the potential for an industrial sector. 
“Industrial” can mean anything from gravel pits to mines to food processing plants. It might also include green industries, such as wind mill farms, solar farms, or other such innovative concepts.
Finally, sustainability and environmental preservation must be factored into the plan.</t>
  </si>
  <si>
    <t>Has your community determined a plan to educate and train the local labour force? What educational and professional development resources are in place in the community for your young people and existing workforce?
There are two ways to look at this. First, you can develop plans to meet the current needs of active employment opportunities in the community. Second, you can shape plans to train people in areas that you may wish to develop economically. The location quotients in the Profile section might be particularly helpful here as well.</t>
  </si>
  <si>
    <t>Does the leadership of your community support community economic development? Do they understand that CED is different than community development in that it has a special focus on economy? At the same time, does leadership see economy in the broader sense, beyond simply business or entrepreneurial development? Do they dedicate resources to community economic development?
Many communities and leaders talk about community economic development, but few have really taken the time to get a shared understanding of what it means. In most cases, it is left to the economic development officer to try to convince leadership of the need for dedicated resources to pursue economic development.</t>
  </si>
  <si>
    <t>If your community is a First Nation, imported data is from INAC. If your community is a Northern Affairs community, data is from Aboriginal &amp; Northern Affairs. All other available data is from the Communities Information Database.</t>
  </si>
  <si>
    <t>Notes</t>
  </si>
  <si>
    <t>Does your community have a program in place to train, mentor, or develop new and existing leaders? No leader walks into the job perfectly skilled. For existing leaders, driving the efforts to develop economy and community, they're career and skill development are often forgot about. These leaders will not be around forever either, but unless some purposeful thought is given to developing the next generation of leaders, a leadership void can be created when current leaders retire. It is important that some support for skill development be in place.</t>
  </si>
  <si>
    <t>Very few show up</t>
  </si>
  <si>
    <t>Nearly half the community</t>
  </si>
  <si>
    <t>Nearly everyone comes</t>
  </si>
  <si>
    <t>-</t>
  </si>
  <si>
    <t>Nobody volunteers</t>
  </si>
  <si>
    <t>A few volunteer</t>
  </si>
  <si>
    <t>The majority volunteers</t>
  </si>
  <si>
    <t>Ultimately, it will be the community members themselves that will make or break any plans. A key part of the capacity assessment is whether or not the community members are supportive and active in community events. If they are, then you can build off that strength. If they are not, then the approaches that you take in community engagement will be impacted.</t>
  </si>
  <si>
    <t>If there is no Chamber of Commerce in the community, you will need to pose the question of whether one is even viable or required. Depending on the size of your community, it may make sense to become better connected to a regional Chamber or association.</t>
  </si>
  <si>
    <t>Community not ready for projects
 - focus on building capacity in key areas</t>
  </si>
  <si>
    <t>Leadership in your community will play a lead role in developing, championing, and implementing community visions and plans. If they are not equipped with the resources and tools they need, it may not be possible to advance very far with any plan. This section looks at some of the core elements of the capacity of the community leadership.</t>
  </si>
  <si>
    <t xml:space="preserve">Not every community has the space or capacity to grow. This impacts all plans and forms part of the critical considerations of planning out projects. </t>
  </si>
  <si>
    <t xml:space="preserve">Local businesses (including tourism) cannot thrive without marketing. Likewise the community, as a whole, must market itself to its own residents, its youth and past residents. There must be a reason for people to visit, for people to want to come live in the community, to stay in the community or to return to the community after moving away. </t>
  </si>
  <si>
    <t xml:space="preserve">a. Is information about industrial sites in your community updated annually and shared with community leaders, economic development organizations, and business associations? </t>
  </si>
  <si>
    <t>e. What is the level of treatment of the water source in your community?</t>
  </si>
  <si>
    <t>None, direct use</t>
  </si>
  <si>
    <t>Disinfection only</t>
  </si>
  <si>
    <t>Greensand filtration</t>
  </si>
  <si>
    <t>Activated Carbon or slow sand</t>
  </si>
  <si>
    <t>Conventional or Membrane Filtration</t>
  </si>
  <si>
    <t>f. What type of water delivery is there in your community?</t>
  </si>
  <si>
    <t>None</t>
  </si>
  <si>
    <t>Wells</t>
  </si>
  <si>
    <t>Water trucks</t>
  </si>
  <si>
    <t>Piped water</t>
  </si>
  <si>
    <t>Septic system</t>
  </si>
  <si>
    <t>Lagoon</t>
  </si>
  <si>
    <t>Mechanical treatment</t>
  </si>
  <si>
    <t>No service</t>
  </si>
  <si>
    <t>Septic or Truck haul</t>
  </si>
  <si>
    <t>Piped service</t>
  </si>
  <si>
    <t>g. What type of wastewater service is in your community?</t>
  </si>
  <si>
    <t>h. What type of wastewater treatment is in your community?</t>
  </si>
  <si>
    <t>i. Does your community have access to the Internet?</t>
  </si>
  <si>
    <t>j. What type of Internet access does your community have?</t>
  </si>
  <si>
    <t>Yes, everyone</t>
  </si>
  <si>
    <t>Only offices</t>
  </si>
  <si>
    <t>Cable</t>
  </si>
  <si>
    <t>DSL</t>
  </si>
  <si>
    <t>ISDN</t>
  </si>
  <si>
    <t>Dial-up</t>
  </si>
  <si>
    <t>1.4</t>
  </si>
  <si>
    <t>Select the fastest type of Internet access available in your community.</t>
  </si>
</sst>
</file>

<file path=xl/styles.xml><?xml version="1.0" encoding="utf-8"?>
<styleSheet xmlns="http://schemas.openxmlformats.org/spreadsheetml/2006/main">
  <numFmts count="7">
    <numFmt numFmtId="41" formatCode="_-* #,##0_-;\-* #,##0_-;_-* &quot;-&quot;_-;_-@_-"/>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_-* #,##0.00_-;\-* #,##0.00_-;_-* &quot;-&quot;_-;_-@_-"/>
  </numFmts>
  <fonts count="27">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sz val="9"/>
      <color indexed="81"/>
      <name val="Tahoma"/>
      <family val="2"/>
    </font>
    <font>
      <b/>
      <sz val="9"/>
      <color indexed="81"/>
      <name val="Tahoma"/>
      <family val="2"/>
    </font>
    <font>
      <sz val="10"/>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8"/>
      <color theme="1"/>
      <name val="Calibri"/>
      <family val="2"/>
      <scheme val="minor"/>
    </font>
    <font>
      <b/>
      <sz val="11"/>
      <color rgb="FF000000"/>
      <name val="Calibri"/>
      <family val="2"/>
      <scheme val="minor"/>
    </font>
    <font>
      <sz val="11"/>
      <color rgb="FF000000"/>
      <name val="Calibri"/>
      <family val="2"/>
      <scheme val="minor"/>
    </font>
    <font>
      <sz val="8.25"/>
      <color rgb="FF000000"/>
      <name val="Arial"/>
      <family val="2"/>
    </font>
    <font>
      <sz val="14"/>
      <color theme="1"/>
      <name val="Calibri"/>
      <family val="2"/>
      <scheme val="minor"/>
    </font>
    <font>
      <sz val="11"/>
      <color theme="0" tint="-0.34998626667073579"/>
      <name val="Calibri"/>
      <family val="2"/>
      <scheme val="minor"/>
    </font>
    <font>
      <b/>
      <u/>
      <sz val="11"/>
      <color theme="0" tint="-0.34998626667073579"/>
      <name val="Calibri"/>
      <family val="2"/>
      <scheme val="minor"/>
    </font>
    <font>
      <b/>
      <i/>
      <sz val="11"/>
      <color theme="1"/>
      <name val="Calibri"/>
      <family val="2"/>
      <scheme val="minor"/>
    </font>
    <font>
      <sz val="8"/>
      <color theme="1"/>
      <name val="Calibri"/>
      <family val="2"/>
    </font>
    <font>
      <sz val="11"/>
      <color theme="0" tint="-0.249977111117893"/>
      <name val="Calibri"/>
      <family val="2"/>
      <scheme val="minor"/>
    </font>
    <font>
      <sz val="9"/>
      <color theme="0" tint="-0.249977111117893"/>
      <name val="Calibri"/>
      <family val="2"/>
      <scheme val="minor"/>
    </font>
    <font>
      <sz val="8"/>
      <color theme="0" tint="-0.249977111117893"/>
      <name val="Calibri"/>
      <family val="2"/>
      <scheme val="minor"/>
    </font>
    <font>
      <b/>
      <sz val="14"/>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14">
    <xf numFmtId="0" fontId="0" fillId="0" borderId="0" xfId="0"/>
    <xf numFmtId="0" fontId="0" fillId="0" borderId="0" xfId="0" applyAlignment="1">
      <alignment wrapText="1"/>
    </xf>
    <xf numFmtId="0" fontId="0" fillId="0" borderId="0" xfId="0" applyAlignment="1">
      <alignment horizontal="center"/>
    </xf>
    <xf numFmtId="0" fontId="2" fillId="0" borderId="0" xfId="0" applyFont="1"/>
    <xf numFmtId="0" fontId="3" fillId="0" borderId="0" xfId="0" applyFont="1"/>
    <xf numFmtId="0" fontId="0" fillId="0" borderId="0" xfId="0" applyFont="1"/>
    <xf numFmtId="0" fontId="5" fillId="0" borderId="0" xfId="0" applyFont="1"/>
    <xf numFmtId="0" fontId="5" fillId="0" borderId="0" xfId="0" applyFont="1" applyAlignment="1"/>
    <xf numFmtId="0" fontId="4" fillId="0" borderId="0" xfId="0" applyFont="1"/>
    <xf numFmtId="0" fontId="4" fillId="0" borderId="0" xfId="0" applyFont="1" applyAlignment="1">
      <alignment horizontal="left" wrapText="1"/>
    </xf>
    <xf numFmtId="0" fontId="5" fillId="0" borderId="0" xfId="0" applyFont="1" applyFill="1" applyBorder="1" applyAlignment="1">
      <alignment horizontal="left"/>
    </xf>
    <xf numFmtId="0" fontId="5" fillId="0" borderId="0" xfId="0" applyFont="1" applyFill="1" applyBorder="1"/>
    <xf numFmtId="0" fontId="5" fillId="0" borderId="0" xfId="0" applyFont="1" applyFill="1" applyBorder="1" applyAlignment="1">
      <alignment wrapText="1"/>
    </xf>
    <xf numFmtId="0" fontId="3" fillId="0" borderId="0" xfId="0" applyFont="1" applyAlignment="1">
      <alignment horizontal="left"/>
    </xf>
    <xf numFmtId="0" fontId="3" fillId="0" borderId="0" xfId="0" applyFont="1" applyAlignment="1">
      <alignment wrapText="1"/>
    </xf>
    <xf numFmtId="0" fontId="10" fillId="0" borderId="0" xfId="0" applyFont="1"/>
    <xf numFmtId="0" fontId="5" fillId="0" borderId="0" xfId="0" applyFont="1" applyFill="1" applyAlignment="1">
      <alignment horizontal="left" wrapText="1"/>
    </xf>
    <xf numFmtId="0" fontId="10" fillId="0" borderId="0" xfId="0" applyFont="1" applyAlignment="1">
      <alignment wrapText="1"/>
    </xf>
    <xf numFmtId="0" fontId="10" fillId="0" borderId="0" xfId="0" applyFont="1" applyBorder="1" applyAlignment="1">
      <alignment wrapText="1"/>
    </xf>
    <xf numFmtId="0" fontId="10" fillId="0" borderId="0" xfId="0" applyFont="1" applyFill="1"/>
    <xf numFmtId="0" fontId="6" fillId="0" borderId="3" xfId="0" applyFont="1" applyBorder="1" applyAlignment="1">
      <alignment horizontal="center" wrapText="1"/>
    </xf>
    <xf numFmtId="0" fontId="3" fillId="2" borderId="1" xfId="0" applyFont="1" applyFill="1" applyBorder="1" applyAlignment="1" applyProtection="1">
      <alignment wrapText="1"/>
      <protection locked="0"/>
    </xf>
    <xf numFmtId="0" fontId="2" fillId="0" borderId="0" xfId="0" applyFont="1" applyAlignment="1">
      <alignment horizontal="center"/>
    </xf>
    <xf numFmtId="9" fontId="2" fillId="0" borderId="0" xfId="1" applyFont="1"/>
    <xf numFmtId="0" fontId="3" fillId="0" borderId="0" xfId="0" applyFont="1" applyAlignment="1">
      <alignment horizontal="right"/>
    </xf>
    <xf numFmtId="0" fontId="3" fillId="0" borderId="0" xfId="0" applyFont="1" applyFill="1" applyBorder="1"/>
    <xf numFmtId="0" fontId="0" fillId="2" borderId="1" xfId="0" applyFont="1" applyFill="1" applyBorder="1" applyAlignment="1" applyProtection="1">
      <alignment horizontal="center" vertical="center"/>
      <protection locked="0"/>
    </xf>
    <xf numFmtId="0" fontId="0" fillId="0" borderId="0" xfId="0" applyFont="1" applyFill="1" applyBorder="1" applyAlignment="1">
      <alignment horizontal="center"/>
    </xf>
    <xf numFmtId="0" fontId="0" fillId="2" borderId="1" xfId="0" applyFont="1" applyFill="1" applyBorder="1" applyProtection="1">
      <protection locked="0"/>
    </xf>
    <xf numFmtId="0" fontId="0" fillId="2" borderId="6" xfId="0" applyFont="1" applyFill="1" applyBorder="1" applyAlignment="1" applyProtection="1">
      <protection locked="0"/>
    </xf>
    <xf numFmtId="0" fontId="0" fillId="2" borderId="1" xfId="0" applyFont="1" applyFill="1" applyBorder="1" applyAlignment="1" applyProtection="1">
      <protection locked="0"/>
    </xf>
    <xf numFmtId="0" fontId="0" fillId="0" borderId="0" xfId="0" applyFont="1" applyFill="1" applyBorder="1"/>
    <xf numFmtId="0" fontId="0" fillId="0" borderId="0" xfId="0" applyFont="1" applyAlignment="1">
      <alignment horizontal="right"/>
    </xf>
    <xf numFmtId="0" fontId="0" fillId="0" borderId="0" xfId="0" applyFont="1" applyFill="1" applyBorder="1" applyAlignment="1"/>
    <xf numFmtId="0" fontId="0" fillId="2" borderId="1" xfId="0" applyFont="1" applyFill="1" applyBorder="1" applyAlignment="1" applyProtection="1">
      <alignment wrapText="1"/>
      <protection locked="0"/>
    </xf>
    <xf numFmtId="0" fontId="0" fillId="0" borderId="0" xfId="0" applyFont="1" applyAlignment="1">
      <alignment wrapText="1"/>
    </xf>
    <xf numFmtId="0" fontId="0" fillId="0" borderId="0" xfId="0" applyFont="1" applyAlignment="1">
      <alignment horizontal="left" wrapText="1"/>
    </xf>
    <xf numFmtId="0" fontId="0" fillId="0" borderId="0" xfId="0" applyFont="1" applyFill="1"/>
    <xf numFmtId="0" fontId="0" fillId="0" borderId="0" xfId="0" applyFont="1" applyFill="1" applyBorder="1" applyAlignment="1">
      <alignment horizontal="right"/>
    </xf>
    <xf numFmtId="0" fontId="0" fillId="0" borderId="0" xfId="0" applyFont="1" applyFill="1" applyBorder="1" applyAlignment="1" applyProtection="1">
      <protection locked="0"/>
    </xf>
    <xf numFmtId="0" fontId="0" fillId="0" borderId="0" xfId="0" applyFont="1" applyFill="1" applyBorder="1" applyAlignment="1" applyProtection="1">
      <alignment horizontal="center"/>
      <protection locked="0"/>
    </xf>
    <xf numFmtId="0" fontId="0" fillId="0" borderId="0" xfId="0" applyFont="1" applyFill="1" applyAlignment="1">
      <alignment horizontal="left"/>
    </xf>
    <xf numFmtId="0" fontId="0" fillId="0" borderId="0" xfId="0" applyFont="1" applyFill="1" applyAlignment="1">
      <alignment horizontal="left" wrapText="1"/>
    </xf>
    <xf numFmtId="0" fontId="0" fillId="0" borderId="0" xfId="0" applyFont="1" applyAlignment="1">
      <alignment horizontal="center" vertical="center"/>
    </xf>
    <xf numFmtId="43" fontId="0" fillId="2" borderId="1" xfId="2" applyFont="1" applyFill="1" applyBorder="1" applyProtection="1">
      <protection locked="0"/>
    </xf>
    <xf numFmtId="43" fontId="0" fillId="2" borderId="6" xfId="2" applyFont="1" applyFill="1" applyBorder="1" applyAlignment="1" applyProtection="1">
      <protection locked="0"/>
    </xf>
    <xf numFmtId="43" fontId="0" fillId="0" borderId="1" xfId="2" applyFont="1" applyFill="1" applyBorder="1" applyProtection="1"/>
    <xf numFmtId="43" fontId="11" fillId="0" borderId="1" xfId="2" applyFont="1" applyFill="1" applyBorder="1" applyProtection="1"/>
    <xf numFmtId="0" fontId="12" fillId="0" borderId="0" xfId="0" applyFont="1"/>
    <xf numFmtId="0" fontId="11" fillId="0" borderId="0" xfId="0" applyFont="1"/>
    <xf numFmtId="0" fontId="0" fillId="2" borderId="1" xfId="0" applyFont="1" applyFill="1" applyBorder="1" applyAlignment="1" applyProtection="1">
      <alignment horizontal="center"/>
      <protection locked="0"/>
    </xf>
    <xf numFmtId="0" fontId="0" fillId="0" borderId="0" xfId="0" applyAlignment="1">
      <alignment horizontal="right"/>
    </xf>
    <xf numFmtId="0" fontId="0" fillId="0" borderId="1" xfId="0" applyFont="1" applyBorder="1"/>
    <xf numFmtId="0" fontId="0" fillId="0" borderId="3" xfId="0" applyBorder="1"/>
    <xf numFmtId="0" fontId="5" fillId="0" borderId="0" xfId="0" applyFont="1" applyAlignment="1">
      <alignment horizontal="right"/>
    </xf>
    <xf numFmtId="0" fontId="0" fillId="2" borderId="1" xfId="0" applyFont="1" applyFill="1" applyBorder="1"/>
    <xf numFmtId="0" fontId="2" fillId="0" borderId="0" xfId="0" applyFont="1" applyFill="1" applyBorder="1"/>
    <xf numFmtId="0" fontId="0" fillId="0" borderId="3" xfId="0" applyBorder="1" applyAlignment="1"/>
    <xf numFmtId="0" fontId="0" fillId="0" borderId="0" xfId="0" applyAlignment="1"/>
    <xf numFmtId="0" fontId="3" fillId="0" borderId="0" xfId="0" applyFont="1" applyAlignment="1">
      <alignment vertical="center"/>
    </xf>
    <xf numFmtId="0" fontId="14" fillId="0" borderId="8" xfId="0" applyFont="1" applyBorder="1" applyAlignment="1">
      <alignment vertical="center" wrapText="1"/>
    </xf>
    <xf numFmtId="0" fontId="0" fillId="0" borderId="3" xfId="0" applyBorder="1" applyAlignment="1" applyProtection="1">
      <alignment horizontal="center" wrapText="1"/>
    </xf>
    <xf numFmtId="9" fontId="0" fillId="0" borderId="1" xfId="1" applyFont="1" applyFill="1" applyBorder="1" applyAlignment="1" applyProtection="1"/>
    <xf numFmtId="0" fontId="0" fillId="0" borderId="0" xfId="0" applyFill="1" applyBorder="1" applyAlignment="1" applyProtection="1">
      <protection locked="0"/>
    </xf>
    <xf numFmtId="9" fontId="0" fillId="0" borderId="0" xfId="1" applyFont="1" applyFill="1" applyBorder="1" applyProtection="1"/>
    <xf numFmtId="0" fontId="0" fillId="0" borderId="0" xfId="0" applyFont="1" applyFill="1" applyBorder="1" applyProtection="1"/>
    <xf numFmtId="0" fontId="0" fillId="0" borderId="1" xfId="0" applyBorder="1" applyAlignment="1">
      <alignment wrapText="1"/>
    </xf>
    <xf numFmtId="0" fontId="0" fillId="0" borderId="1" xfId="0" applyBorder="1" applyProtection="1"/>
    <xf numFmtId="9" fontId="0" fillId="0" borderId="1" xfId="1" applyFont="1" applyBorder="1"/>
    <xf numFmtId="0" fontId="0" fillId="0" borderId="10" xfId="0" applyBorder="1" applyAlignment="1">
      <alignment wrapText="1"/>
    </xf>
    <xf numFmtId="0" fontId="0" fillId="0" borderId="10" xfId="0" applyBorder="1" applyProtection="1"/>
    <xf numFmtId="9" fontId="0" fillId="0" borderId="10" xfId="1" applyFont="1" applyBorder="1"/>
    <xf numFmtId="0" fontId="0" fillId="0" borderId="13" xfId="0" applyBorder="1" applyAlignment="1">
      <alignment wrapText="1"/>
    </xf>
    <xf numFmtId="0" fontId="0" fillId="0" borderId="13" xfId="0" applyBorder="1" applyProtection="1"/>
    <xf numFmtId="9" fontId="0" fillId="0" borderId="13" xfId="1" applyFont="1" applyBorder="1"/>
    <xf numFmtId="0" fontId="0" fillId="0" borderId="6" xfId="0" applyBorder="1" applyAlignment="1">
      <alignment horizontal="right"/>
    </xf>
    <xf numFmtId="0" fontId="0" fillId="0" borderId="7" xfId="0" applyBorder="1" applyAlignment="1">
      <alignment horizontal="center"/>
    </xf>
    <xf numFmtId="0" fontId="15" fillId="0" borderId="14" xfId="0" applyFont="1" applyBorder="1" applyAlignment="1">
      <alignment horizontal="center" vertical="center" wrapText="1"/>
    </xf>
    <xf numFmtId="0" fontId="16" fillId="0" borderId="14" xfId="0" applyFont="1" applyBorder="1" applyAlignment="1">
      <alignment wrapText="1"/>
    </xf>
    <xf numFmtId="0" fontId="16" fillId="3" borderId="14" xfId="0" applyFont="1" applyFill="1" applyBorder="1" applyAlignment="1">
      <alignment wrapText="1"/>
    </xf>
    <xf numFmtId="0" fontId="0" fillId="3" borderId="0" xfId="0" applyFont="1" applyFill="1"/>
    <xf numFmtId="1" fontId="16" fillId="0" borderId="14" xfId="0" applyNumberFormat="1" applyFont="1" applyBorder="1" applyAlignment="1">
      <alignment wrapText="1"/>
    </xf>
    <xf numFmtId="0" fontId="16" fillId="0" borderId="0" xfId="0" applyFont="1" applyAlignment="1">
      <alignment wrapText="1"/>
    </xf>
    <xf numFmtId="0" fontId="0" fillId="0" borderId="14" xfId="0" applyBorder="1"/>
    <xf numFmtId="0" fontId="16" fillId="0" borderId="14" xfId="0" applyFont="1" applyFill="1" applyBorder="1" applyAlignment="1">
      <alignment wrapText="1"/>
    </xf>
    <xf numFmtId="0" fontId="0" fillId="0" borderId="1" xfId="0" applyFont="1" applyBorder="1" applyAlignment="1">
      <alignment vertical="center" wrapText="1"/>
    </xf>
    <xf numFmtId="0" fontId="0" fillId="0" borderId="8" xfId="0" applyFont="1" applyBorder="1" applyAlignment="1">
      <alignment vertical="center" wrapText="1"/>
    </xf>
    <xf numFmtId="0" fontId="0" fillId="0" borderId="0" xfId="0" applyFont="1" applyAlignment="1">
      <alignment horizontal="left" wrapText="1"/>
    </xf>
    <xf numFmtId="0" fontId="0" fillId="0" borderId="0" xfId="0" applyFont="1" applyAlignment="1">
      <alignment vertical="center"/>
    </xf>
    <xf numFmtId="9" fontId="0" fillId="0" borderId="1" xfId="1" applyFont="1" applyFill="1" applyBorder="1" applyAlignment="1" applyProtection="1">
      <alignment vertical="center" wrapText="1"/>
    </xf>
    <xf numFmtId="0" fontId="14" fillId="0" borderId="1" xfId="0" applyFont="1" applyBorder="1" applyAlignment="1">
      <alignment vertical="center" wrapText="1"/>
    </xf>
    <xf numFmtId="164" fontId="0" fillId="0" borderId="0" xfId="2" applyNumberFormat="1" applyFont="1" applyBorder="1" applyAlignment="1">
      <alignment vertical="center" wrapText="1"/>
    </xf>
    <xf numFmtId="0" fontId="0" fillId="0" borderId="0" xfId="0" applyFont="1" applyAlignment="1">
      <alignment horizontal="center"/>
    </xf>
    <xf numFmtId="0" fontId="16" fillId="0" borderId="0" xfId="0" applyFont="1" applyBorder="1" applyAlignment="1">
      <alignment wrapText="1"/>
    </xf>
    <xf numFmtId="0" fontId="16" fillId="0" borderId="14" xfId="0" applyFont="1" applyBorder="1" applyAlignment="1">
      <alignment horizontal="center" wrapText="1"/>
    </xf>
    <xf numFmtId="0" fontId="16" fillId="0" borderId="16" xfId="0" applyFont="1" applyBorder="1" applyAlignment="1">
      <alignment horizontal="center" wrapText="1"/>
    </xf>
    <xf numFmtId="0" fontId="16" fillId="0" borderId="17" xfId="0" applyFont="1" applyBorder="1" applyAlignment="1">
      <alignment wrapText="1"/>
    </xf>
    <xf numFmtId="0" fontId="16" fillId="0" borderId="18" xfId="0" applyFont="1" applyBorder="1" applyAlignment="1">
      <alignment wrapText="1"/>
    </xf>
    <xf numFmtId="0" fontId="0" fillId="0" borderId="1" xfId="0" applyBorder="1"/>
    <xf numFmtId="0" fontId="16" fillId="0" borderId="16" xfId="0" applyFont="1" applyBorder="1" applyAlignment="1">
      <alignment wrapText="1"/>
    </xf>
    <xf numFmtId="0" fontId="0" fillId="0" borderId="18" xfId="0" applyFont="1" applyBorder="1"/>
    <xf numFmtId="0" fontId="16" fillId="0" borderId="1" xfId="0" applyFont="1" applyBorder="1" applyAlignment="1">
      <alignment wrapText="1"/>
    </xf>
    <xf numFmtId="0" fontId="0" fillId="0" borderId="0" xfId="0" applyBorder="1"/>
    <xf numFmtId="0" fontId="0" fillId="0" borderId="0" xfId="0" applyFill="1" applyBorder="1"/>
    <xf numFmtId="44" fontId="5" fillId="0" borderId="1" xfId="3" applyFont="1" applyBorder="1" applyAlignment="1">
      <alignment vertical="center" wrapText="1"/>
    </xf>
    <xf numFmtId="0" fontId="0" fillId="0" borderId="0" xfId="0" applyFill="1"/>
    <xf numFmtId="0" fontId="17" fillId="0" borderId="0" xfId="0" applyFont="1" applyAlignment="1">
      <alignment horizontal="left" indent="1"/>
    </xf>
    <xf numFmtId="0" fontId="3" fillId="2" borderId="1" xfId="0" applyFont="1" applyFill="1" applyBorder="1" applyAlignment="1" applyProtection="1">
      <alignment horizontal="left" wrapText="1"/>
      <protection locked="0"/>
    </xf>
    <xf numFmtId="0" fontId="16" fillId="0" borderId="0" xfId="0" applyFont="1" applyFill="1" applyBorder="1" applyAlignment="1">
      <alignment wrapText="1"/>
    </xf>
    <xf numFmtId="0" fontId="14" fillId="0" borderId="19" xfId="0" applyFont="1" applyBorder="1" applyAlignment="1">
      <alignment vertical="center" wrapText="1"/>
    </xf>
    <xf numFmtId="0" fontId="0" fillId="0" borderId="20" xfId="0" applyFont="1" applyFill="1" applyBorder="1" applyProtection="1">
      <protection locked="0"/>
    </xf>
    <xf numFmtId="0" fontId="0" fillId="0" borderId="1" xfId="0" applyBorder="1" applyAlignment="1">
      <alignment horizontal="center"/>
    </xf>
    <xf numFmtId="0" fontId="3" fillId="0" borderId="0" xfId="0" applyFont="1" applyProtection="1">
      <protection locked="0"/>
    </xf>
    <xf numFmtId="0" fontId="19" fillId="0" borderId="0" xfId="0" applyFont="1"/>
    <xf numFmtId="0" fontId="20" fillId="0" borderId="0" xfId="0" applyFont="1"/>
    <xf numFmtId="0" fontId="0" fillId="0" borderId="0" xfId="0" applyFill="1" applyAlignment="1">
      <alignment horizontal="center"/>
    </xf>
    <xf numFmtId="165" fontId="0" fillId="0" borderId="0" xfId="0" applyNumberFormat="1"/>
    <xf numFmtId="1" fontId="0" fillId="0" borderId="0" xfId="0" applyNumberFormat="1"/>
    <xf numFmtId="1" fontId="0" fillId="0" borderId="8" xfId="0" applyNumberFormat="1" applyFont="1" applyBorder="1" applyAlignment="1">
      <alignment vertical="center" wrapText="1"/>
    </xf>
    <xf numFmtId="1" fontId="0" fillId="0" borderId="1" xfId="0" applyNumberFormat="1" applyFont="1" applyBorder="1" applyAlignment="1">
      <alignment vertical="center" wrapText="1"/>
    </xf>
    <xf numFmtId="165" fontId="0" fillId="0" borderId="0" xfId="0" applyNumberFormat="1" applyFill="1" applyBorder="1"/>
    <xf numFmtId="1" fontId="0" fillId="0" borderId="0" xfId="0" applyNumberFormat="1" applyFill="1" applyBorder="1"/>
    <xf numFmtId="41" fontId="5" fillId="0" borderId="1" xfId="0" applyNumberFormat="1" applyFont="1" applyBorder="1" applyAlignment="1">
      <alignment vertical="center" wrapText="1"/>
    </xf>
    <xf numFmtId="166" fontId="5" fillId="0" borderId="1" xfId="0" applyNumberFormat="1" applyFont="1" applyBorder="1" applyAlignment="1">
      <alignment vertical="center" wrapText="1"/>
    </xf>
    <xf numFmtId="166" fontId="5" fillId="0" borderId="0" xfId="0" applyNumberFormat="1" applyFont="1" applyBorder="1" applyAlignment="1">
      <alignment vertical="center" wrapText="1"/>
    </xf>
    <xf numFmtId="0" fontId="0" fillId="0" borderId="0" xfId="0" applyBorder="1" applyAlignment="1"/>
    <xf numFmtId="0" fontId="21" fillId="0" borderId="0" xfId="0" applyFont="1"/>
    <xf numFmtId="166" fontId="5" fillId="0" borderId="1" xfId="0" applyNumberFormat="1" applyFont="1" applyBorder="1" applyAlignment="1">
      <alignment horizontal="center" vertical="center" wrapText="1"/>
    </xf>
    <xf numFmtId="167" fontId="5" fillId="0" borderId="1" xfId="0" applyNumberFormat="1" applyFont="1" applyBorder="1" applyAlignment="1">
      <alignment vertical="center" wrapText="1"/>
    </xf>
    <xf numFmtId="0" fontId="22" fillId="0" borderId="0" xfId="0" applyFont="1"/>
    <xf numFmtId="0" fontId="0" fillId="0" borderId="0" xfId="0" quotePrefix="1"/>
    <xf numFmtId="0" fontId="23" fillId="0" borderId="0" xfId="0" applyFont="1"/>
    <xf numFmtId="0" fontId="23" fillId="0" borderId="0" xfId="0" applyFont="1" applyAlignment="1">
      <alignment horizontal="center" vertical="center"/>
    </xf>
    <xf numFmtId="0" fontId="23" fillId="0" borderId="0" xfId="0" applyFont="1" applyBorder="1"/>
    <xf numFmtId="0" fontId="23" fillId="0" borderId="0" xfId="0" applyFont="1" applyFill="1" applyBorder="1" applyAlignment="1">
      <alignment horizontal="center"/>
    </xf>
    <xf numFmtId="0" fontId="23" fillId="0" borderId="0" xfId="0" applyFont="1" applyFill="1" applyBorder="1" applyAlignment="1">
      <alignment horizontal="center" vertical="center"/>
    </xf>
    <xf numFmtId="0" fontId="23" fillId="0" borderId="0" xfId="0" applyFont="1" applyFill="1" applyBorder="1"/>
    <xf numFmtId="0" fontId="24" fillId="0" borderId="0" xfId="0" applyFont="1" applyBorder="1" applyAlignment="1">
      <alignment horizontal="center"/>
    </xf>
    <xf numFmtId="0" fontId="25" fillId="0" borderId="0" xfId="0" applyFont="1" applyBorder="1" applyAlignment="1">
      <alignment horizontal="center" wrapText="1"/>
    </xf>
    <xf numFmtId="0" fontId="23" fillId="0" borderId="0" xfId="0" applyFont="1" applyBorder="1" applyAlignment="1">
      <alignment horizontal="center" vertical="center"/>
    </xf>
    <xf numFmtId="0" fontId="23" fillId="0" borderId="0" xfId="0" applyFont="1" applyAlignment="1">
      <alignment horizontal="center"/>
    </xf>
    <xf numFmtId="0" fontId="23" fillId="0" borderId="0" xfId="0" applyFont="1" applyFill="1" applyAlignment="1">
      <alignment horizontal="center" vertical="center"/>
    </xf>
    <xf numFmtId="0" fontId="19" fillId="0" borderId="0" xfId="0" quotePrefix="1" applyFont="1"/>
    <xf numFmtId="0" fontId="5" fillId="2" borderId="1" xfId="0" applyFont="1" applyFill="1" applyBorder="1" applyAlignment="1" applyProtection="1">
      <alignment horizontal="center" vertical="center" wrapText="1"/>
      <protection locked="0"/>
    </xf>
    <xf numFmtId="0" fontId="0" fillId="0" borderId="0" xfId="0" applyBorder="1" applyAlignment="1">
      <alignment horizontal="right"/>
    </xf>
    <xf numFmtId="0" fontId="0" fillId="0" borderId="0" xfId="0" applyBorder="1" applyAlignment="1">
      <alignment horizontal="center"/>
    </xf>
    <xf numFmtId="0" fontId="0" fillId="0" borderId="7" xfId="0" applyBorder="1" applyAlignment="1"/>
    <xf numFmtId="0" fontId="0" fillId="0" borderId="25"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1" xfId="0" applyBorder="1" applyAlignment="1">
      <alignment horizontal="right"/>
    </xf>
    <xf numFmtId="0" fontId="0" fillId="0" borderId="0" xfId="0" applyFont="1" applyAlignment="1">
      <alignment vertical="center" wrapText="1"/>
    </xf>
    <xf numFmtId="0" fontId="0" fillId="2" borderId="1"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protection locked="0"/>
    </xf>
    <xf numFmtId="0" fontId="23" fillId="0" borderId="0" xfId="0" applyFont="1" applyAlignment="1">
      <alignment horizontal="left" vertical="center"/>
    </xf>
    <xf numFmtId="0" fontId="18" fillId="0" borderId="0" xfId="0" applyFont="1" applyAlignment="1">
      <alignment horizontal="center"/>
    </xf>
    <xf numFmtId="0" fontId="0" fillId="0" borderId="0" xfId="0" applyAlignment="1">
      <alignment horizontal="left" wrapText="1"/>
    </xf>
    <xf numFmtId="0" fontId="5" fillId="0" borderId="0" xfId="0" applyFont="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center"/>
    </xf>
    <xf numFmtId="0" fontId="3" fillId="0" borderId="0" xfId="0" applyFont="1" applyAlignment="1">
      <alignment horizontal="left" wrapText="1"/>
    </xf>
    <xf numFmtId="0" fontId="0" fillId="0" borderId="0" xfId="0" applyAlignment="1">
      <alignment horizontal="left" vertical="center" wrapText="1"/>
    </xf>
    <xf numFmtId="0" fontId="0" fillId="0" borderId="1" xfId="0" applyFont="1" applyBorder="1" applyAlignment="1">
      <alignment horizontal="left" wrapText="1"/>
    </xf>
    <xf numFmtId="0" fontId="0" fillId="2" borderId="1" xfId="0" applyFill="1" applyBorder="1" applyAlignment="1" applyProtection="1">
      <alignment horizontal="center"/>
      <protection locked="0"/>
    </xf>
    <xf numFmtId="0" fontId="0" fillId="2" borderId="1" xfId="0" applyFont="1" applyFill="1" applyBorder="1" applyAlignment="1" applyProtection="1">
      <alignment horizontal="center"/>
      <protection locked="0"/>
    </xf>
    <xf numFmtId="0" fontId="11" fillId="0" borderId="0" xfId="0" applyFont="1" applyAlignment="1">
      <alignment horizontal="left" wrapText="1"/>
    </xf>
    <xf numFmtId="0" fontId="11" fillId="0" borderId="0" xfId="0" applyFont="1" applyAlignment="1">
      <alignment horizontal="left" vertical="top" wrapText="1"/>
    </xf>
    <xf numFmtId="0" fontId="0" fillId="0" borderId="1" xfId="0" applyBorder="1" applyAlignment="1">
      <alignment horizontal="left" wrapText="1"/>
    </xf>
    <xf numFmtId="0" fontId="11" fillId="0" borderId="0" xfId="0" applyFont="1" applyAlignment="1">
      <alignment horizontal="left"/>
    </xf>
    <xf numFmtId="0" fontId="0" fillId="0" borderId="0" xfId="0" applyBorder="1" applyAlignment="1" applyProtection="1">
      <alignment horizontal="left"/>
      <protection locked="0"/>
    </xf>
    <xf numFmtId="0" fontId="0" fillId="0" borderId="4" xfId="0" applyBorder="1" applyAlignment="1" applyProtection="1">
      <alignment horizontal="left"/>
      <protection locked="0"/>
    </xf>
    <xf numFmtId="0" fontId="0" fillId="0" borderId="0"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0" xfId="0" applyBorder="1" applyAlignment="1" applyProtection="1">
      <alignment horizontal="right" wrapText="1"/>
      <protection locked="0"/>
    </xf>
    <xf numFmtId="0" fontId="0" fillId="0" borderId="4" xfId="0" applyBorder="1" applyAlignment="1" applyProtection="1">
      <alignment horizontal="right" wrapText="1"/>
      <protection locked="0"/>
    </xf>
    <xf numFmtId="0" fontId="0" fillId="0" borderId="0" xfId="0" applyAlignment="1">
      <alignment horizontal="right" wrapText="1"/>
    </xf>
    <xf numFmtId="0" fontId="0" fillId="0" borderId="4" xfId="0" applyBorder="1" applyAlignment="1">
      <alignment horizontal="right" wrapText="1"/>
    </xf>
    <xf numFmtId="0" fontId="0" fillId="0" borderId="15" xfId="0" applyBorder="1" applyAlignment="1">
      <alignment horizontal="right" wrapText="1"/>
    </xf>
    <xf numFmtId="0" fontId="0" fillId="0" borderId="0" xfId="0" applyAlignment="1">
      <alignment wrapText="1"/>
    </xf>
    <xf numFmtId="0" fontId="0" fillId="0" borderId="4" xfId="0" applyBorder="1" applyAlignment="1">
      <alignment wrapText="1"/>
    </xf>
    <xf numFmtId="0" fontId="0" fillId="2" borderId="6" xfId="0"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2" xfId="0" applyFont="1" applyFill="1" applyBorder="1" applyAlignment="1" applyProtection="1">
      <alignment horizontal="center"/>
      <protection locked="0"/>
    </xf>
    <xf numFmtId="0" fontId="0" fillId="2" borderId="5" xfId="0" applyFont="1" applyFill="1" applyBorder="1" applyAlignment="1" applyProtection="1">
      <alignment horizontal="center"/>
      <protection locked="0"/>
    </xf>
    <xf numFmtId="0" fontId="0" fillId="2" borderId="7" xfId="0" applyFont="1" applyFill="1" applyBorder="1" applyAlignment="1" applyProtection="1">
      <alignment horizontal="left"/>
      <protection locked="0"/>
    </xf>
    <xf numFmtId="0" fontId="5" fillId="0" borderId="0" xfId="0" applyFont="1" applyFill="1" applyAlignment="1">
      <alignment horizontal="left" wrapText="1"/>
    </xf>
    <xf numFmtId="0" fontId="5" fillId="0" borderId="0" xfId="0" applyFont="1" applyFill="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Alignment="1">
      <alignment horizontal="left" wrapText="1"/>
    </xf>
    <xf numFmtId="0" fontId="11" fillId="0" borderId="0" xfId="0" applyFont="1" applyBorder="1" applyAlignment="1">
      <alignment horizontal="right" wrapText="1"/>
    </xf>
    <xf numFmtId="0" fontId="11" fillId="0" borderId="4" xfId="0" applyFont="1" applyBorder="1" applyAlignment="1">
      <alignment horizontal="right" wrapText="1"/>
    </xf>
    <xf numFmtId="0" fontId="5" fillId="0" borderId="0" xfId="0" applyFont="1" applyBorder="1" applyAlignment="1">
      <alignment horizontal="left" wrapText="1"/>
    </xf>
    <xf numFmtId="0" fontId="13" fillId="0" borderId="0" xfId="0" applyFont="1" applyAlignment="1">
      <alignment horizontal="left" wrapText="1"/>
    </xf>
    <xf numFmtId="0" fontId="5" fillId="0" borderId="4" xfId="0" applyFont="1" applyBorder="1" applyAlignment="1">
      <alignment horizontal="left"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11" fillId="0" borderId="0" xfId="0" applyFont="1" applyFill="1" applyAlignment="1">
      <alignment horizontal="left" wrapText="1"/>
    </xf>
    <xf numFmtId="0" fontId="0" fillId="0" borderId="0" xfId="0" applyFont="1" applyAlignment="1">
      <alignment horizontal="left" wrapText="1"/>
    </xf>
    <xf numFmtId="0" fontId="0" fillId="0" borderId="4" xfId="0" applyFont="1" applyBorder="1" applyAlignment="1">
      <alignment horizontal="left" wrapText="1"/>
    </xf>
    <xf numFmtId="0" fontId="5" fillId="0" borderId="0" xfId="0" applyFont="1" applyAlignment="1">
      <alignment wrapText="1"/>
    </xf>
    <xf numFmtId="0" fontId="5" fillId="0" borderId="0" xfId="0" applyFont="1" applyFill="1" applyAlignment="1">
      <alignment wrapText="1"/>
    </xf>
    <xf numFmtId="0" fontId="0" fillId="0" borderId="6" xfId="0" applyBorder="1" applyAlignment="1">
      <alignment horizontal="left" wrapText="1"/>
    </xf>
    <xf numFmtId="0" fontId="0" fillId="0" borderId="21"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 xfId="0" applyBorder="1" applyAlignment="1">
      <alignment horizontal="right"/>
    </xf>
    <xf numFmtId="0" fontId="0" fillId="0" borderId="1" xfId="0" applyBorder="1" applyAlignment="1">
      <alignment horizontal="right" vertical="center" wrapText="1"/>
    </xf>
  </cellXfs>
  <cellStyles count="4">
    <cellStyle name="Comma" xfId="2" builtinId="3"/>
    <cellStyle name="Currency" xfId="3" builtinId="4"/>
    <cellStyle name="Normal" xfId="0" builtinId="0"/>
    <cellStyle name="Percent" xfId="1" builtinId="5"/>
  </cellStyles>
  <dxfs count="6">
    <dxf>
      <fill>
        <patternFill>
          <bgColor theme="6" tint="0.59996337778862885"/>
        </patternFill>
      </fill>
    </dxf>
    <dxf>
      <font>
        <color theme="0"/>
      </font>
    </dxf>
    <dxf>
      <fill>
        <patternFill>
          <bgColor theme="6" tint="0.59996337778862885"/>
        </patternFill>
      </fill>
    </dxf>
    <dxf>
      <font>
        <color theme="0"/>
      </font>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s>
  <tableStyles count="0" defaultTableStyle="TableStyleMedium9" defaultPivotStyle="PivotStyleLight16"/>
  <colors>
    <mruColors>
      <color rgb="FF00CC66"/>
      <color rgb="FF00FF99"/>
      <color rgb="FFCCCC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theme" Target="theme/theme1.xml"/><Relationship Id="rId5" Type="http://schemas.openxmlformats.org/officeDocument/2006/relationships/chartsheet" Target="chartsheets/sheet1.xml"/><Relationship Id="rId15" Type="http://schemas.openxmlformats.org/officeDocument/2006/relationships/customXml" Target="../customXml/item1.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c:lang val="en-CA"/>
  <c:chart>
    <c:plotArea>
      <c:layout/>
      <c:radarChart>
        <c:radarStyle val="marker"/>
        <c:ser>
          <c:idx val="0"/>
          <c:order val="0"/>
          <c:marker>
            <c:symbol val="none"/>
          </c:marker>
          <c:cat>
            <c:strRef>
              <c:f>Data_Summary!$B$3:$B$22</c:f>
              <c:strCache>
                <c:ptCount val="20"/>
                <c:pt idx="0">
                  <c:v>Local Government</c:v>
                </c:pt>
                <c:pt idx="1">
                  <c:v>Leadership Development</c:v>
                </c:pt>
                <c:pt idx="2">
                  <c:v>Operational Strength</c:v>
                </c:pt>
                <c:pt idx="3">
                  <c:v>Community Support</c:v>
                </c:pt>
                <c:pt idx="4">
                  <c:v>Growth Capacity</c:v>
                </c:pt>
                <c:pt idx="5">
                  <c:v>Chambers of Commerce/ Business Associations</c:v>
                </c:pt>
                <c:pt idx="6">
                  <c:v>Downtown Organization</c:v>
                </c:pt>
                <c:pt idx="7">
                  <c:v>Community Marketing Program</c:v>
                </c:pt>
                <c:pt idx="8">
                  <c:v>Business Attraction and Retention Program</c:v>
                </c:pt>
                <c:pt idx="9">
                  <c:v>CEDO</c:v>
                </c:pt>
                <c:pt idx="10">
                  <c:v>Basic Infrastructure</c:v>
                </c:pt>
                <c:pt idx="11">
                  <c:v>Transportation Infrastructure</c:v>
                </c:pt>
                <c:pt idx="12">
                  <c:v>Financial Infrastructure</c:v>
                </c:pt>
                <c:pt idx="13">
                  <c:v>Industrial Site</c:v>
                </c:pt>
                <c:pt idx="14">
                  <c:v>ICT Infrastructure</c:v>
                </c:pt>
                <c:pt idx="15">
                  <c:v>Vision</c:v>
                </c:pt>
                <c:pt idx="16">
                  <c:v>Economic Development Plan</c:v>
                </c:pt>
                <c:pt idx="17">
                  <c:v>Comprehensive Land Use Plan</c:v>
                </c:pt>
                <c:pt idx="18">
                  <c:v>Industrial Development Plan</c:v>
                </c:pt>
                <c:pt idx="19">
                  <c:v>Education and Training Plan</c:v>
                </c:pt>
              </c:strCache>
            </c:strRef>
          </c:cat>
          <c:val>
            <c:numRef>
              <c:f>Data_Summary!$D$3:$D$22</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1"/>
        </c:ser>
        <c:axId val="185109888"/>
        <c:axId val="185119872"/>
      </c:radarChart>
      <c:catAx>
        <c:axId val="185109888"/>
        <c:scaling>
          <c:orientation val="minMax"/>
        </c:scaling>
        <c:axPos val="b"/>
        <c:majorGridlines/>
        <c:tickLblPos val="nextTo"/>
        <c:crossAx val="185119872"/>
        <c:crosses val="autoZero"/>
        <c:auto val="1"/>
        <c:lblAlgn val="ctr"/>
        <c:lblOffset val="100"/>
      </c:catAx>
      <c:valAx>
        <c:axId val="185119872"/>
        <c:scaling>
          <c:orientation val="minMax"/>
          <c:max val="1"/>
          <c:min val="0"/>
        </c:scaling>
        <c:axPos val="l"/>
        <c:majorGridlines/>
        <c:numFmt formatCode="0%" sourceLinked="1"/>
        <c:majorTickMark val="cross"/>
        <c:tickLblPos val="nextTo"/>
        <c:crossAx val="185109888"/>
        <c:crosses val="autoZero"/>
        <c:crossBetween val="between"/>
        <c:majorUnit val="0.1"/>
      </c:valAx>
      <c:spPr>
        <a:blipFill dpi="0" rotWithShape="1">
          <a:blip xmlns:r="http://schemas.openxmlformats.org/officeDocument/2006/relationships" r:embed="rId1">
            <a:alphaModFix amt="40000"/>
          </a:blip>
          <a:srcRect/>
          <a:stretch>
            <a:fillRect/>
          </a:stretch>
        </a:blipFill>
      </c:spPr>
    </c:plotArea>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codeName="Chart4"/>
  <sheetViews>
    <sheetView zoomScale="122" workbookViewId="0" zoomToFit="1"/>
  </sheetViews>
  <customSheetViews>
    <customSheetView guid="{A056A992-68E5-4662-960B-7D9A27ACB891}" scale="116" zoomToFit="1"/>
  </custom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gov.mb.ca/index.html" TargetMode="Externa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571500</xdr:colOff>
      <xdr:row>5</xdr:row>
      <xdr:rowOff>9525</xdr:rowOff>
    </xdr:from>
    <xdr:to>
      <xdr:col>7</xdr:col>
      <xdr:colOff>257872</xdr:colOff>
      <xdr:row>7</xdr:row>
      <xdr:rowOff>152400</xdr:rowOff>
    </xdr:to>
    <xdr:pic>
      <xdr:nvPicPr>
        <xdr:cNvPr id="8193" name="Picture 1" descr="Government of Manitob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90700" y="962025"/>
          <a:ext cx="2734372" cy="5238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190500</xdr:colOff>
      <xdr:row>15</xdr:row>
      <xdr:rowOff>9525</xdr:rowOff>
    </xdr:from>
    <xdr:to>
      <xdr:col>18</xdr:col>
      <xdr:colOff>457200</xdr:colOff>
      <xdr:row>25</xdr:row>
      <xdr:rowOff>142875</xdr:rowOff>
    </xdr:to>
    <xdr:sp macro="" textlink="">
      <xdr:nvSpPr>
        <xdr:cNvPr id="2" name="Right Brace 1"/>
        <xdr:cNvSpPr/>
      </xdr:nvSpPr>
      <xdr:spPr>
        <a:xfrm>
          <a:off x="5391150" y="3771900"/>
          <a:ext cx="266700" cy="2609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27</xdr:row>
      <xdr:rowOff>9525</xdr:rowOff>
    </xdr:from>
    <xdr:to>
      <xdr:col>1</xdr:col>
      <xdr:colOff>342900</xdr:colOff>
      <xdr:row>28</xdr:row>
      <xdr:rowOff>180975</xdr:rowOff>
    </xdr:to>
    <xdr:sp macro="" textlink="">
      <xdr:nvSpPr>
        <xdr:cNvPr id="2" name="Right Brace 1"/>
        <xdr:cNvSpPr/>
      </xdr:nvSpPr>
      <xdr:spPr>
        <a:xfrm>
          <a:off x="1000125" y="5953125"/>
          <a:ext cx="285750" cy="3619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1</xdr:col>
      <xdr:colOff>57150</xdr:colOff>
      <xdr:row>30</xdr:row>
      <xdr:rowOff>9525</xdr:rowOff>
    </xdr:from>
    <xdr:to>
      <xdr:col>1</xdr:col>
      <xdr:colOff>342900</xdr:colOff>
      <xdr:row>31</xdr:row>
      <xdr:rowOff>180975</xdr:rowOff>
    </xdr:to>
    <xdr:sp macro="" textlink="">
      <xdr:nvSpPr>
        <xdr:cNvPr id="3" name="Right Brace 2"/>
        <xdr:cNvSpPr/>
      </xdr:nvSpPr>
      <xdr:spPr>
        <a:xfrm>
          <a:off x="1000125" y="6524625"/>
          <a:ext cx="285750" cy="3619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wsDr>
</file>

<file path=xl/drawings/drawing4.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codeName="Sheet4"/>
  <dimension ref="A5:I45"/>
  <sheetViews>
    <sheetView showGridLines="0" showRowColHeaders="0" tabSelected="1" showRuler="0" view="pageLayout" topLeftCell="A4" zoomScaleNormal="100" workbookViewId="0">
      <selection activeCell="A5" sqref="A5"/>
    </sheetView>
  </sheetViews>
  <sheetFormatPr defaultRowHeight="15"/>
  <cols>
    <col min="1" max="1" width="4.28515625" customWidth="1"/>
    <col min="10" max="10" width="4.28515625" customWidth="1"/>
  </cols>
  <sheetData>
    <row r="5" spans="2:9">
      <c r="D5" s="106"/>
    </row>
    <row r="10" spans="2:9" ht="18.75">
      <c r="B10" s="155" t="s">
        <v>792</v>
      </c>
      <c r="C10" s="155"/>
      <c r="D10" s="155"/>
      <c r="E10" s="155"/>
      <c r="F10" s="155"/>
      <c r="G10" s="155"/>
      <c r="H10" s="155"/>
      <c r="I10" s="155"/>
    </row>
    <row r="12" spans="2:9">
      <c r="B12" s="49" t="s">
        <v>894</v>
      </c>
    </row>
    <row r="14" spans="2:9">
      <c r="B14" s="156" t="s">
        <v>893</v>
      </c>
      <c r="C14" s="156"/>
      <c r="D14" s="156"/>
      <c r="E14" s="156"/>
      <c r="F14" s="156"/>
      <c r="G14" s="156"/>
      <c r="H14" s="156"/>
      <c r="I14" s="156"/>
    </row>
    <row r="15" spans="2:9" ht="30" customHeight="1">
      <c r="B15" s="156"/>
      <c r="C15" s="156"/>
      <c r="D15" s="156"/>
      <c r="E15" s="156"/>
      <c r="F15" s="156"/>
      <c r="G15" s="156"/>
      <c r="H15" s="156"/>
      <c r="I15" s="156"/>
    </row>
    <row r="17" spans="2:9" ht="30" customHeight="1">
      <c r="B17" s="156" t="s">
        <v>793</v>
      </c>
      <c r="C17" s="156"/>
      <c r="D17" s="156"/>
      <c r="E17" s="156"/>
      <c r="F17" s="156"/>
      <c r="G17" s="156"/>
      <c r="H17" s="156"/>
      <c r="I17" s="156"/>
    </row>
    <row r="33" spans="1:9">
      <c r="C33" t="s">
        <v>834</v>
      </c>
      <c r="E33" s="130" t="s">
        <v>970</v>
      </c>
    </row>
    <row r="36" spans="1:9" ht="15" customHeight="1">
      <c r="B36" s="157" t="s">
        <v>795</v>
      </c>
      <c r="C36" s="157"/>
      <c r="D36" s="157"/>
      <c r="E36" s="157"/>
      <c r="F36" s="157"/>
      <c r="G36" s="157"/>
      <c r="H36" s="157"/>
      <c r="I36" s="157"/>
    </row>
    <row r="37" spans="1:9">
      <c r="B37" s="157"/>
      <c r="C37" s="157"/>
      <c r="D37" s="157"/>
      <c r="E37" s="157"/>
      <c r="F37" s="157"/>
      <c r="G37" s="157"/>
      <c r="H37" s="157"/>
      <c r="I37" s="157"/>
    </row>
    <row r="38" spans="1:9">
      <c r="B38" s="157"/>
      <c r="C38" s="157"/>
      <c r="D38" s="157"/>
      <c r="E38" s="157"/>
      <c r="F38" s="157"/>
      <c r="G38" s="157"/>
      <c r="H38" s="157"/>
      <c r="I38" s="157"/>
    </row>
    <row r="39" spans="1:9">
      <c r="B39" s="157"/>
      <c r="C39" s="157"/>
      <c r="D39" s="157"/>
      <c r="E39" s="157"/>
      <c r="F39" s="157"/>
      <c r="G39" s="157"/>
      <c r="H39" s="157"/>
      <c r="I39" s="157"/>
    </row>
    <row r="40" spans="1:9">
      <c r="B40" s="157"/>
      <c r="C40" s="157"/>
      <c r="D40" s="157"/>
      <c r="E40" s="157"/>
      <c r="F40" s="157"/>
      <c r="G40" s="157"/>
      <c r="H40" s="157"/>
      <c r="I40" s="157"/>
    </row>
    <row r="44" spans="1:9">
      <c r="H44" s="129"/>
    </row>
    <row r="45" spans="1:9">
      <c r="A45" s="3" t="s">
        <v>895</v>
      </c>
    </row>
  </sheetData>
  <mergeCells count="4">
    <mergeCell ref="B10:I10"/>
    <mergeCell ref="B17:I17"/>
    <mergeCell ref="B36:I40"/>
    <mergeCell ref="B14:I15"/>
  </mergeCell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sheetPr codeName="Sheet1"/>
  <dimension ref="A1:AA726"/>
  <sheetViews>
    <sheetView showGridLines="0" showRuler="0" zoomScaleNormal="100" zoomScaleSheetLayoutView="75" workbookViewId="0">
      <selection activeCell="A2" sqref="A2"/>
    </sheetView>
  </sheetViews>
  <sheetFormatPr defaultRowHeight="15"/>
  <cols>
    <col min="1" max="1" width="11.7109375" style="5" customWidth="1"/>
    <col min="2" max="4" width="9.140625" style="5"/>
    <col min="5" max="6" width="11.42578125" style="5" customWidth="1"/>
    <col min="7" max="7" width="12.7109375" style="5" customWidth="1"/>
    <col min="8" max="8" width="4.5703125" style="131" customWidth="1"/>
    <col min="9" max="9" width="4.5703125" style="132" hidden="1" customWidth="1"/>
    <col min="10" max="10" width="4.5703125" style="131" hidden="1" customWidth="1"/>
    <col min="11" max="13" width="9.140625" style="4" hidden="1" customWidth="1"/>
    <col min="14" max="18" width="9.140625" style="5" hidden="1" customWidth="1"/>
    <col min="19" max="16384" width="9.140625" style="5"/>
  </cols>
  <sheetData>
    <row r="1" spans="1:27" ht="18.75">
      <c r="A1" s="48" t="s">
        <v>29</v>
      </c>
      <c r="K1" s="113" t="s">
        <v>831</v>
      </c>
      <c r="L1" s="113" t="s">
        <v>832</v>
      </c>
      <c r="M1" s="113">
        <v>1</v>
      </c>
      <c r="N1" s="114" t="s">
        <v>156</v>
      </c>
      <c r="O1" s="113"/>
      <c r="P1" s="113"/>
      <c r="Q1" s="113"/>
      <c r="R1" s="113"/>
      <c r="S1" s="161" t="s">
        <v>927</v>
      </c>
      <c r="T1" s="161"/>
      <c r="U1" s="161"/>
      <c r="V1" s="161"/>
      <c r="W1" s="161"/>
      <c r="X1" s="161"/>
      <c r="Y1" s="161"/>
      <c r="Z1" s="161"/>
      <c r="AA1" s="161"/>
    </row>
    <row r="2" spans="1:27">
      <c r="K2" s="113">
        <v>2011</v>
      </c>
      <c r="L2" s="113">
        <f>IF($E$53="Yr 1",2011,IF($E$53&gt;2011,"",2011))</f>
        <v>2011</v>
      </c>
      <c r="M2" s="113">
        <v>2</v>
      </c>
      <c r="N2" s="113"/>
      <c r="O2" s="113"/>
      <c r="P2" s="113">
        <v>0</v>
      </c>
      <c r="Q2" s="113"/>
      <c r="R2" s="113"/>
      <c r="S2" s="113"/>
    </row>
    <row r="3" spans="1:27">
      <c r="A3" t="s">
        <v>20</v>
      </c>
      <c r="B3" s="182"/>
      <c r="C3" s="183"/>
      <c r="D3" s="63"/>
      <c r="E3" s="54" t="s">
        <v>592</v>
      </c>
      <c r="F3" s="182"/>
      <c r="G3" s="186"/>
      <c r="K3" s="113">
        <v>2010</v>
      </c>
      <c r="L3" s="113">
        <f>IF($E$53="Yr 1",2010,IF($E$53&gt;2010,"",2010))</f>
        <v>2010</v>
      </c>
      <c r="M3" s="113">
        <v>3</v>
      </c>
      <c r="N3" s="113" t="s">
        <v>18</v>
      </c>
      <c r="O3" s="113"/>
      <c r="P3" s="113">
        <v>1</v>
      </c>
      <c r="Q3" s="113"/>
      <c r="R3" s="113" t="s">
        <v>158</v>
      </c>
      <c r="S3" s="160" t="s">
        <v>914</v>
      </c>
      <c r="T3" s="160"/>
      <c r="U3" s="160"/>
      <c r="V3" s="160"/>
      <c r="W3" s="160"/>
      <c r="X3" s="160"/>
      <c r="Y3" s="160"/>
      <c r="Z3" s="160"/>
      <c r="AA3" s="160"/>
    </row>
    <row r="4" spans="1:27" ht="37.5" customHeight="1">
      <c r="B4" s="61" t="str">
        <f>Sheet1!B1</f>
        <v>MMF Region</v>
      </c>
      <c r="C4" s="61" t="str">
        <f>Sheet1!C1</f>
        <v>RHA Region</v>
      </c>
      <c r="D4" s="61" t="str">
        <f>Sheet1!D1</f>
        <v>RDC Region</v>
      </c>
      <c r="E4" s="61" t="str">
        <f>Sheet1!E1</f>
        <v>CFDC Region</v>
      </c>
      <c r="F4" s="61" t="str">
        <f>Sheet1!F1</f>
        <v>Treaty Area</v>
      </c>
      <c r="G4" s="61" t="str">
        <f>Sheet1!G1</f>
        <v>Tribal Council</v>
      </c>
      <c r="K4" s="113">
        <v>2009</v>
      </c>
      <c r="L4" s="113">
        <f>IF($E$53="Yr 1",2009,IF($E$53&gt;2009,"",2009))</f>
        <v>2009</v>
      </c>
      <c r="M4" s="113">
        <v>4</v>
      </c>
      <c r="N4" s="113" t="s">
        <v>153</v>
      </c>
      <c r="O4" s="113"/>
      <c r="P4" s="113">
        <v>2</v>
      </c>
      <c r="Q4" s="113"/>
      <c r="R4" s="113" t="s">
        <v>159</v>
      </c>
      <c r="S4" s="160"/>
      <c r="T4" s="160"/>
      <c r="U4" s="160"/>
      <c r="V4" s="160"/>
      <c r="W4" s="160"/>
      <c r="X4" s="160"/>
      <c r="Y4" s="160"/>
      <c r="Z4" s="160"/>
      <c r="AA4" s="160"/>
    </row>
    <row r="5" spans="1:27" ht="30" customHeight="1">
      <c r="A5" s="59" t="s">
        <v>65</v>
      </c>
      <c r="B5" s="60" t="e">
        <f>IF($B$3=Sheet1!$A$380,N12,VLOOKUP($B$3,Sheet1!$A$2:$G379,2,0))</f>
        <v>#N/A</v>
      </c>
      <c r="C5" s="60" t="e">
        <f>IF($B$3=Sheet1!$A$380,N12,VLOOKUP($B$3,Sheet1!$A$2:$G379,3,0))</f>
        <v>#N/A</v>
      </c>
      <c r="D5" s="60" t="e">
        <f>IF($B$3=Sheet1!$A$380,N12,VLOOKUP($B$3,Sheet1!$A$2:$G379,4,0))</f>
        <v>#N/A</v>
      </c>
      <c r="E5" s="60" t="e">
        <f>IF($B$3=Sheet1!$A$380,N12,VLOOKUP($B$3,Sheet1!$A$2:$G379,5,0))</f>
        <v>#N/A</v>
      </c>
      <c r="F5" s="60" t="e">
        <f>IF($B$3=Sheet1!$A$380,N12,VLOOKUP($B$3,Sheet1!$A$2:$G379,6,0))</f>
        <v>#N/A</v>
      </c>
      <c r="G5" s="109" t="e">
        <f>IF($B$3=Sheet1!$A$380,N12,VLOOKUP($B$3,Sheet1!$A$2:$G379,7,0))</f>
        <v>#N/A</v>
      </c>
      <c r="K5" s="113">
        <v>2008</v>
      </c>
      <c r="L5" s="113">
        <f>IF($E$53="Yr 1",2008,IF($E$53&gt;2008,"",2008))</f>
        <v>2008</v>
      </c>
      <c r="M5" s="113">
        <v>5</v>
      </c>
      <c r="N5" s="113" t="s">
        <v>154</v>
      </c>
      <c r="O5" s="113"/>
      <c r="P5" s="113">
        <v>3</v>
      </c>
      <c r="Q5" s="113"/>
      <c r="R5" s="113" t="s">
        <v>21</v>
      </c>
      <c r="S5" s="113"/>
    </row>
    <row r="6" spans="1:27">
      <c r="A6" s="5" t="s">
        <v>18</v>
      </c>
      <c r="C6" s="184"/>
      <c r="D6" s="185"/>
      <c r="F6" s="51"/>
      <c r="G6" s="110"/>
      <c r="K6" s="113">
        <v>2007</v>
      </c>
      <c r="L6" s="113">
        <f>IF($E$53="Yr 1",2007,IF($E$53&gt;2007,"",2007))</f>
        <v>2007</v>
      </c>
      <c r="M6" s="113">
        <v>6</v>
      </c>
      <c r="N6" s="113" t="s">
        <v>155</v>
      </c>
      <c r="O6" s="113"/>
      <c r="P6" s="113">
        <v>4</v>
      </c>
      <c r="Q6" s="113"/>
      <c r="R6" s="113"/>
      <c r="S6" s="113"/>
    </row>
    <row r="7" spans="1:27">
      <c r="C7" s="27"/>
      <c r="D7" s="27"/>
      <c r="K7" s="113">
        <v>2006</v>
      </c>
      <c r="L7" s="113">
        <f>IF($E$53="Yr 1",2006,IF($E$53&gt;2006,"",2006))</f>
        <v>2006</v>
      </c>
      <c r="M7" s="113">
        <v>7</v>
      </c>
      <c r="N7" s="113"/>
      <c r="O7" s="113"/>
      <c r="P7" s="113">
        <v>5</v>
      </c>
      <c r="Q7" s="113"/>
      <c r="R7" s="113" t="s">
        <v>161</v>
      </c>
      <c r="S7" s="113"/>
    </row>
    <row r="8" spans="1:27">
      <c r="A8" s="170" t="s">
        <v>19</v>
      </c>
      <c r="B8" s="170"/>
      <c r="K8" s="113">
        <v>2005</v>
      </c>
      <c r="L8" s="113">
        <f>IF($E$53="Yr 1",2005,IF($E$53&gt;2005,"",2005))</f>
        <v>2005</v>
      </c>
      <c r="M8" s="113">
        <v>8</v>
      </c>
      <c r="N8" s="113" t="s">
        <v>30</v>
      </c>
      <c r="O8" s="113"/>
      <c r="P8" s="113">
        <v>6</v>
      </c>
      <c r="Q8" s="113"/>
      <c r="R8" s="113" t="s">
        <v>162</v>
      </c>
      <c r="S8" s="113"/>
    </row>
    <row r="9" spans="1:27" ht="30">
      <c r="B9" s="4">
        <v>1996</v>
      </c>
      <c r="C9" s="4">
        <v>2001</v>
      </c>
      <c r="D9" s="4">
        <v>2006</v>
      </c>
      <c r="E9" s="14" t="s">
        <v>28</v>
      </c>
      <c r="K9" s="113">
        <v>2004</v>
      </c>
      <c r="L9" s="113">
        <f>IF($E$53="Yr 1",2004,IF($E$53&gt;2004,"",2004))</f>
        <v>2004</v>
      </c>
      <c r="M9" s="113">
        <v>9</v>
      </c>
      <c r="N9" s="113" t="s">
        <v>21</v>
      </c>
      <c r="O9" s="113"/>
      <c r="P9" s="113">
        <v>7</v>
      </c>
      <c r="Q9" s="113"/>
      <c r="R9" s="113" t="s">
        <v>163</v>
      </c>
      <c r="S9" s="160" t="s">
        <v>926</v>
      </c>
      <c r="T9" s="160"/>
      <c r="U9" s="160"/>
      <c r="V9" s="160"/>
      <c r="W9" s="160"/>
      <c r="X9" s="160"/>
      <c r="Y9" s="160"/>
      <c r="Z9" s="160"/>
      <c r="AA9" s="160"/>
    </row>
    <row r="10" spans="1:27" ht="30" customHeight="1">
      <c r="A10" s="88" t="s">
        <v>20</v>
      </c>
      <c r="B10" s="90" t="e">
        <f>IF(NOT(VLOOKUP($B$3,'c1996'!$A$2:$T$434,20,0)=0),VLOOKUP($B$3,'c1996'!$U$12:$V$74,2,0),IF($B$3='c1996'!$A$436,N12,IF(VLOOKUP($B$3,'c1996'!$A$2:$B435,2,0)="","",VLOOKUP($B$3,'c1996'!$A$2:$B435,2,0))))</f>
        <v>#N/A</v>
      </c>
      <c r="C10" s="90" t="e">
        <f>IF(NOT(VLOOKUP($B$3,'c2001'!$A$2:$T$432,20,0)=0),VLOOKUP($B$3,'c2001'!$U$12:$V$74,2,0),IF($B$3='c2001'!$A$434,N12,IF(VLOOKUP($B$3,'c2001'!$A$2:$B433,2,0)="","",VLOOKUP($B$3,'c2001'!$A$2:$B433,2,0))))</f>
        <v>#N/A</v>
      </c>
      <c r="D10" s="90" t="e">
        <f>IF(NOT(VLOOKUP($B$3,'c2006'!$A$2:$T$430,20,0)=0),VLOOKUP($B$3,'c2006'!$U$12:$V$74,2,0),IF($B$3='c2006'!$A$432,N12,IF(VLOOKUP($B$3,'c2006'!$A$2:$B431,2,0)="","",VLOOKUP($B$3,'c2006'!$A$2:$B431,2,0))))</f>
        <v>#N/A</v>
      </c>
      <c r="E10" s="89" t="str">
        <f>IF(ISNUMBER(B10),IF(ISNUMBER(D10),((D10-B10)/B10),""),IF(ISNUMBER(C10),IF(ISNUMBER(D10),((D10-C10)/C10),""),""))</f>
        <v/>
      </c>
      <c r="K10" s="113">
        <v>2003</v>
      </c>
      <c r="L10" s="113">
        <f>IF($E$53="Yr 1",2003,IF($E$53&gt;2003,"",2003))</f>
        <v>2003</v>
      </c>
      <c r="M10" s="113">
        <v>10</v>
      </c>
      <c r="N10" s="113" t="s">
        <v>31</v>
      </c>
      <c r="O10" s="113"/>
      <c r="P10" s="113">
        <v>8</v>
      </c>
      <c r="Q10" s="113"/>
      <c r="R10" s="113"/>
      <c r="S10" s="160"/>
      <c r="T10" s="160"/>
      <c r="U10" s="160"/>
      <c r="V10" s="160"/>
      <c r="W10" s="160"/>
      <c r="X10" s="160"/>
      <c r="Y10" s="160"/>
      <c r="Z10" s="160"/>
      <c r="AA10" s="160"/>
    </row>
    <row r="11" spans="1:27" ht="15" customHeight="1">
      <c r="A11" s="25"/>
      <c r="B11" s="65"/>
      <c r="C11" s="65"/>
      <c r="D11" s="65"/>
      <c r="E11" s="64"/>
      <c r="K11" s="113">
        <v>2002</v>
      </c>
      <c r="L11" s="113">
        <f>IF($E$53="Yr 1",2002,IF($E$53&gt;2002,"",2002))</f>
        <v>2002</v>
      </c>
      <c r="M11" s="113">
        <v>11</v>
      </c>
      <c r="N11" s="113"/>
      <c r="O11" s="113"/>
      <c r="P11" s="113">
        <v>9</v>
      </c>
      <c r="Q11" s="113"/>
      <c r="R11" s="113"/>
      <c r="S11" s="162" t="s">
        <v>913</v>
      </c>
      <c r="T11" s="162"/>
      <c r="U11" s="162"/>
      <c r="V11" s="162"/>
      <c r="W11" s="162"/>
      <c r="X11" s="162"/>
      <c r="Y11" s="162"/>
      <c r="Z11" s="162"/>
      <c r="AA11" s="162"/>
    </row>
    <row r="12" spans="1:27" ht="15" customHeight="1">
      <c r="A12" s="177" t="s">
        <v>595</v>
      </c>
      <c r="B12" s="178"/>
      <c r="C12" s="85" t="e">
        <f>IF($B$3=Sheet1!$A$380,N12,VLOOKUP($B$3,Sheet2!$A$3:$G357,2,0))</f>
        <v>#N/A</v>
      </c>
      <c r="D12" s="179" t="s">
        <v>597</v>
      </c>
      <c r="E12" s="178"/>
      <c r="F12" s="119" t="e">
        <f>IF($B$3=Sheet1!$A$380,N12,VLOOKUP($B$3,Sheet2!$A$3:$G357,4,0))</f>
        <v>#N/A</v>
      </c>
      <c r="K12" s="113">
        <v>2001</v>
      </c>
      <c r="L12" s="113">
        <f>IF($E$53="Yr 1",2001,IF($E$53&gt;2001,"",2001))</f>
        <v>2001</v>
      </c>
      <c r="M12" s="113">
        <v>12</v>
      </c>
      <c r="N12" s="113" t="s">
        <v>786</v>
      </c>
      <c r="O12" s="142" t="s">
        <v>932</v>
      </c>
      <c r="P12" s="113">
        <v>10</v>
      </c>
      <c r="Q12" s="113"/>
      <c r="R12" s="113"/>
      <c r="S12" s="162"/>
      <c r="T12" s="162"/>
      <c r="U12" s="162"/>
      <c r="V12" s="162"/>
      <c r="W12" s="162"/>
      <c r="X12" s="162"/>
      <c r="Y12" s="162"/>
      <c r="Z12" s="162"/>
      <c r="AA12" s="162"/>
    </row>
    <row r="13" spans="1:27" ht="15" customHeight="1">
      <c r="A13" s="177" t="s">
        <v>596</v>
      </c>
      <c r="B13" s="178"/>
      <c r="C13" s="118" t="e">
        <f>IF($B$3=Sheet1!$A$380,N12,VLOOKUP($B$3,Sheet2!$A$3:$G357,3,0))</f>
        <v>#N/A</v>
      </c>
      <c r="D13" s="179" t="s">
        <v>713</v>
      </c>
      <c r="E13" s="178"/>
      <c r="F13" s="86" t="e">
        <f>IF($B$3=Sheet1!$A$380,N12,VLOOKUP($B$3,Sheet2!$A$3:$G357,5,0))</f>
        <v>#N/A</v>
      </c>
      <c r="G13" s="91"/>
      <c r="K13" s="113">
        <v>2000</v>
      </c>
      <c r="L13" s="113">
        <f>IF($E$53="Yr 1",2000,IF($E$53&gt;2000,"",2000))</f>
        <v>2000</v>
      </c>
      <c r="M13" s="113">
        <v>13</v>
      </c>
      <c r="N13" s="113"/>
      <c r="O13" s="113" t="s">
        <v>929</v>
      </c>
      <c r="P13" s="113"/>
      <c r="Q13" s="113"/>
      <c r="R13" s="113"/>
      <c r="S13" s="162"/>
      <c r="T13" s="162"/>
      <c r="U13" s="162"/>
      <c r="V13" s="162"/>
      <c r="W13" s="162"/>
      <c r="X13" s="162"/>
      <c r="Y13" s="162"/>
      <c r="Z13" s="162"/>
      <c r="AA13" s="162"/>
    </row>
    <row r="14" spans="1:27" ht="15" customHeight="1">
      <c r="A14" s="180" t="s">
        <v>714</v>
      </c>
      <c r="B14" s="181"/>
      <c r="C14" s="119" t="e">
        <f>IF($B$3=Sheet1!$A$380,N12,VLOOKUP($B$3,Sheet2!$A$3:$G357,6,0))</f>
        <v>#N/A</v>
      </c>
      <c r="K14" s="113">
        <v>1999</v>
      </c>
      <c r="L14" s="113">
        <f>IF($E$53="Yr 1",1999,IF($E$53&gt;1999,"",1999))</f>
        <v>1999</v>
      </c>
      <c r="M14" s="113">
        <v>14</v>
      </c>
      <c r="N14" s="113"/>
      <c r="O14" s="113" t="s">
        <v>930</v>
      </c>
      <c r="P14" s="113"/>
      <c r="Q14" s="113"/>
      <c r="R14" s="113"/>
      <c r="S14" s="162"/>
      <c r="T14" s="162"/>
      <c r="U14" s="162"/>
      <c r="V14" s="162"/>
      <c r="W14" s="162"/>
      <c r="X14" s="162"/>
      <c r="Y14" s="162"/>
      <c r="Z14" s="162"/>
      <c r="AA14" s="162"/>
    </row>
    <row r="15" spans="1:27">
      <c r="E15" s="92">
        <v>1996</v>
      </c>
      <c r="F15" s="92">
        <v>2001</v>
      </c>
      <c r="G15" s="92">
        <v>2006</v>
      </c>
      <c r="K15" s="113">
        <v>1998</v>
      </c>
      <c r="L15" s="113">
        <f>IF($E$53="Yr 1",1998,IF($E$53&gt;1998,"",1998))</f>
        <v>1998</v>
      </c>
      <c r="M15" s="113">
        <v>15</v>
      </c>
      <c r="N15" s="113"/>
      <c r="O15" s="113" t="s">
        <v>931</v>
      </c>
      <c r="P15" s="113"/>
      <c r="Q15" s="113"/>
      <c r="R15" s="113"/>
      <c r="S15" s="113"/>
    </row>
    <row r="16" spans="1:27" ht="30" customHeight="1">
      <c r="A16" s="164" t="str">
        <f>'c1996'!D1</f>
        <v xml:space="preserve">Average number of children at home per census family </v>
      </c>
      <c r="B16" s="164"/>
      <c r="C16" s="164"/>
      <c r="D16" s="164"/>
      <c r="E16" s="123" t="e">
        <f>IF($B$3='c1996'!$A$436,N12,VLOOKUP($B$3,'c1996'!$A$2:$N435,4,0))</f>
        <v>#N/A</v>
      </c>
      <c r="F16" s="123" t="e">
        <f>IF($B$3='c2001'!$A$436,N12,VLOOKUP($B$3,'c2001'!$A$2:$N435,4,0))</f>
        <v>#N/A</v>
      </c>
      <c r="G16" s="123" t="e">
        <f>IF($B$3='c2006'!$A$438,N12,VLOOKUP($B$3,'c2006'!$A$2:$N437,4,0))</f>
        <v>#N/A</v>
      </c>
      <c r="K16" s="113">
        <v>1997</v>
      </c>
      <c r="L16" s="113">
        <f>IF($E$53="Yr 1",1997,IF($E$53&gt;1997,"",1997))</f>
        <v>1997</v>
      </c>
      <c r="M16" s="113">
        <v>16</v>
      </c>
      <c r="N16" s="113"/>
      <c r="O16" s="113"/>
      <c r="P16" s="113"/>
      <c r="Q16" s="113"/>
      <c r="R16" s="113"/>
      <c r="S16" s="113"/>
    </row>
    <row r="17" spans="1:27" ht="15" customHeight="1">
      <c r="A17" s="164" t="str">
        <f>'c1996'!E$1</f>
        <v>Average family income $</v>
      </c>
      <c r="B17" s="164"/>
      <c r="C17" s="164"/>
      <c r="D17" s="164"/>
      <c r="E17" s="104" t="e">
        <f>IF($B$3='c1996'!$A$436,N12,VLOOKUP($B$3,'c1996'!$A$2:$N435,5,0))</f>
        <v>#N/A</v>
      </c>
      <c r="F17" s="104" t="e">
        <f>IF($B$3='c2001'!$A$436,N12,VLOOKUP($B$3,'c2001'!$A$2:$N435,5,0))</f>
        <v>#N/A</v>
      </c>
      <c r="G17" s="104" t="e">
        <f>IF($B$3='c2006'!$A$438,N12,VLOOKUP($B$3,'c2006'!$A$2:$N437,5,0))</f>
        <v>#N/A</v>
      </c>
      <c r="K17" s="113">
        <v>1996</v>
      </c>
      <c r="L17" s="113">
        <f>IF($E$53="Yr 1",1996,IF($E$53&gt;1996,"",1996))</f>
        <v>1996</v>
      </c>
      <c r="M17" s="113">
        <v>17</v>
      </c>
      <c r="N17" s="113"/>
      <c r="O17" s="113"/>
      <c r="P17" s="113"/>
      <c r="Q17" s="113"/>
      <c r="R17" s="113"/>
      <c r="S17" s="113"/>
    </row>
    <row r="18" spans="1:27">
      <c r="A18" s="164" t="str">
        <f>'c1996'!F$1</f>
        <v>Incidence of low income economic families %</v>
      </c>
      <c r="B18" s="164"/>
      <c r="C18" s="164"/>
      <c r="D18" s="164"/>
      <c r="E18" s="123" t="e">
        <f>IF($B$3='c1996'!$A$436,N12,VLOOKUP($B$3,'c1996'!$A$2:$N435,6,0))</f>
        <v>#N/A</v>
      </c>
      <c r="F18" s="123" t="e">
        <f>IF($B$3='c2001'!$A$436,N12,VLOOKUP($B$3,'c2001'!$A$2:$N435,6,0))</f>
        <v>#N/A</v>
      </c>
      <c r="G18" s="123" t="e">
        <f>IF($B$3='c2006'!$A$438,N12,VLOOKUP($B$3,'c2006'!$A$2:$N437,6,0))</f>
        <v>#N/A</v>
      </c>
      <c r="K18" s="113">
        <v>1995</v>
      </c>
      <c r="L18" s="113">
        <f>IF($E$53="Yr 1",1995,IF($E$53&gt;1995,"",1995))</f>
        <v>1995</v>
      </c>
      <c r="M18" s="113">
        <v>18</v>
      </c>
      <c r="N18" s="113"/>
      <c r="O18" s="113"/>
      <c r="P18" s="113"/>
      <c r="Q18" s="113"/>
      <c r="R18" s="113"/>
      <c r="S18" s="113"/>
    </row>
    <row r="19" spans="1:27">
      <c r="A19" s="164" t="str">
        <f>'c1996'!G$1</f>
        <v>Total number of occupied private dwellings</v>
      </c>
      <c r="B19" s="164"/>
      <c r="C19" s="164"/>
      <c r="D19" s="164"/>
      <c r="E19" s="122" t="e">
        <f>IF($B$3='c1996'!$A$436,N12,VLOOKUP($B$3,'c1996'!$A$2:$N435,7,0))</f>
        <v>#N/A</v>
      </c>
      <c r="F19" s="122" t="e">
        <f>IF($B$3='c2001'!$A$436,N12,VLOOKUP($B$3,'c2001'!$A$2:$N435,7,0))</f>
        <v>#N/A</v>
      </c>
      <c r="G19" s="122" t="e">
        <f>IF($B$3='c2006'!$A$438,N12,VLOOKUP($B$3,'c2006'!$A$2:$N437,7,0))</f>
        <v>#N/A</v>
      </c>
      <c r="K19" s="8"/>
      <c r="L19" s="8"/>
      <c r="M19" s="8"/>
      <c r="N19" s="8"/>
      <c r="O19" s="8"/>
      <c r="P19" s="8"/>
      <c r="Q19" s="8"/>
      <c r="R19" s="8"/>
      <c r="S19" s="8"/>
    </row>
    <row r="20" spans="1:27" ht="30" customHeight="1">
      <c r="A20" s="164" t="str">
        <f>'c1996'!H$1</f>
        <v>Occupied private dwelling needs minor repairs</v>
      </c>
      <c r="B20" s="164"/>
      <c r="C20" s="164"/>
      <c r="D20" s="164"/>
      <c r="E20" s="122" t="e">
        <f>IF($B$3='c1996'!$A$436,N12,VLOOKUP($B$3,'c1996'!$A$2:$N435,8,0))</f>
        <v>#N/A</v>
      </c>
      <c r="F20" s="122" t="e">
        <f>IF($B$3='c2001'!$A$436,N12,VLOOKUP($B$3,'c2001'!$A$2:$N435,8,0))</f>
        <v>#N/A</v>
      </c>
      <c r="G20" s="122" t="e">
        <f>IF($B$3='c2006'!$A$438,N12,VLOOKUP($B$3,'c2006'!$A$2:$N437,8,0))</f>
        <v>#N/A</v>
      </c>
      <c r="K20" s="8"/>
      <c r="L20" s="8"/>
      <c r="M20" s="8"/>
      <c r="N20" s="8"/>
      <c r="O20" s="8"/>
      <c r="P20" s="8"/>
      <c r="Q20" s="8"/>
      <c r="R20" s="8"/>
      <c r="S20" s="8"/>
      <c r="T20" s="163" t="s">
        <v>915</v>
      </c>
      <c r="U20" s="163"/>
      <c r="V20" s="163"/>
      <c r="W20" s="163"/>
      <c r="X20" s="163"/>
      <c r="Y20" s="163"/>
      <c r="Z20" s="163"/>
      <c r="AA20" s="163"/>
    </row>
    <row r="21" spans="1:27" ht="30" customHeight="1">
      <c r="A21" s="164" t="str">
        <f>'c1996'!I$1</f>
        <v>Occupied private dwelling needs major repairs</v>
      </c>
      <c r="B21" s="164"/>
      <c r="C21" s="164"/>
      <c r="D21" s="164"/>
      <c r="E21" s="122" t="e">
        <f>IF($B$3='c1996'!$A$436,N12,VLOOKUP($B$3,'c1996'!$A$2:$N435,9,0))</f>
        <v>#N/A</v>
      </c>
      <c r="F21" s="122" t="e">
        <f>IF($B$3='c2001'!$A$436,N12,VLOOKUP($B$3,'c2001'!$A$2:$N435,9,0))</f>
        <v>#N/A</v>
      </c>
      <c r="G21" s="122" t="e">
        <f>IF($B$3='c2006'!$A$438,N12,VLOOKUP($B$3,'c2006'!$A$2:$N437,9,0))</f>
        <v>#N/A</v>
      </c>
      <c r="K21" s="8"/>
      <c r="L21" s="8"/>
      <c r="M21" s="8"/>
      <c r="N21" s="8"/>
      <c r="O21" s="8"/>
      <c r="P21" s="8"/>
      <c r="Q21" s="8"/>
      <c r="R21" s="8"/>
      <c r="S21" s="8"/>
      <c r="T21" s="163"/>
      <c r="U21" s="163"/>
      <c r="V21" s="163"/>
      <c r="W21" s="163"/>
      <c r="X21" s="163"/>
      <c r="Y21" s="163"/>
      <c r="Z21" s="163"/>
      <c r="AA21" s="163"/>
    </row>
    <row r="22" spans="1:27">
      <c r="A22" s="164" t="str">
        <f>'c1996'!J$1</f>
        <v>% Occupied private dwelling is owned</v>
      </c>
      <c r="B22" s="164"/>
      <c r="C22" s="164"/>
      <c r="D22" s="164"/>
      <c r="E22" s="123" t="e">
        <f>IF($B$3='c1996'!$A$436,N12,VLOOKUP($B$3,'c1996'!$A$2:$N435,10,0))</f>
        <v>#N/A</v>
      </c>
      <c r="F22" s="123" t="e">
        <f>IF($B$3='c2001'!$A$436,N12,VLOOKUP($B$3,'c2001'!$A$2:$N435,10,0))</f>
        <v>#N/A</v>
      </c>
      <c r="G22" s="123" t="e">
        <f>IF($B$3='c2006'!$A$438,N12,VLOOKUP($B$3,'c2006'!$A$2:$N437,10,0))</f>
        <v>#N/A</v>
      </c>
      <c r="K22" s="8"/>
      <c r="L22" s="8"/>
      <c r="M22" s="8"/>
      <c r="N22" s="8"/>
      <c r="O22" s="8"/>
      <c r="P22" s="8"/>
      <c r="Q22" s="8"/>
      <c r="R22" s="8"/>
      <c r="S22" s="8"/>
    </row>
    <row r="23" spans="1:27">
      <c r="A23" s="164" t="str">
        <f>'c1996'!K$1</f>
        <v>% Occupied private dwelling is rented</v>
      </c>
      <c r="B23" s="164"/>
      <c r="C23" s="164"/>
      <c r="D23" s="164"/>
      <c r="E23" s="123" t="e">
        <f>IF($B$3='c1996'!$A$436,N12,VLOOKUP($B$3,'c1996'!$A$2:$N435,11,0))</f>
        <v>#N/A</v>
      </c>
      <c r="F23" s="123" t="e">
        <f>IF($B$3='c2001'!$A$436,N12,VLOOKUP($B$3,'c2001'!$A$2:$N435,11,0))</f>
        <v>#N/A</v>
      </c>
      <c r="G23" s="123" t="e">
        <f>IF($B$3='c2006'!$A$438,N12,VLOOKUP($B$3,'c2006'!$A$2:$N437,11,0))</f>
        <v>#N/A</v>
      </c>
      <c r="K23" s="8"/>
      <c r="L23" s="8"/>
      <c r="M23" s="8"/>
      <c r="N23" s="8"/>
      <c r="O23" s="8"/>
      <c r="P23" s="8"/>
      <c r="Q23" s="8"/>
      <c r="R23" s="8"/>
      <c r="S23" s="8"/>
    </row>
    <row r="24" spans="1:27" ht="15" customHeight="1">
      <c r="A24" s="164" t="str">
        <f>'c1996'!L$1</f>
        <v>Participation rate  15 years and over</v>
      </c>
      <c r="B24" s="164"/>
      <c r="C24" s="164"/>
      <c r="D24" s="164"/>
      <c r="E24" s="123" t="e">
        <f>IF($B$3='c1996'!$A$436,N12,VLOOKUP($B$3,'c1996'!$A$2:$N435,12,0))</f>
        <v>#N/A</v>
      </c>
      <c r="F24" s="123" t="e">
        <f>IF($B$3='c2001'!$A$436,N12,VLOOKUP($B$3,'c2001'!$A$2:$N435,12,0))</f>
        <v>#N/A</v>
      </c>
      <c r="G24" s="123" t="e">
        <f>IF($B$3='c2006'!$A$438,N12,VLOOKUP($B$3,'c2006'!$A$2:$N437,12,0))</f>
        <v>#N/A</v>
      </c>
      <c r="K24" s="8"/>
      <c r="L24" s="8"/>
      <c r="M24" s="8"/>
      <c r="N24" s="8"/>
      <c r="O24" s="8"/>
      <c r="P24" s="8"/>
      <c r="Q24" s="8"/>
      <c r="R24" s="8"/>
      <c r="S24" s="8"/>
    </row>
    <row r="25" spans="1:27" ht="15" customHeight="1">
      <c r="A25" s="164" t="str">
        <f>'c1996'!M$1</f>
        <v xml:space="preserve">Employment rate  15 years and over </v>
      </c>
      <c r="B25" s="164"/>
      <c r="C25" s="164"/>
      <c r="D25" s="164"/>
      <c r="E25" s="123" t="e">
        <f>IF($B$3='c1996'!$A$436,N12,VLOOKUP($B$3,'c1996'!$A$2:$N435,13,0))</f>
        <v>#N/A</v>
      </c>
      <c r="F25" s="123" t="e">
        <f>IF($B$3='c2001'!$A$436,N12,VLOOKUP($B$3,'c2001'!$A$2:$N435,13,0))</f>
        <v>#N/A</v>
      </c>
      <c r="G25" s="123" t="e">
        <f>IF($B$3='c2006'!$A$438,N12,VLOOKUP($B$3,'c2006'!$A$2:$N437,13,0))</f>
        <v>#N/A</v>
      </c>
      <c r="K25" s="8"/>
      <c r="L25" s="8"/>
      <c r="M25" s="8"/>
      <c r="N25" s="8"/>
      <c r="O25" s="8"/>
      <c r="P25" s="8"/>
      <c r="Q25" s="8"/>
      <c r="R25" s="8"/>
      <c r="S25" s="8"/>
    </row>
    <row r="26" spans="1:27" ht="15" customHeight="1">
      <c r="A26" s="164" t="str">
        <f>'c1996'!N$1</f>
        <v xml:space="preserve">Unemployment rate  15 years and over </v>
      </c>
      <c r="B26" s="164"/>
      <c r="C26" s="164"/>
      <c r="D26" s="164"/>
      <c r="E26" s="123" t="e">
        <f>IF($B$3='c1996'!$A$436,N12,VLOOKUP($B$3,'c1996'!$A$2:$N435,14,0))</f>
        <v>#N/A</v>
      </c>
      <c r="F26" s="123" t="e">
        <f>IF($B$3='c2001'!$A$436,N12,VLOOKUP($B$3,'c2001'!$A$2:$N435,14,0))</f>
        <v>#N/A</v>
      </c>
      <c r="G26" s="123" t="e">
        <f>IF($B$3='c2006'!$A$438,N12,VLOOKUP($B$3,'c2006'!$A$2:$N437,14,0))</f>
        <v>#N/A</v>
      </c>
      <c r="K26" s="8"/>
      <c r="L26" s="8"/>
      <c r="M26" s="8"/>
      <c r="N26" s="8"/>
      <c r="O26" s="8"/>
      <c r="P26" s="8"/>
      <c r="Q26" s="8"/>
      <c r="R26" s="8"/>
      <c r="S26" s="8"/>
    </row>
    <row r="27" spans="1:27" ht="15" customHeight="1">
      <c r="A27" s="169" t="s">
        <v>804</v>
      </c>
      <c r="B27" s="169"/>
      <c r="C27" s="169"/>
      <c r="D27" s="169"/>
      <c r="E27" s="128" t="e">
        <f>IF($B$3='c1996'!$A$436,N12,VLOOKUP($B$3,'c1996'!$A$2:$AY435,28,0)/VLOOKUP($B$3,'c1996'!$A$2:$AY435,30,0))</f>
        <v>#N/A</v>
      </c>
      <c r="F27" s="128" t="e">
        <f>IF($B$3='c2001'!$A$436,N12,VLOOKUP($B$3,'c2001'!$A$2:$AY435,28,0)/VLOOKUP($B$3,'c2001'!$A$2:$AY435,30,0))</f>
        <v>#N/A</v>
      </c>
      <c r="G27" s="128" t="e">
        <f>IF($B$3='c2006'!$A$438,N12,VLOOKUP($B$3,'c2006'!$A$2:$AY437,28,0)/VLOOKUP($B$3,'c2006'!$A$2:$AY437,30,0))</f>
        <v>#N/A</v>
      </c>
      <c r="K27" s="8"/>
      <c r="L27" s="8"/>
      <c r="M27" s="8"/>
      <c r="N27" s="8"/>
      <c r="O27" s="8"/>
      <c r="P27" s="8"/>
      <c r="Q27" s="8"/>
      <c r="R27" s="8"/>
      <c r="S27" s="4" t="s">
        <v>916</v>
      </c>
    </row>
    <row r="28" spans="1:27">
      <c r="A28" s="169" t="s">
        <v>805</v>
      </c>
      <c r="B28" s="169"/>
      <c r="C28" s="169"/>
      <c r="D28" s="169"/>
      <c r="E28" s="128" t="e">
        <f>IF($B$3='c1996'!$A$436,N12,(VLOOKUP($B$3,'c1996'!$A$2:$AE435,28,0)+VLOOKUP($B$3,'c1996'!$A$2:$AE435,31,0))/VLOOKUP($B$3,'c1996'!$A$2:$AE435,29,0))</f>
        <v>#N/A</v>
      </c>
      <c r="F28" s="128" t="e">
        <f>IF($B$3='c2001'!$A$436,N12,(VLOOKUP($B$3,'c2001'!$A$2:$AE435,28,0)+VLOOKUP($B$3,'c2001'!$A$2:$AE435,31,0))/VLOOKUP($B$3,'c2001'!$A$2:$AE435,29,0))</f>
        <v>#N/A</v>
      </c>
      <c r="G28" s="128" t="e">
        <f>IF($B$3='c2006'!$A$438,N12,(VLOOKUP($B$3,'c2006'!$A$2:$AY437,28,0)+VLOOKUP($B$3,'c2006'!$A$2:$AY437,31,0))/VLOOKUP($B$3,'c2006'!$A$2:$AY437,29,0))</f>
        <v>#N/A</v>
      </c>
      <c r="K28" s="8"/>
      <c r="L28" s="8"/>
      <c r="M28" s="8"/>
      <c r="N28" s="8"/>
      <c r="O28" s="8"/>
      <c r="P28" s="8"/>
      <c r="Q28" s="8"/>
      <c r="R28" s="8"/>
      <c r="S28" s="160" t="s">
        <v>917</v>
      </c>
      <c r="T28" s="160"/>
      <c r="U28" s="160"/>
      <c r="V28" s="160"/>
      <c r="W28" s="160"/>
      <c r="X28" s="160"/>
      <c r="Y28" s="160"/>
      <c r="Z28" s="160"/>
      <c r="AA28" s="160"/>
    </row>
    <row r="29" spans="1:27">
      <c r="A29" s="87"/>
      <c r="B29" s="87"/>
      <c r="C29" s="87"/>
      <c r="D29" s="87"/>
      <c r="E29" s="124"/>
      <c r="F29" s="124"/>
      <c r="G29" s="124"/>
      <c r="K29" s="8"/>
      <c r="L29" s="8"/>
      <c r="M29" s="8"/>
      <c r="N29" s="8"/>
      <c r="O29" s="8"/>
      <c r="P29" s="8"/>
      <c r="Q29" s="8"/>
      <c r="R29" s="8"/>
      <c r="S29" s="160"/>
      <c r="T29" s="160"/>
      <c r="U29" s="160"/>
      <c r="V29" s="160"/>
      <c r="W29" s="160"/>
      <c r="X29" s="160"/>
      <c r="Y29" s="160"/>
      <c r="Z29" s="160"/>
      <c r="AA29" s="160"/>
    </row>
    <row r="30" spans="1:27">
      <c r="A30" s="126" t="s">
        <v>876</v>
      </c>
      <c r="E30" s="92">
        <v>1996</v>
      </c>
      <c r="F30" s="92">
        <v>2001</v>
      </c>
      <c r="G30" s="92">
        <v>2006</v>
      </c>
      <c r="K30" s="8"/>
      <c r="L30" s="8"/>
      <c r="M30" s="8"/>
      <c r="N30" s="8"/>
      <c r="O30" s="8"/>
      <c r="P30" s="8"/>
      <c r="Q30" s="8"/>
      <c r="R30" s="8"/>
      <c r="S30" s="8"/>
    </row>
    <row r="31" spans="1:27">
      <c r="A31" s="203" t="s">
        <v>856</v>
      </c>
      <c r="B31" s="204"/>
      <c r="C31" s="204"/>
      <c r="D31" s="205"/>
      <c r="E31" s="127" t="str">
        <f>$N$12</f>
        <v>No Info</v>
      </c>
      <c r="F31" s="123" t="e">
        <f>IF($B$3='c2001'!$A$436,$N$12,VLOOKUP($B$3,'c2001'!$A$3:$AY$435,32,0))</f>
        <v>#N/A</v>
      </c>
      <c r="G31" s="123" t="e">
        <f>IF($B$3='c2006'!$A$438,$N$12,VLOOKUP($B$3,'c2006'!$A$3:$AY$437,32,0))</f>
        <v>#N/A</v>
      </c>
      <c r="K31" s="8"/>
      <c r="L31" s="8"/>
      <c r="M31" s="8"/>
      <c r="N31" s="8"/>
      <c r="O31" s="8"/>
      <c r="P31" s="8"/>
      <c r="Q31" s="8"/>
      <c r="R31" s="8"/>
      <c r="S31" s="160" t="s">
        <v>918</v>
      </c>
      <c r="T31" s="160"/>
      <c r="U31" s="160"/>
      <c r="V31" s="160"/>
      <c r="W31" s="160"/>
      <c r="X31" s="160"/>
      <c r="Y31" s="160"/>
      <c r="Z31" s="160"/>
      <c r="AA31" s="160"/>
    </row>
    <row r="32" spans="1:27">
      <c r="A32" s="203" t="s">
        <v>857</v>
      </c>
      <c r="B32" s="204"/>
      <c r="C32" s="204"/>
      <c r="D32" s="205"/>
      <c r="E32" s="127" t="str">
        <f t="shared" ref="E32:E50" si="0">$N$12</f>
        <v>No Info</v>
      </c>
      <c r="F32" s="123" t="e">
        <f>IF($B$3='c2001'!$A$436,$N$12,VLOOKUP($B$3,'c2001'!$A$3:$AY$435,33,0))</f>
        <v>#N/A</v>
      </c>
      <c r="G32" s="123" t="e">
        <f>IF($B$3='c2006'!$A$438,$N$12,VLOOKUP($B$3,'c2006'!$A$3:$AY$437,33,0))</f>
        <v>#N/A</v>
      </c>
      <c r="K32" s="8"/>
      <c r="L32" s="8"/>
      <c r="M32" s="8"/>
      <c r="N32" s="8"/>
      <c r="O32" s="8"/>
      <c r="P32" s="8"/>
      <c r="Q32" s="8"/>
      <c r="R32" s="8"/>
      <c r="S32" s="160"/>
      <c r="T32" s="160"/>
      <c r="U32" s="160"/>
      <c r="V32" s="160"/>
      <c r="W32" s="160"/>
      <c r="X32" s="160"/>
      <c r="Y32" s="160"/>
      <c r="Z32" s="160"/>
      <c r="AA32" s="160"/>
    </row>
    <row r="33" spans="1:27">
      <c r="A33" s="203" t="s">
        <v>858</v>
      </c>
      <c r="B33" s="204"/>
      <c r="C33" s="204"/>
      <c r="D33" s="205"/>
      <c r="E33" s="127" t="str">
        <f t="shared" si="0"/>
        <v>No Info</v>
      </c>
      <c r="F33" s="123" t="e">
        <f>IF($B$3='c2001'!$A$436,$N$12,VLOOKUP($B$3,'c2001'!$A$3:$AY$435,34,0))</f>
        <v>#N/A</v>
      </c>
      <c r="G33" s="123" t="e">
        <f>IF($B$3='c2006'!$A$438,$N$12,VLOOKUP($B$3,'c2006'!$A$3:$AY$437,34,0))</f>
        <v>#N/A</v>
      </c>
      <c r="K33" s="8"/>
      <c r="L33" s="8"/>
      <c r="M33" s="8"/>
      <c r="N33" s="8"/>
      <c r="O33" s="8"/>
      <c r="P33" s="8"/>
      <c r="Q33" s="8"/>
      <c r="R33" s="8"/>
      <c r="S33" s="160"/>
      <c r="T33" s="160"/>
      <c r="U33" s="160"/>
      <c r="V33" s="160"/>
      <c r="W33" s="160"/>
      <c r="X33" s="160"/>
      <c r="Y33" s="160"/>
      <c r="Z33" s="160"/>
      <c r="AA33" s="160"/>
    </row>
    <row r="34" spans="1:27">
      <c r="A34" s="203" t="s">
        <v>859</v>
      </c>
      <c r="B34" s="204"/>
      <c r="C34" s="204"/>
      <c r="D34" s="205"/>
      <c r="E34" s="127" t="str">
        <f t="shared" si="0"/>
        <v>No Info</v>
      </c>
      <c r="F34" s="123" t="e">
        <f>IF($B$3='c2001'!$A$436,$N$12,VLOOKUP($B$3,'c2001'!$A$3:$AY$435,35,0))</f>
        <v>#N/A</v>
      </c>
      <c r="G34" s="123" t="e">
        <f>IF($B$3='c2006'!$A$438,$N$12,VLOOKUP($B$3,'c2006'!$A$3:$AY$437,35,0))</f>
        <v>#N/A</v>
      </c>
      <c r="K34" s="8"/>
      <c r="L34" s="8"/>
      <c r="M34" s="8"/>
      <c r="N34" s="8"/>
      <c r="O34" s="8"/>
      <c r="P34" s="8"/>
      <c r="Q34" s="8"/>
      <c r="R34" s="8"/>
      <c r="S34" s="160"/>
      <c r="T34" s="160"/>
      <c r="U34" s="160"/>
      <c r="V34" s="160"/>
      <c r="W34" s="160"/>
      <c r="X34" s="160"/>
      <c r="Y34" s="160"/>
      <c r="Z34" s="160"/>
      <c r="AA34" s="160"/>
    </row>
    <row r="35" spans="1:27">
      <c r="A35" s="203" t="s">
        <v>860</v>
      </c>
      <c r="B35" s="204"/>
      <c r="C35" s="204"/>
      <c r="D35" s="205"/>
      <c r="E35" s="127" t="str">
        <f t="shared" si="0"/>
        <v>No Info</v>
      </c>
      <c r="F35" s="123" t="e">
        <f>IF($B$3='c2001'!$A$436,$N$12,VLOOKUP($B$3,'c2001'!$A$3:$AY$435,36,0))</f>
        <v>#N/A</v>
      </c>
      <c r="G35" s="123" t="e">
        <f>IF($B$3='c2006'!$A$438,$N$12,VLOOKUP($B$3,'c2006'!$A$3:$AY$437,36,0))</f>
        <v>#N/A</v>
      </c>
      <c r="K35" s="8"/>
      <c r="L35" s="8"/>
      <c r="M35" s="8"/>
      <c r="N35" s="8"/>
      <c r="O35" s="8"/>
      <c r="P35" s="8"/>
      <c r="Q35" s="8"/>
      <c r="R35" s="8"/>
      <c r="S35" s="160"/>
      <c r="T35" s="160"/>
      <c r="U35" s="160"/>
      <c r="V35" s="160"/>
      <c r="W35" s="160"/>
      <c r="X35" s="160"/>
      <c r="Y35" s="160"/>
      <c r="Z35" s="160"/>
      <c r="AA35" s="160"/>
    </row>
    <row r="36" spans="1:27">
      <c r="A36" s="203" t="s">
        <v>861</v>
      </c>
      <c r="B36" s="204"/>
      <c r="C36" s="204"/>
      <c r="D36" s="205"/>
      <c r="E36" s="127" t="str">
        <f t="shared" si="0"/>
        <v>No Info</v>
      </c>
      <c r="F36" s="123" t="e">
        <f>IF($B$3='c2001'!$A$436,$N$12,VLOOKUP($B$3,'c2001'!$A$3:$AY$435,37,0))</f>
        <v>#N/A</v>
      </c>
      <c r="G36" s="123" t="e">
        <f>IF($B$3='c2006'!$A$438,$N$12,VLOOKUP($B$3,'c2006'!$A$3:$AY$437,37,0))</f>
        <v>#N/A</v>
      </c>
      <c r="K36" s="8"/>
      <c r="L36" s="8"/>
      <c r="M36" s="8"/>
      <c r="N36" s="8"/>
      <c r="O36" s="8"/>
      <c r="P36" s="8"/>
      <c r="Q36" s="8"/>
      <c r="R36" s="8"/>
      <c r="S36" s="160"/>
      <c r="T36" s="160"/>
      <c r="U36" s="160"/>
      <c r="V36" s="160"/>
      <c r="W36" s="160"/>
      <c r="X36" s="160"/>
      <c r="Y36" s="160"/>
      <c r="Z36" s="160"/>
      <c r="AA36" s="160"/>
    </row>
    <row r="37" spans="1:27">
      <c r="A37" s="203" t="s">
        <v>862</v>
      </c>
      <c r="B37" s="204"/>
      <c r="C37" s="204"/>
      <c r="D37" s="205"/>
      <c r="E37" s="127" t="str">
        <f t="shared" si="0"/>
        <v>No Info</v>
      </c>
      <c r="F37" s="123" t="e">
        <f>IF($B$3='c2001'!$A$436,$N$12,VLOOKUP($B$3,'c2001'!$A$3:$AY$435,38,0))</f>
        <v>#N/A</v>
      </c>
      <c r="G37" s="123" t="e">
        <f>IF($B$3='c2006'!$A$438,$N$12,VLOOKUP($B$3,'c2006'!$A$3:$AY$437,38,0))</f>
        <v>#N/A</v>
      </c>
      <c r="K37" s="8"/>
      <c r="L37" s="8"/>
      <c r="M37" s="8"/>
      <c r="N37" s="8"/>
      <c r="O37" s="8"/>
      <c r="P37" s="8"/>
      <c r="Q37" s="8"/>
      <c r="R37" s="8"/>
      <c r="S37" s="160"/>
      <c r="T37" s="160"/>
      <c r="U37" s="160"/>
      <c r="V37" s="160"/>
      <c r="W37" s="160"/>
      <c r="X37" s="160"/>
      <c r="Y37" s="160"/>
      <c r="Z37" s="160"/>
      <c r="AA37" s="160"/>
    </row>
    <row r="38" spans="1:27">
      <c r="A38" s="203" t="s">
        <v>863</v>
      </c>
      <c r="B38" s="204"/>
      <c r="C38" s="204"/>
      <c r="D38" s="205"/>
      <c r="E38" s="127" t="str">
        <f t="shared" si="0"/>
        <v>No Info</v>
      </c>
      <c r="F38" s="123" t="e">
        <f>IF($B$3='c2001'!$A$436,$N$12,VLOOKUP($B$3,'c2001'!$A$3:$AY$435,39,0))</f>
        <v>#N/A</v>
      </c>
      <c r="G38" s="123" t="e">
        <f>IF($B$3='c2006'!$A$438,$N$12,VLOOKUP($B$3,'c2006'!$A$3:$AY$437,39,0))</f>
        <v>#N/A</v>
      </c>
      <c r="K38" s="8"/>
      <c r="L38" s="8"/>
      <c r="M38" s="8"/>
      <c r="N38" s="8"/>
      <c r="O38" s="8"/>
      <c r="P38" s="8"/>
      <c r="Q38" s="8"/>
      <c r="R38" s="8"/>
      <c r="S38" s="160"/>
      <c r="T38" s="160"/>
      <c r="U38" s="160"/>
      <c r="V38" s="160"/>
      <c r="W38" s="160"/>
      <c r="X38" s="160"/>
      <c r="Y38" s="160"/>
      <c r="Z38" s="160"/>
      <c r="AA38" s="160"/>
    </row>
    <row r="39" spans="1:27">
      <c r="A39" s="203" t="s">
        <v>864</v>
      </c>
      <c r="B39" s="204"/>
      <c r="C39" s="204"/>
      <c r="D39" s="205"/>
      <c r="E39" s="127" t="str">
        <f t="shared" si="0"/>
        <v>No Info</v>
      </c>
      <c r="F39" s="123" t="e">
        <f>IF($B$3='c2001'!$A$436,$N$12,VLOOKUP($B$3,'c2001'!$A$3:$AY$435,40,0))</f>
        <v>#N/A</v>
      </c>
      <c r="G39" s="123" t="e">
        <f>IF($B$3='c2006'!$A$438,$N$12,VLOOKUP($B$3,'c2006'!$A$3:$AY$437,40,0))</f>
        <v>#N/A</v>
      </c>
      <c r="K39" s="8"/>
      <c r="L39" s="8"/>
      <c r="M39" s="8"/>
      <c r="N39" s="8"/>
      <c r="O39" s="8"/>
      <c r="P39" s="8"/>
      <c r="Q39" s="8"/>
      <c r="R39" s="8"/>
      <c r="S39" s="160"/>
      <c r="T39" s="160"/>
      <c r="U39" s="160"/>
      <c r="V39" s="160"/>
      <c r="W39" s="160"/>
      <c r="X39" s="160"/>
      <c r="Y39" s="160"/>
      <c r="Z39" s="160"/>
      <c r="AA39" s="160"/>
    </row>
    <row r="40" spans="1:27">
      <c r="A40" s="203" t="s">
        <v>865</v>
      </c>
      <c r="B40" s="204"/>
      <c r="C40" s="204"/>
      <c r="D40" s="205"/>
      <c r="E40" s="127" t="str">
        <f t="shared" si="0"/>
        <v>No Info</v>
      </c>
      <c r="F40" s="123" t="e">
        <f>IF($B$3='c2001'!$A$436,$N$12,VLOOKUP($B$3,'c2001'!$A$3:$AY$435,41,0))</f>
        <v>#N/A</v>
      </c>
      <c r="G40" s="123" t="e">
        <f>IF($B$3='c2006'!$A$438,$N$12,VLOOKUP($B$3,'c2006'!$A$3:$AY$437,41,0))</f>
        <v>#N/A</v>
      </c>
      <c r="K40" s="8"/>
      <c r="L40" s="8"/>
      <c r="M40" s="8"/>
      <c r="N40" s="8"/>
      <c r="O40" s="8"/>
      <c r="P40" s="8"/>
      <c r="Q40" s="8"/>
      <c r="R40" s="8"/>
      <c r="S40" s="160"/>
      <c r="T40" s="160"/>
      <c r="U40" s="160"/>
      <c r="V40" s="160"/>
      <c r="W40" s="160"/>
      <c r="X40" s="160"/>
      <c r="Y40" s="160"/>
      <c r="Z40" s="160"/>
      <c r="AA40" s="160"/>
    </row>
    <row r="41" spans="1:27">
      <c r="A41" s="203" t="s">
        <v>866</v>
      </c>
      <c r="B41" s="204"/>
      <c r="C41" s="204"/>
      <c r="D41" s="205"/>
      <c r="E41" s="127" t="str">
        <f t="shared" si="0"/>
        <v>No Info</v>
      </c>
      <c r="F41" s="123" t="e">
        <f>IF($B$3='c2001'!$A$436,$N$12,VLOOKUP($B$3,'c2001'!$A$3:$AY$435,42,0))</f>
        <v>#N/A</v>
      </c>
      <c r="G41" s="123" t="e">
        <f>IF($B$3='c2006'!$A$438,$N$12,VLOOKUP($B$3,'c2006'!$A$3:$AY$437,42,0))</f>
        <v>#N/A</v>
      </c>
      <c r="K41" s="8"/>
      <c r="L41" s="8"/>
      <c r="M41" s="8"/>
      <c r="N41" s="8"/>
      <c r="O41" s="8"/>
      <c r="P41" s="8"/>
      <c r="Q41" s="8"/>
      <c r="R41" s="8"/>
      <c r="S41" s="160"/>
      <c r="T41" s="160"/>
      <c r="U41" s="160"/>
      <c r="V41" s="160"/>
      <c r="W41" s="160"/>
      <c r="X41" s="160"/>
      <c r="Y41" s="160"/>
      <c r="Z41" s="160"/>
      <c r="AA41" s="160"/>
    </row>
    <row r="42" spans="1:27" ht="30" customHeight="1">
      <c r="A42" s="203" t="s">
        <v>867</v>
      </c>
      <c r="B42" s="204"/>
      <c r="C42" s="204"/>
      <c r="D42" s="205"/>
      <c r="E42" s="127" t="str">
        <f t="shared" si="0"/>
        <v>No Info</v>
      </c>
      <c r="F42" s="123" t="e">
        <f>IF($B$3='c2001'!$A$436,$N$12,VLOOKUP($B$3,'c2001'!$A$3:$AY$435,43,0))</f>
        <v>#N/A</v>
      </c>
      <c r="G42" s="123" t="e">
        <f>IF($B$3='c2006'!$A$438,$N$12,VLOOKUP($B$3,'c2006'!$A$3:$AY$437,43,0))</f>
        <v>#N/A</v>
      </c>
      <c r="K42" s="8"/>
      <c r="L42" s="8"/>
      <c r="M42" s="8"/>
      <c r="N42" s="8"/>
      <c r="O42" s="8"/>
      <c r="P42" s="8"/>
      <c r="Q42" s="8"/>
      <c r="R42" s="8"/>
      <c r="S42" s="160"/>
      <c r="T42" s="160"/>
      <c r="U42" s="160"/>
      <c r="V42" s="160"/>
      <c r="W42" s="160"/>
      <c r="X42" s="160"/>
      <c r="Y42" s="160"/>
      <c r="Z42" s="160"/>
      <c r="AA42" s="160"/>
    </row>
    <row r="43" spans="1:27" ht="30" customHeight="1">
      <c r="A43" s="203" t="s">
        <v>868</v>
      </c>
      <c r="B43" s="204"/>
      <c r="C43" s="204"/>
      <c r="D43" s="205"/>
      <c r="E43" s="127" t="str">
        <f t="shared" si="0"/>
        <v>No Info</v>
      </c>
      <c r="F43" s="123" t="e">
        <f>IF($B$3='c2001'!$A$436,$N$12,VLOOKUP($B$3,'c2001'!$A$3:$AY$435,44,0))</f>
        <v>#N/A</v>
      </c>
      <c r="G43" s="123" t="e">
        <f>IF($B$3='c2006'!$A$438,$N$12,VLOOKUP($B$3,'c2006'!$A$3:$AY$437,44,0))</f>
        <v>#N/A</v>
      </c>
      <c r="K43" s="8"/>
      <c r="L43" s="8"/>
      <c r="M43" s="8"/>
      <c r="N43" s="8"/>
      <c r="O43" s="8"/>
      <c r="P43" s="8"/>
      <c r="Q43" s="8"/>
      <c r="R43" s="8"/>
      <c r="S43" s="160"/>
      <c r="T43" s="160"/>
      <c r="U43" s="160"/>
      <c r="V43" s="160"/>
      <c r="W43" s="160"/>
      <c r="X43" s="160"/>
      <c r="Y43" s="160"/>
      <c r="Z43" s="160"/>
      <c r="AA43" s="160"/>
    </row>
    <row r="44" spans="1:27" ht="30" customHeight="1">
      <c r="A44" s="203" t="s">
        <v>869</v>
      </c>
      <c r="B44" s="204"/>
      <c r="C44" s="204"/>
      <c r="D44" s="205"/>
      <c r="E44" s="127" t="str">
        <f t="shared" si="0"/>
        <v>No Info</v>
      </c>
      <c r="F44" s="123" t="e">
        <f>IF($B$3='c2001'!$A$436,$N$12,VLOOKUP($B$3,'c2001'!$A$3:$AY$435,45,0))</f>
        <v>#N/A</v>
      </c>
      <c r="G44" s="123" t="e">
        <f>IF($B$3='c2006'!$A$438,$N$12,VLOOKUP($B$3,'c2006'!$A$3:$AY$437,45,0))</f>
        <v>#N/A</v>
      </c>
      <c r="K44" s="8"/>
      <c r="L44" s="8"/>
      <c r="M44" s="8"/>
      <c r="N44" s="8"/>
      <c r="O44" s="8"/>
      <c r="P44" s="8"/>
      <c r="Q44" s="8"/>
      <c r="R44" s="8"/>
      <c r="S44" s="160"/>
      <c r="T44" s="160"/>
      <c r="U44" s="160"/>
      <c r="V44" s="160"/>
      <c r="W44" s="160"/>
      <c r="X44" s="160"/>
      <c r="Y44" s="160"/>
      <c r="Z44" s="160"/>
      <c r="AA44" s="160"/>
    </row>
    <row r="45" spans="1:27">
      <c r="A45" s="203" t="s">
        <v>870</v>
      </c>
      <c r="B45" s="204"/>
      <c r="C45" s="204"/>
      <c r="D45" s="205"/>
      <c r="E45" s="127" t="str">
        <f t="shared" si="0"/>
        <v>No Info</v>
      </c>
      <c r="F45" s="123" t="e">
        <f>IF($B$3='c2001'!$A$436,$N$12,VLOOKUP($B$3,'c2001'!$A$3:$AY$435,46,0))</f>
        <v>#N/A</v>
      </c>
      <c r="G45" s="123" t="e">
        <f>IF($B$3='c2006'!$A$438,$N$12,VLOOKUP($B$3,'c2006'!$A$3:$AY$437,46,0))</f>
        <v>#N/A</v>
      </c>
      <c r="K45" s="8"/>
      <c r="L45" s="8"/>
      <c r="M45" s="8"/>
      <c r="N45" s="8"/>
      <c r="O45" s="8"/>
      <c r="P45" s="8"/>
      <c r="Q45" s="8"/>
      <c r="R45" s="8"/>
      <c r="S45" s="160"/>
      <c r="T45" s="160"/>
      <c r="U45" s="160"/>
      <c r="V45" s="160"/>
      <c r="W45" s="160"/>
      <c r="X45" s="160"/>
      <c r="Y45" s="160"/>
      <c r="Z45" s="160"/>
      <c r="AA45" s="160"/>
    </row>
    <row r="46" spans="1:27">
      <c r="A46" s="203" t="s">
        <v>871</v>
      </c>
      <c r="B46" s="204"/>
      <c r="C46" s="204"/>
      <c r="D46" s="205"/>
      <c r="E46" s="127" t="str">
        <f t="shared" si="0"/>
        <v>No Info</v>
      </c>
      <c r="F46" s="123" t="e">
        <f>IF($B$3='c2001'!$A$436,$N$12,VLOOKUP($B$3,'c2001'!$A$3:$AY$435,47,0))</f>
        <v>#N/A</v>
      </c>
      <c r="G46" s="123" t="e">
        <f>IF($B$3='c2006'!$A$438,$N$12,VLOOKUP($B$3,'c2006'!$A$3:$AY$437,47,0))</f>
        <v>#N/A</v>
      </c>
      <c r="K46" s="8"/>
      <c r="L46" s="8"/>
      <c r="M46" s="8"/>
      <c r="N46" s="8"/>
      <c r="O46" s="8"/>
      <c r="P46" s="8"/>
      <c r="Q46" s="8"/>
      <c r="R46" s="8"/>
      <c r="S46" s="160"/>
      <c r="T46" s="160"/>
      <c r="U46" s="160"/>
      <c r="V46" s="160"/>
      <c r="W46" s="160"/>
      <c r="X46" s="160"/>
      <c r="Y46" s="160"/>
      <c r="Z46" s="160"/>
      <c r="AA46" s="160"/>
    </row>
    <row r="47" spans="1:27">
      <c r="A47" s="203" t="s">
        <v>872</v>
      </c>
      <c r="B47" s="204"/>
      <c r="C47" s="204"/>
      <c r="D47" s="205"/>
      <c r="E47" s="127" t="str">
        <f t="shared" si="0"/>
        <v>No Info</v>
      </c>
      <c r="F47" s="123" t="e">
        <f>IF($B$3='c2001'!$A$436,$N$12,VLOOKUP($B$3,'c2001'!$A$3:$AY$435,48,0))</f>
        <v>#N/A</v>
      </c>
      <c r="G47" s="123" t="e">
        <f>IF($B$3='c2006'!$A$438,$N$12,VLOOKUP($B$3,'c2006'!$A$3:$AY$437,48,0))</f>
        <v>#N/A</v>
      </c>
      <c r="K47" s="8"/>
      <c r="L47" s="8"/>
      <c r="M47" s="8"/>
      <c r="N47" s="8"/>
      <c r="O47" s="8"/>
      <c r="P47" s="8"/>
      <c r="Q47" s="8"/>
      <c r="R47" s="8"/>
      <c r="S47" s="160"/>
      <c r="T47" s="160"/>
      <c r="U47" s="160"/>
      <c r="V47" s="160"/>
      <c r="W47" s="160"/>
      <c r="X47" s="160"/>
      <c r="Y47" s="160"/>
      <c r="Z47" s="160"/>
      <c r="AA47" s="160"/>
    </row>
    <row r="48" spans="1:27">
      <c r="A48" s="203" t="s">
        <v>873</v>
      </c>
      <c r="B48" s="204"/>
      <c r="C48" s="204"/>
      <c r="D48" s="205"/>
      <c r="E48" s="127" t="str">
        <f t="shared" si="0"/>
        <v>No Info</v>
      </c>
      <c r="F48" s="123" t="e">
        <f>IF($B$3='c2001'!$A$436,$N$12,VLOOKUP($B$3,'c2001'!$A$3:$AY$435,49,0))</f>
        <v>#N/A</v>
      </c>
      <c r="G48" s="123" t="e">
        <f>IF($B$3='c2006'!$A$438,$N$12,VLOOKUP($B$3,'c2006'!$A$3:$AY$437,49,0))</f>
        <v>#N/A</v>
      </c>
      <c r="K48" s="8"/>
      <c r="L48" s="8"/>
      <c r="M48" s="8"/>
      <c r="N48" s="8"/>
      <c r="O48" s="8"/>
      <c r="P48" s="8"/>
      <c r="Q48" s="8"/>
      <c r="R48" s="8"/>
      <c r="S48" s="160"/>
      <c r="T48" s="160"/>
      <c r="U48" s="160"/>
      <c r="V48" s="160"/>
      <c r="W48" s="160"/>
      <c r="X48" s="160"/>
      <c r="Y48" s="160"/>
      <c r="Z48" s="160"/>
      <c r="AA48" s="160"/>
    </row>
    <row r="49" spans="1:27" ht="30" customHeight="1">
      <c r="A49" s="203" t="s">
        <v>874</v>
      </c>
      <c r="B49" s="204"/>
      <c r="C49" s="204"/>
      <c r="D49" s="205"/>
      <c r="E49" s="127" t="str">
        <f t="shared" si="0"/>
        <v>No Info</v>
      </c>
      <c r="F49" s="123" t="e">
        <f>IF($B$3='c2001'!$A$436,$N$12,VLOOKUP($B$3,'c2001'!$A$3:$AY$435,50,0))</f>
        <v>#N/A</v>
      </c>
      <c r="G49" s="123" t="e">
        <f>IF($B$3='c2006'!$A$438,$N$12,VLOOKUP($B$3,'c2006'!$A$3:$AY$437,50,0))</f>
        <v>#N/A</v>
      </c>
      <c r="K49" s="8"/>
      <c r="L49" s="8"/>
      <c r="M49" s="8"/>
      <c r="N49" s="8"/>
      <c r="O49" s="8"/>
      <c r="P49" s="8"/>
      <c r="Q49" s="8"/>
      <c r="R49" s="8"/>
      <c r="S49" s="160"/>
      <c r="T49" s="160"/>
      <c r="U49" s="160"/>
      <c r="V49" s="160"/>
      <c r="W49" s="160"/>
      <c r="X49" s="160"/>
      <c r="Y49" s="160"/>
      <c r="Z49" s="160"/>
      <c r="AA49" s="160"/>
    </row>
    <row r="50" spans="1:27" ht="15" customHeight="1">
      <c r="A50" s="203" t="s">
        <v>875</v>
      </c>
      <c r="B50" s="204"/>
      <c r="C50" s="204"/>
      <c r="D50" s="205"/>
      <c r="E50" s="127" t="str">
        <f t="shared" si="0"/>
        <v>No Info</v>
      </c>
      <c r="F50" s="123" t="e">
        <f>IF($B$3='c2001'!$A$436,$N$12,VLOOKUP($B$3,'c2001'!$A$3:$AY$435,51,0))</f>
        <v>#N/A</v>
      </c>
      <c r="G50" s="123" t="e">
        <f>IF($B$3='c2006'!$A$438,$N$12,VLOOKUP($B$3,'c2006'!$A$3:$AY$437,51,0))</f>
        <v>#N/A</v>
      </c>
      <c r="K50" s="8"/>
      <c r="L50" s="8"/>
      <c r="M50" s="8"/>
      <c r="N50" s="8"/>
      <c r="O50" s="8"/>
      <c r="P50" s="8"/>
      <c r="Q50" s="8"/>
      <c r="R50" s="8"/>
      <c r="S50" s="160"/>
      <c r="T50" s="160"/>
      <c r="U50" s="160"/>
      <c r="V50" s="160"/>
      <c r="W50" s="160"/>
      <c r="X50" s="160"/>
      <c r="Y50" s="160"/>
      <c r="Z50" s="160"/>
      <c r="AA50" s="160"/>
    </row>
    <row r="51" spans="1:27">
      <c r="K51" s="8"/>
      <c r="L51" s="8"/>
      <c r="M51" s="8"/>
      <c r="N51" s="8"/>
      <c r="O51" s="8"/>
      <c r="P51" s="8"/>
      <c r="Q51" s="8"/>
      <c r="R51" s="8"/>
      <c r="S51" s="8"/>
    </row>
    <row r="52" spans="1:27">
      <c r="A52" s="170" t="s">
        <v>66</v>
      </c>
      <c r="B52" s="170"/>
      <c r="C52" s="170"/>
      <c r="K52" s="8"/>
      <c r="L52" s="8"/>
      <c r="M52" s="8"/>
      <c r="N52" s="8"/>
      <c r="O52" s="8"/>
      <c r="P52" s="8"/>
      <c r="Q52" s="8"/>
      <c r="R52" s="8"/>
      <c r="S52" s="8"/>
    </row>
    <row r="53" spans="1:27" ht="30" customHeight="1">
      <c r="D53" s="25"/>
      <c r="E53" s="112" t="s">
        <v>831</v>
      </c>
      <c r="F53" s="112" t="s">
        <v>832</v>
      </c>
      <c r="G53" s="14" t="str">
        <f>CONCATENATE("Change (",E53,"-",F53,")")</f>
        <v>Change (Yr 1-Yr 2)</v>
      </c>
      <c r="K53" s="8"/>
      <c r="L53" s="8"/>
      <c r="M53" s="8"/>
      <c r="N53" s="8"/>
      <c r="O53" s="8"/>
      <c r="P53" s="8"/>
      <c r="Q53" s="8"/>
      <c r="R53" s="8"/>
      <c r="S53" s="4" t="s">
        <v>919</v>
      </c>
    </row>
    <row r="54" spans="1:27">
      <c r="A54" s="171" t="s">
        <v>907</v>
      </c>
      <c r="B54" s="171"/>
      <c r="C54" s="171"/>
      <c r="D54" s="172"/>
      <c r="E54" s="44"/>
      <c r="F54" s="45"/>
      <c r="G54" s="62" t="str">
        <f>IF(ISNUMBER(E54),IF(ISNUMBER(F54),(F54/E54)-1,""),"")</f>
        <v/>
      </c>
      <c r="K54" s="8"/>
      <c r="L54" s="8"/>
      <c r="M54" s="8"/>
      <c r="N54" s="8"/>
      <c r="O54" s="8"/>
      <c r="P54" s="8"/>
      <c r="Q54" s="8"/>
      <c r="R54" s="8"/>
      <c r="S54" s="8"/>
    </row>
    <row r="55" spans="1:27" ht="15" customHeight="1">
      <c r="A55" s="173" t="s">
        <v>908</v>
      </c>
      <c r="B55" s="173"/>
      <c r="C55" s="173"/>
      <c r="D55" s="174"/>
      <c r="E55" s="44"/>
      <c r="F55" s="45"/>
      <c r="G55" s="62" t="str">
        <f>IF(ISNUMBER(E55),IF(ISNUMBER(F55),(F55/E55)-1,""),"")</f>
        <v/>
      </c>
      <c r="K55" s="8"/>
      <c r="L55" s="8"/>
      <c r="M55" s="8"/>
      <c r="N55" s="8"/>
      <c r="O55" s="8"/>
      <c r="P55" s="8"/>
      <c r="Q55" s="8"/>
      <c r="R55" s="8"/>
      <c r="S55" s="8"/>
    </row>
    <row r="56" spans="1:27" ht="15" customHeight="1">
      <c r="A56" s="173" t="s">
        <v>909</v>
      </c>
      <c r="B56" s="173"/>
      <c r="C56" s="173"/>
      <c r="D56" s="174"/>
      <c r="E56" s="44"/>
      <c r="F56" s="45"/>
      <c r="G56" s="62" t="str">
        <f>IF(ISNUMBER(E56),IF(ISNUMBER(F56),(F56/E56)-1,""),"")</f>
        <v/>
      </c>
      <c r="K56" s="8"/>
      <c r="L56" s="8"/>
      <c r="M56" s="8"/>
      <c r="N56" s="8"/>
      <c r="O56" s="8"/>
      <c r="P56" s="8"/>
      <c r="Q56" s="8"/>
      <c r="R56" s="8"/>
      <c r="S56" s="8"/>
    </row>
    <row r="57" spans="1:27">
      <c r="A57" s="173" t="s">
        <v>910</v>
      </c>
      <c r="B57" s="173"/>
      <c r="C57" s="173"/>
      <c r="D57" s="174"/>
      <c r="E57" s="44"/>
      <c r="F57" s="45"/>
      <c r="G57" s="62" t="str">
        <f>IF(ISNUMBER(E57),IF(ISNUMBER(F57),(F57/E57)-1,""),"")</f>
        <v/>
      </c>
      <c r="K57" s="8"/>
      <c r="L57" s="8"/>
      <c r="M57" s="8"/>
      <c r="N57" s="8"/>
      <c r="O57" s="8"/>
      <c r="P57" s="8"/>
      <c r="Q57" s="8"/>
      <c r="R57" s="8"/>
      <c r="S57" s="8"/>
    </row>
    <row r="58" spans="1:27" ht="15" customHeight="1">
      <c r="A58" s="175" t="s">
        <v>911</v>
      </c>
      <c r="B58" s="175"/>
      <c r="C58" s="175"/>
      <c r="D58" s="176"/>
      <c r="E58" s="46">
        <f>SUM(E54:E57)</f>
        <v>0</v>
      </c>
      <c r="F58" s="46">
        <f>SUM(F54:F57)</f>
        <v>0</v>
      </c>
      <c r="G58" s="62" t="str">
        <f>IF(E58=0,"",IF(F58=0,"",(F58/E58)-1))</f>
        <v/>
      </c>
      <c r="H58" s="133"/>
      <c r="K58" s="8"/>
      <c r="L58" s="8"/>
      <c r="M58" s="8"/>
      <c r="N58" s="8"/>
      <c r="O58" s="8"/>
      <c r="P58" s="8"/>
      <c r="Q58" s="8"/>
      <c r="R58" s="8"/>
      <c r="S58" s="8"/>
    </row>
    <row r="59" spans="1:27" ht="15" customHeight="1">
      <c r="A59" s="173" t="s">
        <v>912</v>
      </c>
      <c r="B59" s="173"/>
      <c r="C59" s="173"/>
      <c r="D59" s="174"/>
      <c r="E59" s="44"/>
      <c r="F59" s="45"/>
      <c r="G59" s="62" t="str">
        <f t="shared" ref="G59:G63" si="1">IF(ISNUMBER(E59),IF(ISNUMBER(F59),(F59/E59)-1,""),"")</f>
        <v/>
      </c>
      <c r="K59" s="8"/>
      <c r="L59" s="8"/>
      <c r="M59" s="8"/>
      <c r="N59" s="8"/>
      <c r="O59" s="8"/>
      <c r="P59" s="8"/>
      <c r="Q59" s="8"/>
      <c r="R59" s="8"/>
      <c r="S59" s="8"/>
    </row>
    <row r="60" spans="1:27" ht="15" customHeight="1">
      <c r="A60" s="173" t="s">
        <v>64</v>
      </c>
      <c r="B60" s="173"/>
      <c r="C60" s="173"/>
      <c r="D60" s="174"/>
      <c r="E60" s="44"/>
      <c r="F60" s="45"/>
      <c r="G60" s="62" t="str">
        <f t="shared" si="1"/>
        <v/>
      </c>
      <c r="K60" s="8"/>
      <c r="L60" s="8"/>
      <c r="M60" s="8"/>
      <c r="N60" s="8"/>
      <c r="O60" s="8"/>
      <c r="P60" s="8"/>
      <c r="Q60" s="8"/>
      <c r="R60" s="8"/>
      <c r="S60" s="8"/>
    </row>
    <row r="61" spans="1:27" ht="15" customHeight="1">
      <c r="A61" s="173" t="s">
        <v>808</v>
      </c>
      <c r="B61" s="173"/>
      <c r="C61" s="173"/>
      <c r="D61" s="174"/>
      <c r="E61" s="44"/>
      <c r="F61" s="45"/>
      <c r="G61" s="62" t="str">
        <f t="shared" si="1"/>
        <v/>
      </c>
      <c r="K61" s="8"/>
      <c r="L61" s="8"/>
      <c r="M61" s="8"/>
      <c r="N61" s="8"/>
      <c r="O61" s="8"/>
      <c r="P61" s="8"/>
      <c r="Q61" s="8"/>
      <c r="R61" s="8"/>
      <c r="S61" s="8"/>
    </row>
    <row r="62" spans="1:27" ht="15" customHeight="1">
      <c r="A62" s="173" t="s">
        <v>808</v>
      </c>
      <c r="B62" s="173"/>
      <c r="C62" s="173"/>
      <c r="D62" s="174"/>
      <c r="E62" s="44"/>
      <c r="F62" s="45"/>
      <c r="G62" s="62" t="str">
        <f t="shared" si="1"/>
        <v/>
      </c>
      <c r="K62" s="8"/>
      <c r="L62" s="8"/>
      <c r="M62" s="8"/>
      <c r="N62" s="8"/>
      <c r="O62" s="8"/>
      <c r="P62" s="8"/>
      <c r="Q62" s="8"/>
      <c r="R62" s="8"/>
      <c r="S62" s="8"/>
    </row>
    <row r="63" spans="1:27" ht="15" customHeight="1">
      <c r="A63" s="173" t="s">
        <v>808</v>
      </c>
      <c r="B63" s="173"/>
      <c r="C63" s="173"/>
      <c r="D63" s="174"/>
      <c r="E63" s="44"/>
      <c r="F63" s="45"/>
      <c r="G63" s="62" t="str">
        <f t="shared" si="1"/>
        <v/>
      </c>
      <c r="K63" s="8"/>
      <c r="L63" s="8"/>
      <c r="M63" s="8"/>
      <c r="N63" s="8"/>
      <c r="O63" s="8"/>
      <c r="P63" s="8"/>
      <c r="Q63" s="8"/>
      <c r="R63" s="8"/>
      <c r="S63" s="8"/>
    </row>
    <row r="64" spans="1:27" ht="15" customHeight="1">
      <c r="A64" s="175" t="s">
        <v>911</v>
      </c>
      <c r="B64" s="175"/>
      <c r="C64" s="175"/>
      <c r="D64" s="176"/>
      <c r="E64" s="46">
        <f>SUM(E59:E63)</f>
        <v>0</v>
      </c>
      <c r="F64" s="46">
        <f>SUM(F59:F63)</f>
        <v>0</v>
      </c>
      <c r="G64" s="62" t="str">
        <f>IF(E64=0,"",IF(F64=0,"",(F64/E64)-1))</f>
        <v/>
      </c>
      <c r="H64" s="133"/>
      <c r="K64" s="8"/>
      <c r="L64" s="8"/>
      <c r="M64" s="8"/>
      <c r="N64" s="8"/>
      <c r="O64" s="8"/>
      <c r="P64" s="8"/>
      <c r="Q64" s="8"/>
      <c r="R64" s="8"/>
      <c r="S64" s="8"/>
    </row>
    <row r="65" spans="1:11">
      <c r="A65" s="191" t="s">
        <v>183</v>
      </c>
      <c r="B65" s="191"/>
      <c r="C65" s="191"/>
      <c r="D65" s="192"/>
      <c r="E65" s="47">
        <f>E58+E64</f>
        <v>0</v>
      </c>
      <c r="F65" s="47">
        <f>F58+F64</f>
        <v>0</v>
      </c>
      <c r="G65" s="62" t="str">
        <f>IF(E65=0,"",IF(F65=0,"",(F65/E65)-1))</f>
        <v/>
      </c>
      <c r="H65" s="133"/>
    </row>
    <row r="66" spans="1:11">
      <c r="A66" s="8"/>
      <c r="D66" s="31"/>
      <c r="E66" s="31"/>
      <c r="F66" s="27"/>
      <c r="G66" s="27"/>
      <c r="H66" s="134"/>
    </row>
    <row r="68" spans="1:11" ht="30" customHeight="1">
      <c r="A68" s="194" t="s">
        <v>796</v>
      </c>
      <c r="B68" s="194"/>
      <c r="C68" s="194"/>
      <c r="D68" s="194"/>
      <c r="E68" s="194"/>
      <c r="F68" s="194"/>
      <c r="G68" s="21"/>
      <c r="H68" s="135"/>
      <c r="K68" s="24"/>
    </row>
    <row r="69" spans="1:11" ht="15" customHeight="1">
      <c r="A69" s="9"/>
      <c r="B69" s="13" t="s">
        <v>70</v>
      </c>
      <c r="C69" s="9"/>
      <c r="D69" s="9"/>
      <c r="E69" s="9"/>
      <c r="F69" s="9"/>
      <c r="G69" s="107"/>
      <c r="H69" s="134"/>
      <c r="K69" s="24"/>
    </row>
    <row r="70" spans="1:11">
      <c r="A70" s="32"/>
      <c r="B70" s="5" t="s">
        <v>67</v>
      </c>
      <c r="D70" s="10"/>
      <c r="E70" s="11"/>
      <c r="F70" s="33"/>
      <c r="G70" s="34"/>
      <c r="J70" s="136"/>
    </row>
    <row r="71" spans="1:11">
      <c r="A71" s="32"/>
      <c r="C71" s="5" t="s">
        <v>71</v>
      </c>
      <c r="D71" s="10"/>
      <c r="E71" s="11"/>
      <c r="F71" s="33"/>
      <c r="G71" s="34"/>
      <c r="J71" s="136"/>
    </row>
    <row r="72" spans="1:11">
      <c r="A72" s="32"/>
      <c r="C72" t="s">
        <v>501</v>
      </c>
      <c r="D72" s="10"/>
      <c r="E72" s="11"/>
      <c r="F72" s="33"/>
      <c r="G72" s="34"/>
      <c r="J72" s="136"/>
    </row>
    <row r="73" spans="1:11">
      <c r="A73" s="32"/>
      <c r="B73" s="5" t="s">
        <v>68</v>
      </c>
      <c r="D73" s="10"/>
      <c r="E73" s="11"/>
      <c r="F73" s="33"/>
      <c r="G73" s="34"/>
      <c r="J73" s="136"/>
    </row>
    <row r="74" spans="1:11">
      <c r="B74" s="5" t="s">
        <v>69</v>
      </c>
      <c r="D74" s="11"/>
      <c r="E74" s="11"/>
      <c r="F74" s="31"/>
      <c r="G74" s="34"/>
      <c r="J74" s="136"/>
    </row>
    <row r="75" spans="1:11">
      <c r="A75" s="32"/>
      <c r="B75" t="s">
        <v>797</v>
      </c>
      <c r="D75" s="12"/>
      <c r="E75" s="12"/>
      <c r="F75" s="33"/>
      <c r="G75" s="34"/>
      <c r="J75" s="136"/>
    </row>
    <row r="76" spans="1:11">
      <c r="B76" t="s">
        <v>798</v>
      </c>
      <c r="D76" s="11"/>
      <c r="E76" s="11"/>
      <c r="F76" s="33"/>
      <c r="G76" s="34"/>
      <c r="J76" s="136"/>
    </row>
    <row r="77" spans="1:11">
      <c r="D77" s="11"/>
      <c r="E77" s="11"/>
      <c r="F77" s="33"/>
      <c r="G77" s="33"/>
      <c r="H77" s="136"/>
      <c r="J77" s="136"/>
    </row>
    <row r="78" spans="1:11">
      <c r="A78" s="49" t="s">
        <v>72</v>
      </c>
      <c r="D78" s="11"/>
      <c r="E78" s="11"/>
      <c r="F78" s="33"/>
      <c r="G78" s="33" t="s">
        <v>157</v>
      </c>
      <c r="H78" s="136"/>
    </row>
    <row r="79" spans="1:11">
      <c r="B79" t="s">
        <v>187</v>
      </c>
      <c r="D79" s="11"/>
      <c r="E79" s="11"/>
      <c r="F79" s="33"/>
      <c r="G79" s="21"/>
      <c r="H79" s="134"/>
    </row>
    <row r="80" spans="1:11">
      <c r="B80" s="5" t="s">
        <v>73</v>
      </c>
      <c r="D80" s="11"/>
      <c r="E80" s="11"/>
      <c r="F80" s="33"/>
      <c r="G80" s="107"/>
      <c r="H80" s="134"/>
    </row>
    <row r="81" spans="1:10">
      <c r="E81" s="5" t="s">
        <v>23</v>
      </c>
      <c r="F81" s="5" t="s">
        <v>24</v>
      </c>
      <c r="G81" s="5" t="s">
        <v>25</v>
      </c>
    </row>
    <row r="82" spans="1:10" ht="30" customHeight="1">
      <c r="A82" s="35"/>
      <c r="B82" s="199" t="s">
        <v>74</v>
      </c>
      <c r="C82" s="199"/>
      <c r="D82" s="200"/>
      <c r="E82" s="28"/>
      <c r="F82" s="29"/>
      <c r="G82" s="30"/>
      <c r="J82" s="136"/>
    </row>
    <row r="83" spans="1:10" ht="30" customHeight="1">
      <c r="A83" s="36"/>
      <c r="B83" s="199" t="s">
        <v>75</v>
      </c>
      <c r="C83" s="199"/>
      <c r="D83" s="200"/>
      <c r="E83" s="28"/>
      <c r="F83" s="29"/>
      <c r="G83" s="30"/>
      <c r="J83" s="136"/>
    </row>
    <row r="84" spans="1:10" ht="30" customHeight="1">
      <c r="B84" s="199" t="s">
        <v>76</v>
      </c>
      <c r="C84" s="199"/>
      <c r="D84" s="200"/>
      <c r="E84" s="28"/>
      <c r="F84" s="29"/>
      <c r="G84" s="30"/>
      <c r="J84" s="136"/>
    </row>
    <row r="86" spans="1:10">
      <c r="A86" s="49" t="s">
        <v>77</v>
      </c>
    </row>
    <row r="87" spans="1:10">
      <c r="A87" s="6" t="s">
        <v>22</v>
      </c>
      <c r="C87" s="28"/>
      <c r="E87" s="6" t="s">
        <v>78</v>
      </c>
      <c r="G87" s="28"/>
    </row>
    <row r="88" spans="1:10">
      <c r="A88" s="6" t="s">
        <v>86</v>
      </c>
      <c r="C88" s="28"/>
      <c r="E88" s="6" t="s">
        <v>79</v>
      </c>
      <c r="G88" s="28"/>
    </row>
    <row r="89" spans="1:10">
      <c r="A89" s="6" t="s">
        <v>80</v>
      </c>
      <c r="C89" s="28"/>
      <c r="E89" s="6" t="s">
        <v>81</v>
      </c>
      <c r="G89" s="28"/>
    </row>
    <row r="90" spans="1:10">
      <c r="A90" s="6" t="s">
        <v>82</v>
      </c>
      <c r="C90" s="28"/>
      <c r="E90" s="6" t="s">
        <v>85</v>
      </c>
      <c r="G90" s="28"/>
    </row>
    <row r="91" spans="1:10">
      <c r="A91" s="6" t="s">
        <v>83</v>
      </c>
      <c r="C91" s="28"/>
      <c r="E91" s="6" t="s">
        <v>84</v>
      </c>
      <c r="G91" s="28"/>
    </row>
    <row r="92" spans="1:10">
      <c r="A92" s="15" t="s">
        <v>87</v>
      </c>
      <c r="C92" s="28"/>
      <c r="E92" s="15" t="s">
        <v>88</v>
      </c>
      <c r="G92" s="28"/>
    </row>
    <row r="93" spans="1:10">
      <c r="A93" s="15" t="s">
        <v>502</v>
      </c>
      <c r="C93" s="28"/>
      <c r="D93" s="19"/>
      <c r="E93" s="37"/>
      <c r="F93" s="33"/>
      <c r="G93" s="33"/>
    </row>
    <row r="94" spans="1:10">
      <c r="A94" s="15"/>
      <c r="C94" s="31"/>
      <c r="D94" s="19"/>
      <c r="E94" s="37"/>
      <c r="F94" s="33"/>
      <c r="G94" s="33"/>
    </row>
    <row r="95" spans="1:10">
      <c r="G95" s="33" t="s">
        <v>157</v>
      </c>
    </row>
    <row r="96" spans="1:10">
      <c r="A96" s="49" t="s">
        <v>89</v>
      </c>
      <c r="G96" s="21"/>
    </row>
    <row r="97" spans="1:7">
      <c r="A97" s="38"/>
      <c r="B97" s="27"/>
    </row>
    <row r="98" spans="1:7" ht="30" customHeight="1">
      <c r="A98" s="38"/>
      <c r="B98" s="27"/>
      <c r="D98" s="190" t="str">
        <f>IF(G96="No","How far is the nearest public library?","")</f>
        <v/>
      </c>
      <c r="E98" s="193"/>
      <c r="F98" s="39"/>
      <c r="G98" s="33"/>
    </row>
    <row r="99" spans="1:7">
      <c r="G99" s="33" t="s">
        <v>157</v>
      </c>
    </row>
    <row r="100" spans="1:7" ht="30" customHeight="1">
      <c r="A100" s="167" t="s">
        <v>135</v>
      </c>
      <c r="B100" s="167"/>
      <c r="C100" s="167"/>
      <c r="D100" s="167"/>
      <c r="E100" s="167"/>
      <c r="F100" s="167"/>
      <c r="G100" s="21"/>
    </row>
    <row r="101" spans="1:7">
      <c r="A101" s="38"/>
      <c r="B101" s="27"/>
      <c r="F101" s="33"/>
      <c r="G101" s="33"/>
    </row>
    <row r="102" spans="1:7">
      <c r="A102" s="38"/>
      <c r="B102" s="27"/>
      <c r="D102" s="6" t="str">
        <f>IF(G100="Yes","Number of members","")</f>
        <v/>
      </c>
      <c r="F102" s="40"/>
      <c r="G102" s="27"/>
    </row>
    <row r="103" spans="1:7">
      <c r="A103" s="31"/>
      <c r="B103" s="31"/>
      <c r="D103" s="6" t="str">
        <f>IF(G100="Yes","Annual budget","")</f>
        <v/>
      </c>
      <c r="F103" s="39"/>
      <c r="G103" s="33"/>
    </row>
    <row r="104" spans="1:7">
      <c r="A104" s="38"/>
      <c r="B104" s="27"/>
      <c r="E104" s="54" t="s">
        <v>512</v>
      </c>
      <c r="F104" s="50"/>
    </row>
    <row r="106" spans="1:7" ht="15" customHeight="1">
      <c r="A106" s="168" t="s">
        <v>136</v>
      </c>
      <c r="B106" s="168"/>
      <c r="C106" s="168"/>
      <c r="D106" s="168"/>
      <c r="E106" s="168"/>
      <c r="F106" s="168"/>
    </row>
    <row r="107" spans="1:7">
      <c r="A107" s="7" t="s">
        <v>26</v>
      </c>
      <c r="F107" s="54" t="s">
        <v>27</v>
      </c>
      <c r="G107" s="6" t="s">
        <v>503</v>
      </c>
    </row>
    <row r="108" spans="1:7">
      <c r="A108" s="5">
        <v>1</v>
      </c>
      <c r="B108" s="165"/>
      <c r="C108" s="166"/>
      <c r="D108" s="166"/>
      <c r="F108" s="28"/>
      <c r="G108" s="55"/>
    </row>
    <row r="109" spans="1:7">
      <c r="A109" s="5">
        <v>2</v>
      </c>
      <c r="B109" s="165"/>
      <c r="C109" s="166"/>
      <c r="D109" s="166"/>
      <c r="F109" s="28"/>
      <c r="G109" s="55"/>
    </row>
    <row r="110" spans="1:7">
      <c r="A110" s="5">
        <v>3</v>
      </c>
      <c r="B110" s="165"/>
      <c r="C110" s="166"/>
      <c r="D110" s="166"/>
      <c r="F110" s="28"/>
      <c r="G110" s="55"/>
    </row>
    <row r="111" spans="1:7">
      <c r="A111" s="5">
        <v>4</v>
      </c>
      <c r="B111" s="165"/>
      <c r="C111" s="166"/>
      <c r="D111" s="166"/>
      <c r="F111" s="28"/>
      <c r="G111" s="55"/>
    </row>
    <row r="112" spans="1:7">
      <c r="A112" s="5">
        <v>5</v>
      </c>
      <c r="B112" s="165"/>
      <c r="C112" s="166"/>
      <c r="D112" s="166"/>
      <c r="F112" s="28"/>
      <c r="G112" s="55"/>
    </row>
    <row r="113" spans="1:27">
      <c r="A113" s="5">
        <v>6</v>
      </c>
      <c r="B113" s="166"/>
      <c r="C113" s="166"/>
      <c r="D113" s="166"/>
      <c r="F113" s="28"/>
      <c r="G113" s="55"/>
    </row>
    <row r="114" spans="1:27">
      <c r="A114" s="5">
        <v>7</v>
      </c>
      <c r="B114" s="166"/>
      <c r="C114" s="166"/>
      <c r="D114" s="166"/>
      <c r="F114" s="28"/>
      <c r="G114" s="55"/>
    </row>
    <row r="115" spans="1:27">
      <c r="A115" s="5">
        <v>8</v>
      </c>
      <c r="B115" s="166"/>
      <c r="C115" s="166"/>
      <c r="D115" s="166"/>
      <c r="F115" s="28"/>
      <c r="G115" s="55"/>
    </row>
    <row r="116" spans="1:27">
      <c r="A116" s="5">
        <v>9</v>
      </c>
      <c r="B116" s="166"/>
      <c r="C116" s="166"/>
      <c r="D116" s="166"/>
      <c r="F116" s="28"/>
      <c r="G116" s="55"/>
    </row>
    <row r="117" spans="1:27">
      <c r="A117" s="5">
        <v>10</v>
      </c>
      <c r="B117" s="166"/>
      <c r="C117" s="166"/>
      <c r="D117" s="166"/>
      <c r="F117" s="28"/>
      <c r="G117" s="55"/>
    </row>
    <row r="118" spans="1:27">
      <c r="E118" s="51" t="s">
        <v>188</v>
      </c>
      <c r="F118" s="52">
        <f>SUM(F108:F117)</f>
        <v>0</v>
      </c>
    </row>
    <row r="119" spans="1:27">
      <c r="K119" s="3"/>
    </row>
    <row r="120" spans="1:27" ht="18.75">
      <c r="A120" s="48" t="s">
        <v>833</v>
      </c>
      <c r="K120" s="3"/>
    </row>
    <row r="121" spans="1:27" ht="15" customHeight="1">
      <c r="G121" s="20"/>
      <c r="H121" s="137"/>
      <c r="I121" s="138" t="s">
        <v>164</v>
      </c>
      <c r="J121" s="138" t="s">
        <v>16</v>
      </c>
      <c r="K121" s="3"/>
    </row>
    <row r="122" spans="1:27" ht="45" customHeight="1">
      <c r="A122" s="167" t="s">
        <v>504</v>
      </c>
      <c r="B122" s="167"/>
      <c r="C122" s="167"/>
      <c r="D122" s="167"/>
      <c r="E122" s="167"/>
      <c r="F122" s="167"/>
      <c r="G122" s="26" t="s">
        <v>21</v>
      </c>
      <c r="H122" s="132"/>
      <c r="I122" s="132">
        <f>IF(G122=$N$8,J122,0)</f>
        <v>0</v>
      </c>
      <c r="J122" s="132">
        <v>12</v>
      </c>
      <c r="K122" s="3"/>
      <c r="S122" s="158" t="s">
        <v>920</v>
      </c>
      <c r="T122" s="159"/>
      <c r="U122" s="159"/>
      <c r="V122" s="159"/>
      <c r="W122" s="159"/>
      <c r="X122" s="159"/>
      <c r="Y122" s="159"/>
      <c r="Z122" s="159"/>
      <c r="AA122" s="159"/>
    </row>
    <row r="123" spans="1:27" ht="30" customHeight="1">
      <c r="A123" s="190" t="s">
        <v>821</v>
      </c>
      <c r="B123" s="190"/>
      <c r="C123" s="190"/>
      <c r="D123" s="190"/>
      <c r="E123" s="190"/>
      <c r="F123" s="190"/>
      <c r="G123" s="26" t="s">
        <v>21</v>
      </c>
      <c r="H123" s="132"/>
      <c r="I123" s="132">
        <f t="shared" ref="I123:I128" si="2">IF(G123=$N$8,J123,0)</f>
        <v>0</v>
      </c>
      <c r="J123" s="132">
        <v>6</v>
      </c>
      <c r="K123" s="3"/>
      <c r="S123" s="159"/>
      <c r="T123" s="159"/>
      <c r="U123" s="159"/>
      <c r="V123" s="159"/>
      <c r="W123" s="159"/>
      <c r="X123" s="159"/>
      <c r="Y123" s="159"/>
      <c r="Z123" s="159"/>
      <c r="AA123" s="159"/>
    </row>
    <row r="124" spans="1:27">
      <c r="A124" s="190" t="s">
        <v>822</v>
      </c>
      <c r="B124" s="190"/>
      <c r="C124" s="190"/>
      <c r="D124" s="190"/>
      <c r="E124" s="190"/>
      <c r="F124" s="190"/>
      <c r="G124" s="26" t="s">
        <v>21</v>
      </c>
      <c r="H124" s="132"/>
      <c r="I124" s="132">
        <f t="shared" si="2"/>
        <v>0</v>
      </c>
      <c r="J124" s="132">
        <v>5</v>
      </c>
      <c r="K124" s="3"/>
      <c r="S124" s="159"/>
      <c r="T124" s="159"/>
      <c r="U124" s="159"/>
      <c r="V124" s="159"/>
      <c r="W124" s="159"/>
      <c r="X124" s="159"/>
      <c r="Y124" s="159"/>
      <c r="Z124" s="159"/>
      <c r="AA124" s="159"/>
    </row>
    <row r="125" spans="1:27" ht="30" customHeight="1">
      <c r="A125" s="190" t="s">
        <v>826</v>
      </c>
      <c r="B125" s="190"/>
      <c r="C125" s="190"/>
      <c r="D125" s="190"/>
      <c r="E125" s="190"/>
      <c r="F125" s="190"/>
      <c r="G125" s="26" t="s">
        <v>21</v>
      </c>
      <c r="H125" s="132"/>
      <c r="I125" s="132">
        <f t="shared" si="2"/>
        <v>0</v>
      </c>
      <c r="J125" s="132">
        <v>5</v>
      </c>
      <c r="K125" s="3"/>
      <c r="S125" s="159"/>
      <c r="T125" s="159"/>
      <c r="U125" s="159"/>
      <c r="V125" s="159"/>
      <c r="W125" s="159"/>
      <c r="X125" s="159"/>
      <c r="Y125" s="159"/>
      <c r="Z125" s="159"/>
      <c r="AA125" s="159"/>
    </row>
    <row r="126" spans="1:27">
      <c r="A126" s="190" t="s">
        <v>823</v>
      </c>
      <c r="B126" s="190"/>
      <c r="C126" s="190"/>
      <c r="D126" s="190"/>
      <c r="E126" s="190"/>
      <c r="F126" s="190"/>
      <c r="G126" s="26" t="s">
        <v>21</v>
      </c>
      <c r="H126" s="132"/>
      <c r="I126" s="132">
        <f t="shared" si="2"/>
        <v>0</v>
      </c>
      <c r="J126" s="132">
        <v>4</v>
      </c>
      <c r="K126" s="3"/>
      <c r="S126" s="159"/>
      <c r="T126" s="159"/>
      <c r="U126" s="159"/>
      <c r="V126" s="159"/>
      <c r="W126" s="159"/>
      <c r="X126" s="159"/>
      <c r="Y126" s="159"/>
      <c r="Z126" s="159"/>
      <c r="AA126" s="159"/>
    </row>
    <row r="127" spans="1:27" ht="30" customHeight="1">
      <c r="A127" s="190" t="s">
        <v>824</v>
      </c>
      <c r="B127" s="190"/>
      <c r="C127" s="190"/>
      <c r="D127" s="190"/>
      <c r="E127" s="190"/>
      <c r="F127" s="190"/>
      <c r="G127" s="26" t="s">
        <v>21</v>
      </c>
      <c r="H127" s="132"/>
      <c r="I127" s="132">
        <f t="shared" si="2"/>
        <v>0</v>
      </c>
      <c r="J127" s="132">
        <v>7</v>
      </c>
      <c r="K127" s="3"/>
      <c r="S127" s="159"/>
      <c r="T127" s="159"/>
      <c r="U127" s="159"/>
      <c r="V127" s="159"/>
      <c r="W127" s="159"/>
      <c r="X127" s="159"/>
      <c r="Y127" s="159"/>
      <c r="Z127" s="159"/>
      <c r="AA127" s="159"/>
    </row>
    <row r="128" spans="1:27" ht="45" customHeight="1">
      <c r="A128" s="190" t="s">
        <v>825</v>
      </c>
      <c r="B128" s="190"/>
      <c r="C128" s="190"/>
      <c r="D128" s="190"/>
      <c r="E128" s="190"/>
      <c r="F128" s="190"/>
      <c r="G128" s="26" t="s">
        <v>21</v>
      </c>
      <c r="H128" s="132"/>
      <c r="I128" s="132">
        <f t="shared" si="2"/>
        <v>0</v>
      </c>
      <c r="J128" s="132">
        <v>6</v>
      </c>
      <c r="K128" s="3"/>
      <c r="S128" s="159"/>
      <c r="T128" s="159"/>
      <c r="U128" s="159"/>
      <c r="V128" s="159"/>
      <c r="W128" s="159"/>
      <c r="X128" s="159"/>
      <c r="Y128" s="159"/>
      <c r="Z128" s="159"/>
      <c r="AA128" s="159"/>
    </row>
    <row r="129" spans="1:27">
      <c r="I129" s="131">
        <f>SUM(I122:I128)</f>
        <v>0</v>
      </c>
      <c r="J129" s="131">
        <f>SUM(J122:J128)</f>
        <v>45</v>
      </c>
      <c r="K129" s="3"/>
    </row>
    <row r="130" spans="1:27">
      <c r="G130" s="20"/>
      <c r="H130" s="137"/>
      <c r="J130" s="138"/>
      <c r="K130" s="8"/>
    </row>
    <row r="131" spans="1:27" ht="30" customHeight="1">
      <c r="A131" s="167" t="s">
        <v>102</v>
      </c>
      <c r="B131" s="167"/>
      <c r="C131" s="167"/>
      <c r="D131" s="167"/>
      <c r="E131" s="167"/>
      <c r="F131" s="167"/>
      <c r="G131" s="26" t="s">
        <v>21</v>
      </c>
      <c r="H131" s="132"/>
      <c r="I131" s="132">
        <f t="shared" ref="I131:I145" si="3">IF(G131=$N$8,J131,0)</f>
        <v>0</v>
      </c>
      <c r="J131" s="132">
        <v>5</v>
      </c>
      <c r="K131" s="8"/>
      <c r="S131" s="158" t="s">
        <v>921</v>
      </c>
      <c r="T131" s="159"/>
      <c r="U131" s="159"/>
      <c r="V131" s="159"/>
      <c r="W131" s="159"/>
      <c r="X131" s="159"/>
      <c r="Y131" s="159"/>
      <c r="Z131" s="159"/>
      <c r="AA131" s="159"/>
    </row>
    <row r="132" spans="1:27" ht="15" customHeight="1">
      <c r="A132" s="201" t="s">
        <v>809</v>
      </c>
      <c r="B132" s="201"/>
      <c r="C132" s="201"/>
      <c r="D132" s="201"/>
      <c r="E132" s="201"/>
      <c r="F132" s="201"/>
      <c r="G132" s="26" t="s">
        <v>21</v>
      </c>
      <c r="H132" s="132"/>
      <c r="I132" s="132">
        <f t="shared" si="3"/>
        <v>0</v>
      </c>
      <c r="J132" s="132">
        <v>2</v>
      </c>
      <c r="K132" s="8"/>
      <c r="S132" s="159"/>
      <c r="T132" s="159"/>
      <c r="U132" s="159"/>
      <c r="V132" s="159"/>
      <c r="W132" s="159"/>
      <c r="X132" s="159"/>
      <c r="Y132" s="159"/>
      <c r="Z132" s="159"/>
      <c r="AA132" s="159"/>
    </row>
    <row r="133" spans="1:27">
      <c r="A133" s="190" t="s">
        <v>819</v>
      </c>
      <c r="B133" s="190"/>
      <c r="C133" s="190"/>
      <c r="D133" s="190"/>
      <c r="E133" s="190"/>
      <c r="F133" s="190"/>
      <c r="G133" s="26" t="s">
        <v>21</v>
      </c>
      <c r="H133" s="132"/>
      <c r="I133" s="132">
        <f t="shared" si="3"/>
        <v>0</v>
      </c>
      <c r="J133" s="132">
        <v>1</v>
      </c>
      <c r="K133" s="8"/>
      <c r="S133" s="159"/>
      <c r="T133" s="159"/>
      <c r="U133" s="159"/>
      <c r="V133" s="159"/>
      <c r="W133" s="159"/>
      <c r="X133" s="159"/>
      <c r="Y133" s="159"/>
      <c r="Z133" s="159"/>
      <c r="AA133" s="159"/>
    </row>
    <row r="134" spans="1:27" ht="15" customHeight="1">
      <c r="A134" s="190" t="s">
        <v>820</v>
      </c>
      <c r="B134" s="190"/>
      <c r="C134" s="190"/>
      <c r="D134" s="190"/>
      <c r="E134" s="190"/>
      <c r="F134" s="190"/>
      <c r="G134" s="26" t="s">
        <v>21</v>
      </c>
      <c r="H134" s="132"/>
      <c r="I134" s="132">
        <f t="shared" si="3"/>
        <v>0</v>
      </c>
      <c r="J134" s="132">
        <v>1</v>
      </c>
      <c r="K134" s="8"/>
      <c r="S134" s="159"/>
      <c r="T134" s="159"/>
      <c r="U134" s="159"/>
      <c r="V134" s="159"/>
      <c r="W134" s="159"/>
      <c r="X134" s="159"/>
      <c r="Y134" s="159"/>
      <c r="Z134" s="159"/>
      <c r="AA134" s="159"/>
    </row>
    <row r="135" spans="1:27" ht="15" customHeight="1">
      <c r="A135" s="190" t="s">
        <v>810</v>
      </c>
      <c r="B135" s="190"/>
      <c r="C135" s="190"/>
      <c r="D135" s="190"/>
      <c r="E135" s="190"/>
      <c r="F135" s="190"/>
      <c r="G135" s="26" t="s">
        <v>21</v>
      </c>
      <c r="H135" s="132"/>
      <c r="I135" s="132">
        <f t="shared" si="3"/>
        <v>0</v>
      </c>
      <c r="J135" s="132">
        <v>1</v>
      </c>
      <c r="K135" s="8"/>
      <c r="S135" s="159"/>
      <c r="T135" s="159"/>
      <c r="U135" s="159"/>
      <c r="V135" s="159"/>
      <c r="W135" s="159"/>
      <c r="X135" s="159"/>
      <c r="Y135" s="159"/>
      <c r="Z135" s="159"/>
      <c r="AA135" s="159"/>
    </row>
    <row r="136" spans="1:27">
      <c r="A136" s="190" t="s">
        <v>811</v>
      </c>
      <c r="B136" s="190"/>
      <c r="C136" s="190"/>
      <c r="D136" s="190"/>
      <c r="E136" s="190"/>
      <c r="F136" s="190"/>
      <c r="G136" s="26" t="s">
        <v>21</v>
      </c>
      <c r="H136" s="132"/>
      <c r="I136" s="132">
        <f t="shared" si="3"/>
        <v>0</v>
      </c>
      <c r="J136" s="132">
        <v>1</v>
      </c>
      <c r="K136" s="8"/>
      <c r="S136" s="159"/>
      <c r="T136" s="159"/>
      <c r="U136" s="159"/>
      <c r="V136" s="159"/>
      <c r="W136" s="159"/>
      <c r="X136" s="159"/>
      <c r="Y136" s="159"/>
      <c r="Z136" s="159"/>
      <c r="AA136" s="159"/>
    </row>
    <row r="137" spans="1:27">
      <c r="A137" s="190" t="s">
        <v>879</v>
      </c>
      <c r="B137" s="190"/>
      <c r="C137" s="190"/>
      <c r="D137" s="190"/>
      <c r="E137" s="190"/>
      <c r="F137" s="190"/>
      <c r="G137" s="26" t="s">
        <v>21</v>
      </c>
      <c r="H137" s="132"/>
      <c r="I137" s="132">
        <f t="shared" si="3"/>
        <v>0</v>
      </c>
      <c r="J137" s="132">
        <v>1</v>
      </c>
      <c r="K137" s="8"/>
      <c r="S137" s="159"/>
      <c r="T137" s="159"/>
      <c r="U137" s="159"/>
      <c r="V137" s="159"/>
      <c r="W137" s="159"/>
      <c r="X137" s="159"/>
      <c r="Y137" s="159"/>
      <c r="Z137" s="159"/>
      <c r="AA137" s="159"/>
    </row>
    <row r="138" spans="1:27">
      <c r="A138" s="190" t="s">
        <v>812</v>
      </c>
      <c r="B138" s="190"/>
      <c r="C138" s="190"/>
      <c r="D138" s="190"/>
      <c r="E138" s="190"/>
      <c r="F138" s="190"/>
      <c r="G138" s="26" t="s">
        <v>21</v>
      </c>
      <c r="H138" s="132"/>
      <c r="I138" s="132">
        <f t="shared" si="3"/>
        <v>0</v>
      </c>
      <c r="J138" s="132">
        <v>1</v>
      </c>
      <c r="K138" s="8"/>
      <c r="S138" s="159"/>
      <c r="T138" s="159"/>
      <c r="U138" s="159"/>
      <c r="V138" s="159"/>
      <c r="W138" s="159"/>
      <c r="X138" s="159"/>
      <c r="Y138" s="159"/>
      <c r="Z138" s="159"/>
      <c r="AA138" s="159"/>
    </row>
    <row r="139" spans="1:27">
      <c r="A139" s="190" t="s">
        <v>813</v>
      </c>
      <c r="B139" s="190"/>
      <c r="C139" s="190"/>
      <c r="D139" s="190"/>
      <c r="E139" s="190"/>
      <c r="F139" s="190"/>
      <c r="G139" s="26" t="s">
        <v>21</v>
      </c>
      <c r="H139" s="132"/>
      <c r="I139" s="132">
        <f t="shared" si="3"/>
        <v>0</v>
      </c>
      <c r="J139" s="132">
        <v>1</v>
      </c>
      <c r="K139" s="8"/>
      <c r="S139" s="159"/>
      <c r="T139" s="159"/>
      <c r="U139" s="159"/>
      <c r="V139" s="159"/>
      <c r="W139" s="159"/>
      <c r="X139" s="159"/>
      <c r="Y139" s="159"/>
      <c r="Z139" s="159"/>
      <c r="AA139" s="159"/>
    </row>
    <row r="140" spans="1:27">
      <c r="A140" s="190" t="s">
        <v>814</v>
      </c>
      <c r="B140" s="190"/>
      <c r="C140" s="190"/>
      <c r="D140" s="190"/>
      <c r="E140" s="190"/>
      <c r="F140" s="190"/>
      <c r="G140" s="26" t="s">
        <v>21</v>
      </c>
      <c r="H140" s="132"/>
      <c r="I140" s="132">
        <f t="shared" si="3"/>
        <v>0</v>
      </c>
      <c r="J140" s="132">
        <v>1</v>
      </c>
      <c r="K140" s="8"/>
      <c r="S140" s="159"/>
      <c r="T140" s="159"/>
      <c r="U140" s="159"/>
      <c r="V140" s="159"/>
      <c r="W140" s="159"/>
      <c r="X140" s="159"/>
      <c r="Y140" s="159"/>
      <c r="Z140" s="159"/>
      <c r="AA140" s="159"/>
    </row>
    <row r="141" spans="1:27">
      <c r="A141" s="190" t="s">
        <v>815</v>
      </c>
      <c r="B141" s="190"/>
      <c r="C141" s="190"/>
      <c r="D141" s="190"/>
      <c r="E141" s="190"/>
      <c r="F141" s="190"/>
      <c r="G141" s="26" t="s">
        <v>21</v>
      </c>
      <c r="H141" s="132"/>
      <c r="I141" s="132">
        <f t="shared" si="3"/>
        <v>0</v>
      </c>
      <c r="J141" s="132">
        <v>1</v>
      </c>
      <c r="K141" s="8"/>
      <c r="S141" s="159"/>
      <c r="T141" s="159"/>
      <c r="U141" s="159"/>
      <c r="V141" s="159"/>
      <c r="W141" s="159"/>
      <c r="X141" s="159"/>
      <c r="Y141" s="159"/>
      <c r="Z141" s="159"/>
      <c r="AA141" s="159"/>
    </row>
    <row r="142" spans="1:27" ht="30" customHeight="1">
      <c r="A142" s="190" t="s">
        <v>816</v>
      </c>
      <c r="B142" s="190"/>
      <c r="C142" s="190"/>
      <c r="D142" s="190"/>
      <c r="E142" s="190"/>
      <c r="F142" s="190"/>
      <c r="G142" s="26" t="s">
        <v>21</v>
      </c>
      <c r="H142" s="132"/>
      <c r="I142" s="132">
        <f t="shared" si="3"/>
        <v>0</v>
      </c>
      <c r="J142" s="132">
        <v>2</v>
      </c>
      <c r="K142" s="8"/>
      <c r="S142" s="159"/>
      <c r="T142" s="159"/>
      <c r="U142" s="159"/>
      <c r="V142" s="159"/>
      <c r="W142" s="159"/>
      <c r="X142" s="159"/>
      <c r="Y142" s="159"/>
      <c r="Z142" s="159"/>
      <c r="AA142" s="159"/>
    </row>
    <row r="143" spans="1:27" ht="30" customHeight="1">
      <c r="A143" s="190" t="s">
        <v>817</v>
      </c>
      <c r="B143" s="190"/>
      <c r="C143" s="190"/>
      <c r="D143" s="190"/>
      <c r="E143" s="190"/>
      <c r="F143" s="190"/>
      <c r="G143" s="26" t="s">
        <v>21</v>
      </c>
      <c r="H143" s="132"/>
      <c r="I143" s="132">
        <f t="shared" si="3"/>
        <v>0</v>
      </c>
      <c r="J143" s="132">
        <v>2</v>
      </c>
      <c r="K143" s="8"/>
      <c r="S143" s="159"/>
      <c r="T143" s="159"/>
      <c r="U143" s="159"/>
      <c r="V143" s="159"/>
      <c r="W143" s="159"/>
      <c r="X143" s="159"/>
      <c r="Y143" s="159"/>
      <c r="Z143" s="159"/>
      <c r="AA143" s="159"/>
    </row>
    <row r="144" spans="1:27" ht="15" customHeight="1">
      <c r="A144" s="190" t="s">
        <v>818</v>
      </c>
      <c r="B144" s="190"/>
      <c r="C144" s="190"/>
      <c r="D144" s="190"/>
      <c r="E144" s="190"/>
      <c r="F144" s="190"/>
      <c r="G144" s="26" t="s">
        <v>21</v>
      </c>
      <c r="H144" s="132"/>
      <c r="I144" s="132">
        <f t="shared" si="3"/>
        <v>0</v>
      </c>
      <c r="J144" s="132">
        <v>2</v>
      </c>
      <c r="K144" s="8"/>
      <c r="S144" s="159"/>
      <c r="T144" s="159"/>
      <c r="U144" s="159"/>
      <c r="V144" s="159"/>
      <c r="W144" s="159"/>
      <c r="X144" s="159"/>
      <c r="Y144" s="159"/>
      <c r="Z144" s="159"/>
      <c r="AA144" s="159"/>
    </row>
    <row r="145" spans="1:27" ht="45" customHeight="1">
      <c r="A145" s="190" t="s">
        <v>892</v>
      </c>
      <c r="B145" s="190"/>
      <c r="C145" s="190"/>
      <c r="D145" s="190"/>
      <c r="E145" s="190"/>
      <c r="F145" s="190"/>
      <c r="G145" s="26" t="s">
        <v>21</v>
      </c>
      <c r="H145" s="132"/>
      <c r="I145" s="132">
        <f t="shared" si="3"/>
        <v>0</v>
      </c>
      <c r="J145" s="132">
        <v>3</v>
      </c>
      <c r="K145" s="8"/>
      <c r="S145" s="159"/>
      <c r="T145" s="159"/>
      <c r="U145" s="159"/>
      <c r="V145" s="159"/>
      <c r="W145" s="159"/>
      <c r="X145" s="159"/>
      <c r="Y145" s="159"/>
      <c r="Z145" s="159"/>
      <c r="AA145" s="159"/>
    </row>
    <row r="146" spans="1:27">
      <c r="H146" s="133"/>
      <c r="I146" s="131">
        <f>SUM(I131:I145)</f>
        <v>0</v>
      </c>
      <c r="J146" s="131">
        <f>SUM(J131:J145)</f>
        <v>25</v>
      </c>
      <c r="K146" s="8"/>
    </row>
    <row r="147" spans="1:27">
      <c r="G147" s="20"/>
      <c r="H147" s="137"/>
      <c r="J147" s="138"/>
      <c r="K147" s="8"/>
    </row>
    <row r="148" spans="1:27" ht="30" customHeight="1">
      <c r="A148" s="167" t="s">
        <v>97</v>
      </c>
      <c r="B148" s="167"/>
      <c r="C148" s="167"/>
      <c r="D148" s="167"/>
      <c r="E148" s="167"/>
      <c r="F148" s="167"/>
      <c r="G148" s="26" t="s">
        <v>21</v>
      </c>
      <c r="H148" s="139"/>
      <c r="I148" s="132">
        <f t="shared" ref="I148:I153" si="4">IF(G148=$N$8,J148,0)</f>
        <v>0</v>
      </c>
      <c r="J148" s="132">
        <v>5</v>
      </c>
      <c r="S148" s="158" t="s">
        <v>922</v>
      </c>
      <c r="T148" s="159"/>
      <c r="U148" s="159"/>
      <c r="V148" s="159"/>
      <c r="W148" s="159"/>
      <c r="X148" s="159"/>
      <c r="Y148" s="159"/>
      <c r="Z148" s="159"/>
      <c r="AA148" s="159"/>
    </row>
    <row r="149" spans="1:27" ht="30" customHeight="1">
      <c r="A149" s="201" t="s">
        <v>103</v>
      </c>
      <c r="B149" s="201"/>
      <c r="C149" s="201"/>
      <c r="D149" s="201"/>
      <c r="E149" s="201"/>
      <c r="F149" s="201"/>
      <c r="G149" s="26" t="s">
        <v>21</v>
      </c>
      <c r="H149" s="139"/>
      <c r="I149" s="132">
        <f t="shared" si="4"/>
        <v>0</v>
      </c>
      <c r="J149" s="132">
        <v>3</v>
      </c>
      <c r="S149" s="159"/>
      <c r="T149" s="159"/>
      <c r="U149" s="159"/>
      <c r="V149" s="159"/>
      <c r="W149" s="159"/>
      <c r="X149" s="159"/>
      <c r="Y149" s="159"/>
      <c r="Z149" s="159"/>
      <c r="AA149" s="159"/>
    </row>
    <row r="150" spans="1:27" ht="30" customHeight="1">
      <c r="A150" s="190" t="s">
        <v>46</v>
      </c>
      <c r="B150" s="190"/>
      <c r="C150" s="190"/>
      <c r="D150" s="190"/>
      <c r="E150" s="190"/>
      <c r="F150" s="190"/>
      <c r="G150" s="26" t="s">
        <v>21</v>
      </c>
      <c r="H150" s="139"/>
      <c r="I150" s="132">
        <f t="shared" si="4"/>
        <v>0</v>
      </c>
      <c r="J150" s="132">
        <v>3</v>
      </c>
      <c r="S150" s="159"/>
      <c r="T150" s="159"/>
      <c r="U150" s="159"/>
      <c r="V150" s="159"/>
      <c r="W150" s="159"/>
      <c r="X150" s="159"/>
      <c r="Y150" s="159"/>
      <c r="Z150" s="159"/>
      <c r="AA150" s="159"/>
    </row>
    <row r="151" spans="1:27" ht="30" customHeight="1">
      <c r="A151" s="190" t="s">
        <v>47</v>
      </c>
      <c r="B151" s="190"/>
      <c r="C151" s="190"/>
      <c r="D151" s="190"/>
      <c r="E151" s="190"/>
      <c r="F151" s="190"/>
      <c r="G151" s="26" t="s">
        <v>21</v>
      </c>
      <c r="H151" s="139"/>
      <c r="I151" s="132">
        <f t="shared" si="4"/>
        <v>0</v>
      </c>
      <c r="J151" s="132">
        <v>3</v>
      </c>
      <c r="S151" s="159"/>
      <c r="T151" s="159"/>
      <c r="U151" s="159"/>
      <c r="V151" s="159"/>
      <c r="W151" s="159"/>
      <c r="X151" s="159"/>
      <c r="Y151" s="159"/>
      <c r="Z151" s="159"/>
      <c r="AA151" s="159"/>
    </row>
    <row r="152" spans="1:27" ht="30" customHeight="1">
      <c r="A152" s="190" t="s">
        <v>105</v>
      </c>
      <c r="B152" s="190"/>
      <c r="C152" s="190"/>
      <c r="D152" s="190"/>
      <c r="E152" s="190"/>
      <c r="F152" s="190"/>
      <c r="G152" s="26" t="s">
        <v>21</v>
      </c>
      <c r="H152" s="139"/>
      <c r="I152" s="132">
        <f t="shared" si="4"/>
        <v>0</v>
      </c>
      <c r="J152" s="132">
        <v>3</v>
      </c>
      <c r="S152" s="159"/>
      <c r="T152" s="159"/>
      <c r="U152" s="159"/>
      <c r="V152" s="159"/>
      <c r="W152" s="159"/>
      <c r="X152" s="159"/>
      <c r="Y152" s="159"/>
      <c r="Z152" s="159"/>
      <c r="AA152" s="159"/>
    </row>
    <row r="153" spans="1:27" ht="30" customHeight="1">
      <c r="A153" s="190" t="s">
        <v>104</v>
      </c>
      <c r="B153" s="190"/>
      <c r="C153" s="190"/>
      <c r="D153" s="190"/>
      <c r="E153" s="190"/>
      <c r="F153" s="190"/>
      <c r="G153" s="26" t="s">
        <v>21</v>
      </c>
      <c r="H153" s="139"/>
      <c r="I153" s="132">
        <f t="shared" si="4"/>
        <v>0</v>
      </c>
      <c r="J153" s="132">
        <v>3</v>
      </c>
      <c r="S153" s="159"/>
      <c r="T153" s="159"/>
      <c r="U153" s="159"/>
      <c r="V153" s="159"/>
      <c r="W153" s="159"/>
      <c r="X153" s="159"/>
      <c r="Y153" s="159"/>
      <c r="Z153" s="159"/>
      <c r="AA153" s="159"/>
    </row>
    <row r="154" spans="1:27">
      <c r="H154" s="133"/>
      <c r="I154" s="131">
        <f>SUM(I148:I153)</f>
        <v>0</v>
      </c>
      <c r="J154" s="131">
        <f>SUM(J148:J153)</f>
        <v>20</v>
      </c>
    </row>
    <row r="155" spans="1:27">
      <c r="G155" s="20"/>
      <c r="H155" s="137"/>
    </row>
    <row r="156" spans="1:27" ht="15" customHeight="1">
      <c r="A156" s="167" t="s">
        <v>98</v>
      </c>
      <c r="B156" s="167"/>
      <c r="C156" s="167"/>
      <c r="D156" s="167"/>
      <c r="E156" s="167"/>
      <c r="F156" s="167"/>
      <c r="G156" s="26" t="s">
        <v>21</v>
      </c>
      <c r="H156" s="133"/>
      <c r="I156" s="132">
        <f t="shared" ref="I156:I160" si="5">IF(G156=$N$8,J156,0)</f>
        <v>0</v>
      </c>
      <c r="J156" s="132">
        <v>5</v>
      </c>
      <c r="S156" s="158" t="s">
        <v>923</v>
      </c>
      <c r="T156" s="159"/>
      <c r="U156" s="159"/>
      <c r="V156" s="159"/>
      <c r="W156" s="159"/>
      <c r="X156" s="159"/>
      <c r="Y156" s="159"/>
      <c r="Z156" s="159"/>
      <c r="AA156" s="159"/>
    </row>
    <row r="157" spans="1:27" ht="45" customHeight="1">
      <c r="A157" s="190" t="s">
        <v>942</v>
      </c>
      <c r="B157" s="190"/>
      <c r="C157" s="190"/>
      <c r="D157" s="190"/>
      <c r="E157" s="190"/>
      <c r="F157" s="190"/>
      <c r="G157" s="26" t="s">
        <v>21</v>
      </c>
      <c r="H157" s="137"/>
      <c r="I157" s="132">
        <f t="shared" si="5"/>
        <v>0</v>
      </c>
      <c r="J157" s="132">
        <v>2</v>
      </c>
      <c r="S157" s="159"/>
      <c r="T157" s="159"/>
      <c r="U157" s="159"/>
      <c r="V157" s="159"/>
      <c r="W157" s="159"/>
      <c r="X157" s="159"/>
      <c r="Y157" s="159"/>
      <c r="Z157" s="159"/>
      <c r="AA157" s="159"/>
    </row>
    <row r="158" spans="1:27" ht="30" customHeight="1">
      <c r="A158" s="190" t="s">
        <v>180</v>
      </c>
      <c r="B158" s="190"/>
      <c r="C158" s="190"/>
      <c r="D158" s="190"/>
      <c r="E158" s="190"/>
      <c r="F158" s="190"/>
      <c r="G158" s="26" t="s">
        <v>21</v>
      </c>
      <c r="H158" s="137"/>
      <c r="I158" s="132">
        <f t="shared" si="5"/>
        <v>0</v>
      </c>
      <c r="J158" s="132">
        <v>2</v>
      </c>
      <c r="S158" s="159"/>
      <c r="T158" s="159"/>
      <c r="U158" s="159"/>
      <c r="V158" s="159"/>
      <c r="W158" s="159"/>
      <c r="X158" s="159"/>
      <c r="Y158" s="159"/>
      <c r="Z158" s="159"/>
      <c r="AA158" s="159"/>
    </row>
    <row r="159" spans="1:27" ht="30" customHeight="1">
      <c r="A159" s="190" t="s">
        <v>181</v>
      </c>
      <c r="B159" s="190"/>
      <c r="C159" s="190"/>
      <c r="D159" s="190"/>
      <c r="E159" s="190"/>
      <c r="F159" s="190"/>
      <c r="G159" s="26" t="s">
        <v>21</v>
      </c>
      <c r="H159" s="137"/>
      <c r="I159" s="132">
        <f t="shared" si="5"/>
        <v>0</v>
      </c>
      <c r="J159" s="132">
        <v>3</v>
      </c>
      <c r="S159" s="159"/>
      <c r="T159" s="159"/>
      <c r="U159" s="159"/>
      <c r="V159" s="159"/>
      <c r="W159" s="159"/>
      <c r="X159" s="159"/>
      <c r="Y159" s="159"/>
      <c r="Z159" s="159"/>
      <c r="AA159" s="159"/>
    </row>
    <row r="160" spans="1:27" ht="15" customHeight="1">
      <c r="A160" s="190" t="s">
        <v>182</v>
      </c>
      <c r="B160" s="190"/>
      <c r="C160" s="190"/>
      <c r="D160" s="190"/>
      <c r="E160" s="190"/>
      <c r="F160" s="190"/>
      <c r="G160" s="26" t="s">
        <v>21</v>
      </c>
      <c r="H160" s="137"/>
      <c r="I160" s="132">
        <f t="shared" si="5"/>
        <v>0</v>
      </c>
      <c r="J160" s="132">
        <v>3</v>
      </c>
      <c r="S160" s="159"/>
      <c r="T160" s="159"/>
      <c r="U160" s="159"/>
      <c r="V160" s="159"/>
      <c r="W160" s="159"/>
      <c r="X160" s="159"/>
      <c r="Y160" s="159"/>
      <c r="Z160" s="159"/>
      <c r="AA160" s="159"/>
    </row>
    <row r="161" spans="1:27">
      <c r="H161" s="133"/>
      <c r="I161" s="131">
        <f>SUM(I156:I160)</f>
        <v>0</v>
      </c>
      <c r="J161" s="131">
        <f>SUM(J156:J160)</f>
        <v>15</v>
      </c>
    </row>
    <row r="162" spans="1:27">
      <c r="G162" s="20"/>
      <c r="H162" s="137"/>
    </row>
    <row r="163" spans="1:27">
      <c r="A163" s="49" t="s">
        <v>99</v>
      </c>
      <c r="G163" s="26" t="s">
        <v>21</v>
      </c>
      <c r="H163" s="133"/>
      <c r="I163" s="132">
        <f t="shared" ref="I163:I173" si="6">IF(G163=$N$8,J163,0)</f>
        <v>0</v>
      </c>
      <c r="J163" s="140">
        <v>5</v>
      </c>
      <c r="S163" s="158" t="s">
        <v>924</v>
      </c>
      <c r="T163" s="159"/>
      <c r="U163" s="159"/>
      <c r="V163" s="159"/>
      <c r="W163" s="159"/>
      <c r="X163" s="159"/>
      <c r="Y163" s="159"/>
      <c r="Z163" s="159"/>
      <c r="AA163" s="159"/>
    </row>
    <row r="164" spans="1:27" ht="30" customHeight="1">
      <c r="A164" s="190" t="s">
        <v>165</v>
      </c>
      <c r="B164" s="190"/>
      <c r="C164" s="190"/>
      <c r="D164" s="190"/>
      <c r="E164" s="190"/>
      <c r="F164" s="190"/>
      <c r="G164" s="26" t="s">
        <v>21</v>
      </c>
      <c r="I164" s="132">
        <f t="shared" si="6"/>
        <v>0</v>
      </c>
      <c r="J164" s="140">
        <v>2</v>
      </c>
      <c r="K164" s="5"/>
      <c r="L164" s="5"/>
      <c r="M164" s="5"/>
      <c r="S164" s="159"/>
      <c r="T164" s="159"/>
      <c r="U164" s="159"/>
      <c r="V164" s="159"/>
      <c r="W164" s="159"/>
      <c r="X164" s="159"/>
      <c r="Y164" s="159"/>
      <c r="Z164" s="159"/>
      <c r="AA164" s="159"/>
    </row>
    <row r="165" spans="1:27">
      <c r="A165" s="190" t="s">
        <v>166</v>
      </c>
      <c r="B165" s="190"/>
      <c r="C165" s="190"/>
      <c r="D165" s="190"/>
      <c r="E165" s="190"/>
      <c r="F165" s="190"/>
      <c r="G165" s="26" t="s">
        <v>21</v>
      </c>
      <c r="I165" s="132">
        <f t="shared" si="6"/>
        <v>0</v>
      </c>
      <c r="J165" s="140">
        <v>1</v>
      </c>
      <c r="K165" s="5"/>
      <c r="L165" s="5"/>
      <c r="M165" s="5"/>
      <c r="S165" s="159"/>
      <c r="T165" s="159"/>
      <c r="U165" s="159"/>
      <c r="V165" s="159"/>
      <c r="W165" s="159"/>
      <c r="X165" s="159"/>
      <c r="Y165" s="159"/>
      <c r="Z165" s="159"/>
      <c r="AA165" s="159"/>
    </row>
    <row r="166" spans="1:27" ht="30" customHeight="1">
      <c r="A166" s="190" t="s">
        <v>167</v>
      </c>
      <c r="B166" s="190"/>
      <c r="C166" s="190"/>
      <c r="D166" s="190"/>
      <c r="E166" s="190"/>
      <c r="F166" s="190"/>
      <c r="G166" s="26" t="s">
        <v>21</v>
      </c>
      <c r="I166" s="132">
        <f t="shared" si="6"/>
        <v>0</v>
      </c>
      <c r="J166" s="140">
        <v>1</v>
      </c>
      <c r="K166" s="5"/>
      <c r="L166" s="5"/>
      <c r="M166" s="5"/>
      <c r="S166" s="159"/>
      <c r="T166" s="159"/>
      <c r="U166" s="159"/>
      <c r="V166" s="159"/>
      <c r="W166" s="159"/>
      <c r="X166" s="159"/>
      <c r="Y166" s="159"/>
      <c r="Z166" s="159"/>
      <c r="AA166" s="159"/>
    </row>
    <row r="167" spans="1:27" ht="15" customHeight="1">
      <c r="A167" s="190" t="s">
        <v>168</v>
      </c>
      <c r="B167" s="190"/>
      <c r="C167" s="190"/>
      <c r="D167" s="190"/>
      <c r="E167" s="190"/>
      <c r="F167" s="190"/>
      <c r="G167" s="26" t="s">
        <v>21</v>
      </c>
      <c r="I167" s="132">
        <f t="shared" si="6"/>
        <v>0</v>
      </c>
      <c r="J167" s="140">
        <v>1</v>
      </c>
      <c r="K167" s="5"/>
      <c r="L167" s="5"/>
      <c r="M167"/>
      <c r="S167" s="159"/>
      <c r="T167" s="159"/>
      <c r="U167" s="159"/>
      <c r="V167" s="159"/>
      <c r="W167" s="159"/>
      <c r="X167" s="159"/>
      <c r="Y167" s="159"/>
      <c r="Z167" s="159"/>
      <c r="AA167" s="159"/>
    </row>
    <row r="168" spans="1:27" ht="15" customHeight="1">
      <c r="A168" s="190" t="s">
        <v>169</v>
      </c>
      <c r="B168" s="190"/>
      <c r="C168" s="190"/>
      <c r="D168" s="190"/>
      <c r="E168" s="190"/>
      <c r="F168" s="190"/>
      <c r="G168" s="26" t="s">
        <v>21</v>
      </c>
      <c r="I168" s="132">
        <f t="shared" si="6"/>
        <v>0</v>
      </c>
      <c r="J168" s="140">
        <v>1</v>
      </c>
      <c r="K168" s="5"/>
      <c r="L168" s="5"/>
      <c r="M168" s="5"/>
      <c r="S168" s="159"/>
      <c r="T168" s="159"/>
      <c r="U168" s="159"/>
      <c r="V168" s="159"/>
      <c r="W168" s="159"/>
      <c r="X168" s="159"/>
      <c r="Y168" s="159"/>
      <c r="Z168" s="159"/>
      <c r="AA168" s="159"/>
    </row>
    <row r="169" spans="1:27">
      <c r="A169" s="190" t="s">
        <v>170</v>
      </c>
      <c r="B169" s="190"/>
      <c r="C169" s="190"/>
      <c r="D169" s="190"/>
      <c r="E169" s="190"/>
      <c r="F169" s="190"/>
      <c r="G169" s="26" t="s">
        <v>21</v>
      </c>
      <c r="I169" s="132">
        <f t="shared" si="6"/>
        <v>0</v>
      </c>
      <c r="J169" s="140">
        <v>2</v>
      </c>
      <c r="K169" s="5"/>
      <c r="L169" s="5"/>
      <c r="M169" s="5"/>
      <c r="S169" s="159"/>
      <c r="T169" s="159"/>
      <c r="U169" s="159"/>
      <c r="V169" s="159"/>
      <c r="W169" s="159"/>
      <c r="X169" s="159"/>
      <c r="Y169" s="159"/>
      <c r="Z169" s="159"/>
      <c r="AA169" s="159"/>
    </row>
    <row r="170" spans="1:27">
      <c r="A170" s="190" t="s">
        <v>171</v>
      </c>
      <c r="B170" s="190"/>
      <c r="C170" s="190"/>
      <c r="D170" s="190"/>
      <c r="E170" s="190"/>
      <c r="F170" s="190"/>
      <c r="G170" s="26" t="s">
        <v>21</v>
      </c>
      <c r="I170" s="132">
        <f t="shared" si="6"/>
        <v>0</v>
      </c>
      <c r="J170" s="140">
        <v>2</v>
      </c>
      <c r="K170" s="5"/>
      <c r="L170" s="5"/>
      <c r="M170" s="5"/>
      <c r="S170" s="159"/>
      <c r="T170" s="159"/>
      <c r="U170" s="159"/>
      <c r="V170" s="159"/>
      <c r="W170" s="159"/>
      <c r="X170" s="159"/>
      <c r="Y170" s="159"/>
      <c r="Z170" s="159"/>
      <c r="AA170" s="159"/>
    </row>
    <row r="171" spans="1:27">
      <c r="A171" s="190" t="s">
        <v>172</v>
      </c>
      <c r="B171" s="190"/>
      <c r="C171" s="190"/>
      <c r="D171" s="190"/>
      <c r="E171" s="190"/>
      <c r="F171" s="190"/>
      <c r="G171" s="26" t="s">
        <v>21</v>
      </c>
      <c r="I171" s="132">
        <f t="shared" si="6"/>
        <v>0</v>
      </c>
      <c r="J171" s="140">
        <v>1</v>
      </c>
      <c r="K171" s="5"/>
      <c r="L171" s="5"/>
      <c r="M171" s="5"/>
      <c r="S171" s="159"/>
      <c r="T171" s="159"/>
      <c r="U171" s="159"/>
      <c r="V171" s="159"/>
      <c r="W171" s="159"/>
      <c r="X171" s="159"/>
      <c r="Y171" s="159"/>
      <c r="Z171" s="159"/>
      <c r="AA171" s="159"/>
    </row>
    <row r="172" spans="1:27" ht="30" customHeight="1">
      <c r="A172" s="190" t="s">
        <v>880</v>
      </c>
      <c r="B172" s="190"/>
      <c r="C172" s="190"/>
      <c r="D172" s="190"/>
      <c r="E172" s="190"/>
      <c r="F172" s="190"/>
      <c r="G172" s="26" t="s">
        <v>21</v>
      </c>
      <c r="I172" s="132">
        <f t="shared" si="6"/>
        <v>0</v>
      </c>
      <c r="J172" s="140">
        <v>2</v>
      </c>
      <c r="K172" s="5"/>
      <c r="L172" s="5"/>
      <c r="M172" s="5"/>
      <c r="S172" s="159"/>
      <c r="T172" s="159"/>
      <c r="U172" s="159"/>
      <c r="V172" s="159"/>
      <c r="W172" s="159"/>
      <c r="X172" s="159"/>
      <c r="Y172" s="159"/>
      <c r="Z172" s="159"/>
      <c r="AA172" s="159"/>
    </row>
    <row r="173" spans="1:27" ht="15" customHeight="1">
      <c r="A173" s="190" t="s">
        <v>173</v>
      </c>
      <c r="B173" s="190"/>
      <c r="C173" s="190"/>
      <c r="D173" s="190"/>
      <c r="E173" s="190"/>
      <c r="F173" s="190"/>
      <c r="G173" s="26" t="s">
        <v>21</v>
      </c>
      <c r="I173" s="132">
        <f t="shared" si="6"/>
        <v>0</v>
      </c>
      <c r="J173" s="140">
        <v>2</v>
      </c>
      <c r="K173" s="5"/>
      <c r="L173" s="5"/>
      <c r="M173" s="5"/>
      <c r="S173" s="159"/>
      <c r="T173" s="159"/>
      <c r="U173" s="159"/>
      <c r="V173" s="159"/>
      <c r="W173" s="159"/>
      <c r="X173" s="159"/>
      <c r="Y173" s="159"/>
      <c r="Z173" s="159"/>
      <c r="AA173" s="159"/>
    </row>
    <row r="174" spans="1:27">
      <c r="B174" s="41"/>
      <c r="C174" s="42"/>
      <c r="D174" s="42"/>
      <c r="H174" s="133"/>
      <c r="I174" s="131">
        <f>SUM(I163:I173)</f>
        <v>0</v>
      </c>
      <c r="J174" s="131">
        <f>SUM(J163:J173)</f>
        <v>20</v>
      </c>
    </row>
    <row r="175" spans="1:27">
      <c r="G175" s="20"/>
      <c r="H175" s="137"/>
      <c r="J175" s="138"/>
    </row>
    <row r="176" spans="1:27" ht="30" customHeight="1">
      <c r="A176" s="198" t="s">
        <v>106</v>
      </c>
      <c r="B176" s="198"/>
      <c r="C176" s="198"/>
      <c r="D176" s="198"/>
      <c r="E176" s="198"/>
      <c r="F176" s="198"/>
      <c r="G176" s="26" t="s">
        <v>21</v>
      </c>
      <c r="H176" s="139"/>
      <c r="I176" s="132">
        <f t="shared" ref="I176:I181" si="7">IF(G176=$N$8,J176,0)</f>
        <v>0</v>
      </c>
      <c r="J176" s="132">
        <v>7</v>
      </c>
      <c r="S176" s="158" t="s">
        <v>925</v>
      </c>
      <c r="T176" s="159"/>
      <c r="U176" s="159"/>
      <c r="V176" s="159"/>
      <c r="W176" s="159"/>
      <c r="X176" s="159"/>
      <c r="Y176" s="159"/>
      <c r="Z176" s="159"/>
      <c r="AA176" s="159"/>
    </row>
    <row r="177" spans="1:27" ht="30" customHeight="1">
      <c r="A177" s="202" t="s">
        <v>107</v>
      </c>
      <c r="B177" s="202"/>
      <c r="C177" s="202"/>
      <c r="D177" s="202"/>
      <c r="E177" s="202"/>
      <c r="F177" s="202"/>
      <c r="G177" s="26" t="s">
        <v>21</v>
      </c>
      <c r="H177" s="139"/>
      <c r="I177" s="132">
        <f t="shared" si="7"/>
        <v>0</v>
      </c>
      <c r="J177" s="132">
        <v>5</v>
      </c>
      <c r="S177" s="159"/>
      <c r="T177" s="159"/>
      <c r="U177" s="159"/>
      <c r="V177" s="159"/>
      <c r="W177" s="159"/>
      <c r="X177" s="159"/>
      <c r="Y177" s="159"/>
      <c r="Z177" s="159"/>
      <c r="AA177" s="159"/>
    </row>
    <row r="178" spans="1:27" ht="15" customHeight="1">
      <c r="A178" s="187" t="s">
        <v>506</v>
      </c>
      <c r="B178" s="187"/>
      <c r="C178" s="187"/>
      <c r="D178" s="187"/>
      <c r="E178" s="187"/>
      <c r="F178" s="187"/>
      <c r="G178" s="26" t="s">
        <v>21</v>
      </c>
      <c r="H178" s="139"/>
      <c r="I178" s="132">
        <f t="shared" si="7"/>
        <v>0</v>
      </c>
      <c r="J178" s="132">
        <v>2</v>
      </c>
      <c r="S178" s="159"/>
      <c r="T178" s="159"/>
      <c r="U178" s="159"/>
      <c r="V178" s="159"/>
      <c r="W178" s="159"/>
      <c r="X178" s="159"/>
      <c r="Y178" s="159"/>
      <c r="Z178" s="159"/>
      <c r="AA178" s="159"/>
    </row>
    <row r="179" spans="1:27" ht="30" customHeight="1">
      <c r="A179" s="187" t="s">
        <v>505</v>
      </c>
      <c r="B179" s="187"/>
      <c r="C179" s="187"/>
      <c r="D179" s="187"/>
      <c r="E179" s="187"/>
      <c r="F179" s="187"/>
      <c r="G179" s="26" t="s">
        <v>21</v>
      </c>
      <c r="H179" s="139"/>
      <c r="I179" s="132">
        <f t="shared" si="7"/>
        <v>0</v>
      </c>
      <c r="J179" s="132">
        <v>5</v>
      </c>
      <c r="S179" s="159"/>
      <c r="T179" s="159"/>
      <c r="U179" s="159"/>
      <c r="V179" s="159"/>
      <c r="W179" s="159"/>
      <c r="X179" s="159"/>
      <c r="Y179" s="159"/>
      <c r="Z179" s="159"/>
      <c r="AA179" s="159"/>
    </row>
    <row r="180" spans="1:27" ht="30" customHeight="1">
      <c r="A180" s="187" t="s">
        <v>45</v>
      </c>
      <c r="B180" s="187"/>
      <c r="C180" s="187"/>
      <c r="D180" s="187"/>
      <c r="E180" s="187"/>
      <c r="F180" s="187"/>
      <c r="G180" s="26" t="s">
        <v>21</v>
      </c>
      <c r="H180" s="139"/>
      <c r="I180" s="132">
        <f t="shared" si="7"/>
        <v>0</v>
      </c>
      <c r="J180" s="132">
        <v>4</v>
      </c>
      <c r="S180" s="159"/>
      <c r="T180" s="159"/>
      <c r="U180" s="159"/>
      <c r="V180" s="159"/>
      <c r="W180" s="159"/>
      <c r="X180" s="159"/>
      <c r="Y180" s="159"/>
      <c r="Z180" s="159"/>
      <c r="AA180" s="159"/>
    </row>
    <row r="181" spans="1:27" ht="45" customHeight="1">
      <c r="A181" s="202" t="s">
        <v>881</v>
      </c>
      <c r="B181" s="202"/>
      <c r="C181" s="202"/>
      <c r="D181" s="202"/>
      <c r="E181" s="202"/>
      <c r="F181" s="202"/>
      <c r="G181" s="26" t="s">
        <v>21</v>
      </c>
      <c r="H181" s="139"/>
      <c r="I181" s="132">
        <f t="shared" si="7"/>
        <v>0</v>
      </c>
      <c r="J181" s="132">
        <v>7</v>
      </c>
      <c r="S181" s="159"/>
      <c r="T181" s="159"/>
      <c r="U181" s="159"/>
      <c r="V181" s="159"/>
      <c r="W181" s="159"/>
      <c r="X181" s="159"/>
      <c r="Y181" s="159"/>
      <c r="Z181" s="159"/>
      <c r="AA181" s="159"/>
    </row>
    <row r="182" spans="1:27">
      <c r="H182" s="133"/>
      <c r="I182" s="131">
        <f>SUM(I176:I181)</f>
        <v>0</v>
      </c>
      <c r="J182" s="131">
        <f>SUM(J176:J181)</f>
        <v>30</v>
      </c>
    </row>
    <row r="183" spans="1:27">
      <c r="G183" s="20"/>
      <c r="H183" s="137"/>
      <c r="J183" s="138"/>
    </row>
    <row r="184" spans="1:27" ht="15" customHeight="1">
      <c r="A184" s="167" t="s">
        <v>108</v>
      </c>
      <c r="B184" s="167"/>
      <c r="C184" s="167"/>
      <c r="D184" s="167"/>
      <c r="E184" s="167"/>
      <c r="F184" s="167"/>
      <c r="G184" s="26" t="s">
        <v>21</v>
      </c>
      <c r="H184" s="139"/>
      <c r="I184" s="132">
        <f t="shared" ref="I184:I192" si="8">IF(G184=$N$8,J184,0)</f>
        <v>0</v>
      </c>
      <c r="J184" s="132">
        <v>12</v>
      </c>
      <c r="S184" s="158" t="s">
        <v>928</v>
      </c>
      <c r="T184" s="159"/>
      <c r="U184" s="159"/>
      <c r="V184" s="159"/>
      <c r="W184" s="159"/>
      <c r="X184" s="159"/>
      <c r="Y184" s="159"/>
      <c r="Z184" s="159"/>
      <c r="AA184" s="159"/>
    </row>
    <row r="185" spans="1:27" ht="30" customHeight="1">
      <c r="A185" s="201" t="s">
        <v>32</v>
      </c>
      <c r="B185" s="201"/>
      <c r="C185" s="201"/>
      <c r="D185" s="201"/>
      <c r="E185" s="201"/>
      <c r="F185" s="201"/>
      <c r="G185" s="26" t="s">
        <v>21</v>
      </c>
      <c r="H185" s="139"/>
      <c r="I185" s="132">
        <f t="shared" si="8"/>
        <v>0</v>
      </c>
      <c r="J185" s="132">
        <v>4</v>
      </c>
      <c r="S185" s="159"/>
      <c r="T185" s="159"/>
      <c r="U185" s="159"/>
      <c r="V185" s="159"/>
      <c r="W185" s="159"/>
      <c r="X185" s="159"/>
      <c r="Y185" s="159"/>
      <c r="Z185" s="159"/>
      <c r="AA185" s="159"/>
    </row>
    <row r="186" spans="1:27" ht="30" customHeight="1">
      <c r="A186" s="190" t="s">
        <v>33</v>
      </c>
      <c r="B186" s="190"/>
      <c r="C186" s="190"/>
      <c r="D186" s="190"/>
      <c r="E186" s="190"/>
      <c r="F186" s="190"/>
      <c r="G186" s="26" t="s">
        <v>21</v>
      </c>
      <c r="H186" s="139"/>
      <c r="I186" s="132">
        <f t="shared" si="8"/>
        <v>0</v>
      </c>
      <c r="J186" s="132">
        <v>5</v>
      </c>
      <c r="S186" s="159"/>
      <c r="T186" s="159"/>
      <c r="U186" s="159"/>
      <c r="V186" s="159"/>
      <c r="W186" s="159"/>
      <c r="X186" s="159"/>
      <c r="Y186" s="159"/>
      <c r="Z186" s="159"/>
      <c r="AA186" s="159"/>
    </row>
    <row r="187" spans="1:27" ht="15" customHeight="1">
      <c r="A187" s="190" t="s">
        <v>34</v>
      </c>
      <c r="B187" s="190"/>
      <c r="C187" s="190"/>
      <c r="D187" s="190"/>
      <c r="E187" s="190"/>
      <c r="F187" s="190"/>
      <c r="G187" s="26" t="s">
        <v>21</v>
      </c>
      <c r="H187" s="139"/>
      <c r="I187" s="132">
        <f t="shared" si="8"/>
        <v>0</v>
      </c>
      <c r="J187" s="132">
        <v>3</v>
      </c>
      <c r="S187" s="159"/>
      <c r="T187" s="159"/>
      <c r="U187" s="159"/>
      <c r="V187" s="159"/>
      <c r="W187" s="159"/>
      <c r="X187" s="159"/>
      <c r="Y187" s="159"/>
      <c r="Z187" s="159"/>
      <c r="AA187" s="159"/>
    </row>
    <row r="188" spans="1:27">
      <c r="A188" s="190" t="s">
        <v>35</v>
      </c>
      <c r="B188" s="190"/>
      <c r="C188" s="190"/>
      <c r="D188" s="190"/>
      <c r="E188" s="190"/>
      <c r="F188" s="190"/>
      <c r="G188" s="26" t="s">
        <v>21</v>
      </c>
      <c r="H188" s="139"/>
      <c r="I188" s="132">
        <f t="shared" si="8"/>
        <v>0</v>
      </c>
      <c r="J188" s="132">
        <v>2</v>
      </c>
      <c r="S188" s="159"/>
      <c r="T188" s="159"/>
      <c r="U188" s="159"/>
      <c r="V188" s="159"/>
      <c r="W188" s="159"/>
      <c r="X188" s="159"/>
      <c r="Y188" s="159"/>
      <c r="Z188" s="159"/>
      <c r="AA188" s="159"/>
    </row>
    <row r="189" spans="1:27">
      <c r="A189" s="190" t="s">
        <v>36</v>
      </c>
      <c r="B189" s="190"/>
      <c r="C189" s="190"/>
      <c r="D189" s="190"/>
      <c r="E189" s="190"/>
      <c r="F189" s="190"/>
      <c r="G189" s="26" t="s">
        <v>21</v>
      </c>
      <c r="H189" s="139"/>
      <c r="I189" s="132">
        <f t="shared" si="8"/>
        <v>0</v>
      </c>
      <c r="J189" s="132">
        <v>2</v>
      </c>
      <c r="S189" s="159"/>
      <c r="T189" s="159"/>
      <c r="U189" s="159"/>
      <c r="V189" s="159"/>
      <c r="W189" s="159"/>
      <c r="X189" s="159"/>
      <c r="Y189" s="159"/>
      <c r="Z189" s="159"/>
      <c r="AA189" s="159"/>
    </row>
    <row r="190" spans="1:27" ht="30" customHeight="1">
      <c r="A190" s="190" t="s">
        <v>109</v>
      </c>
      <c r="B190" s="190"/>
      <c r="C190" s="190"/>
      <c r="D190" s="190"/>
      <c r="E190" s="190"/>
      <c r="F190" s="190"/>
      <c r="G190" s="26" t="s">
        <v>21</v>
      </c>
      <c r="H190" s="139"/>
      <c r="I190" s="132">
        <f t="shared" si="8"/>
        <v>0</v>
      </c>
      <c r="J190" s="132">
        <v>5</v>
      </c>
      <c r="S190" s="159"/>
      <c r="T190" s="159"/>
      <c r="U190" s="159"/>
      <c r="V190" s="159"/>
      <c r="W190" s="159"/>
      <c r="X190" s="159"/>
      <c r="Y190" s="159"/>
      <c r="Z190" s="159"/>
      <c r="AA190" s="159"/>
    </row>
    <row r="191" spans="1:27">
      <c r="A191" s="190" t="s">
        <v>37</v>
      </c>
      <c r="B191" s="190"/>
      <c r="C191" s="190"/>
      <c r="D191" s="190"/>
      <c r="E191" s="190"/>
      <c r="F191" s="190"/>
      <c r="G191" s="26" t="s">
        <v>21</v>
      </c>
      <c r="H191" s="139"/>
      <c r="I191" s="132">
        <f t="shared" si="8"/>
        <v>0</v>
      </c>
      <c r="J191" s="132">
        <v>3</v>
      </c>
      <c r="S191" s="159"/>
      <c r="T191" s="159"/>
      <c r="U191" s="159"/>
      <c r="V191" s="159"/>
      <c r="W191" s="159"/>
      <c r="X191" s="159"/>
      <c r="Y191" s="159"/>
      <c r="Z191" s="159"/>
      <c r="AA191" s="159"/>
    </row>
    <row r="192" spans="1:27">
      <c r="A192" s="190" t="s">
        <v>882</v>
      </c>
      <c r="B192" s="190"/>
      <c r="C192" s="190"/>
      <c r="D192" s="190"/>
      <c r="E192" s="190"/>
      <c r="F192" s="190"/>
      <c r="G192" s="26" t="s">
        <v>21</v>
      </c>
      <c r="H192" s="139"/>
      <c r="I192" s="132">
        <f t="shared" si="8"/>
        <v>0</v>
      </c>
      <c r="J192" s="132">
        <v>4</v>
      </c>
      <c r="S192" s="159"/>
      <c r="T192" s="159"/>
      <c r="U192" s="159"/>
      <c r="V192" s="159"/>
      <c r="W192" s="159"/>
      <c r="X192" s="159"/>
      <c r="Y192" s="159"/>
      <c r="Z192" s="159"/>
      <c r="AA192" s="159"/>
    </row>
    <row r="193" spans="1:27">
      <c r="H193" s="133"/>
      <c r="I193" s="131">
        <f>SUM(I184:I192)</f>
        <v>0</v>
      </c>
      <c r="J193" s="131">
        <f>SUM(J184:J192)</f>
        <v>40</v>
      </c>
    </row>
    <row r="194" spans="1:27">
      <c r="G194" s="20"/>
      <c r="H194" s="137"/>
    </row>
    <row r="195" spans="1:27" ht="30" customHeight="1">
      <c r="A195" s="167" t="s">
        <v>896</v>
      </c>
      <c r="B195" s="167"/>
      <c r="C195" s="167"/>
      <c r="D195" s="167"/>
      <c r="E195" s="167"/>
      <c r="F195" s="167"/>
      <c r="G195" s="26" t="s">
        <v>21</v>
      </c>
      <c r="H195" s="133"/>
      <c r="I195" s="132">
        <f t="shared" ref="I195:I202" si="9">IF(G195=$N$8,J195,0)</f>
        <v>0</v>
      </c>
      <c r="J195" s="132">
        <v>3</v>
      </c>
      <c r="S195" s="158" t="s">
        <v>939</v>
      </c>
      <c r="T195" s="159"/>
      <c r="U195" s="159"/>
      <c r="V195" s="159"/>
      <c r="W195" s="159"/>
      <c r="X195" s="159"/>
      <c r="Y195" s="159"/>
      <c r="Z195" s="159"/>
      <c r="AA195" s="159"/>
    </row>
    <row r="196" spans="1:27" ht="30" customHeight="1">
      <c r="A196" s="190" t="s">
        <v>528</v>
      </c>
      <c r="B196" s="190"/>
      <c r="C196" s="190"/>
      <c r="D196" s="190"/>
      <c r="E196" s="190"/>
      <c r="F196" s="190"/>
      <c r="G196" s="26" t="s">
        <v>21</v>
      </c>
      <c r="H196" s="133"/>
      <c r="I196" s="132">
        <f t="shared" si="9"/>
        <v>0</v>
      </c>
      <c r="J196" s="132">
        <v>3</v>
      </c>
      <c r="S196" s="159"/>
      <c r="T196" s="159"/>
      <c r="U196" s="159"/>
      <c r="V196" s="159"/>
      <c r="W196" s="159"/>
      <c r="X196" s="159"/>
      <c r="Y196" s="159"/>
      <c r="Z196" s="159"/>
      <c r="AA196" s="159"/>
    </row>
    <row r="197" spans="1:27">
      <c r="A197" s="190" t="s">
        <v>529</v>
      </c>
      <c r="B197" s="190"/>
      <c r="C197" s="190"/>
      <c r="D197" s="190"/>
      <c r="E197" s="190"/>
      <c r="F197" s="190"/>
      <c r="G197" s="26" t="s">
        <v>21</v>
      </c>
      <c r="H197" s="133"/>
      <c r="I197" s="132">
        <f t="shared" si="9"/>
        <v>0</v>
      </c>
      <c r="J197" s="132">
        <v>2</v>
      </c>
      <c r="S197" s="159"/>
      <c r="T197" s="159"/>
      <c r="U197" s="159"/>
      <c r="V197" s="159"/>
      <c r="W197" s="159"/>
      <c r="X197" s="159"/>
      <c r="Y197" s="159"/>
      <c r="Z197" s="159"/>
      <c r="AA197" s="159"/>
    </row>
    <row r="198" spans="1:27" ht="15" customHeight="1">
      <c r="A198" s="190" t="s">
        <v>530</v>
      </c>
      <c r="B198" s="190"/>
      <c r="C198" s="190"/>
      <c r="D198" s="190"/>
      <c r="E198" s="190"/>
      <c r="F198" s="190"/>
      <c r="G198" s="26" t="s">
        <v>21</v>
      </c>
      <c r="H198" s="133"/>
      <c r="I198" s="132">
        <f t="shared" si="9"/>
        <v>0</v>
      </c>
      <c r="J198" s="132">
        <v>2</v>
      </c>
      <c r="S198" s="159"/>
      <c r="T198" s="159"/>
      <c r="U198" s="159"/>
      <c r="V198" s="159"/>
      <c r="W198" s="159"/>
      <c r="X198" s="159"/>
      <c r="Y198" s="159"/>
      <c r="Z198" s="159"/>
      <c r="AA198" s="159"/>
    </row>
    <row r="199" spans="1:27" ht="30" customHeight="1">
      <c r="A199" s="190" t="s">
        <v>531</v>
      </c>
      <c r="B199" s="190"/>
      <c r="C199" s="190"/>
      <c r="D199" s="190"/>
      <c r="E199" s="190"/>
      <c r="F199" s="190"/>
      <c r="G199" s="26" t="s">
        <v>21</v>
      </c>
      <c r="H199" s="133"/>
      <c r="I199" s="132">
        <f t="shared" si="9"/>
        <v>0</v>
      </c>
      <c r="J199" s="132">
        <v>2</v>
      </c>
      <c r="S199" s="159"/>
      <c r="T199" s="159"/>
      <c r="U199" s="159"/>
      <c r="V199" s="159"/>
      <c r="W199" s="159"/>
      <c r="X199" s="159"/>
      <c r="Y199" s="159"/>
      <c r="Z199" s="159"/>
      <c r="AA199" s="159"/>
    </row>
    <row r="200" spans="1:27" ht="30" customHeight="1">
      <c r="A200" s="190" t="s">
        <v>532</v>
      </c>
      <c r="B200" s="190"/>
      <c r="C200" s="190"/>
      <c r="D200" s="190"/>
      <c r="E200" s="190"/>
      <c r="F200" s="190"/>
      <c r="G200" s="26" t="s">
        <v>21</v>
      </c>
      <c r="H200" s="133"/>
      <c r="I200" s="132">
        <f t="shared" si="9"/>
        <v>0</v>
      </c>
      <c r="J200" s="132">
        <v>2</v>
      </c>
      <c r="S200" s="159"/>
      <c r="T200" s="159"/>
      <c r="U200" s="159"/>
      <c r="V200" s="159"/>
      <c r="W200" s="159"/>
      <c r="X200" s="159"/>
      <c r="Y200" s="159"/>
      <c r="Z200" s="159"/>
      <c r="AA200" s="159"/>
    </row>
    <row r="201" spans="1:27" ht="30" customHeight="1">
      <c r="A201" s="190" t="s">
        <v>898</v>
      </c>
      <c r="B201" s="190"/>
      <c r="C201" s="190"/>
      <c r="D201" s="190"/>
      <c r="E201" s="190"/>
      <c r="F201" s="190"/>
      <c r="G201" s="26" t="s">
        <v>21</v>
      </c>
      <c r="H201" s="133"/>
      <c r="I201" s="132">
        <f t="shared" si="9"/>
        <v>0</v>
      </c>
      <c r="J201" s="132">
        <v>3</v>
      </c>
      <c r="S201" s="159"/>
      <c r="T201" s="159"/>
      <c r="U201" s="159"/>
      <c r="V201" s="159"/>
      <c r="W201" s="159"/>
      <c r="X201" s="159"/>
      <c r="Y201" s="159"/>
      <c r="Z201" s="159"/>
      <c r="AA201" s="159"/>
    </row>
    <row r="202" spans="1:27" ht="30" customHeight="1">
      <c r="A202" s="190" t="s">
        <v>897</v>
      </c>
      <c r="B202" s="190"/>
      <c r="C202" s="190"/>
      <c r="D202" s="190"/>
      <c r="E202" s="190"/>
      <c r="F202" s="190"/>
      <c r="G202" s="26" t="s">
        <v>21</v>
      </c>
      <c r="H202" s="133"/>
      <c r="I202" s="132">
        <f t="shared" si="9"/>
        <v>0</v>
      </c>
      <c r="J202" s="132">
        <v>3</v>
      </c>
      <c r="S202" s="159"/>
      <c r="T202" s="159"/>
      <c r="U202" s="159"/>
      <c r="V202" s="159"/>
      <c r="W202" s="159"/>
      <c r="X202" s="159"/>
      <c r="Y202" s="159"/>
      <c r="Z202" s="159"/>
      <c r="AA202" s="159"/>
    </row>
    <row r="203" spans="1:27">
      <c r="H203" s="133"/>
      <c r="I203" s="131">
        <f>SUM(I195:I202)</f>
        <v>0</v>
      </c>
      <c r="J203" s="131">
        <f>SUM(J195:J202)</f>
        <v>20</v>
      </c>
      <c r="K203" s="131"/>
      <c r="L203" s="131"/>
    </row>
    <row r="204" spans="1:27">
      <c r="G204" s="20"/>
      <c r="H204" s="137"/>
      <c r="K204" s="131" t="str">
        <f>O12</f>
        <v>-</v>
      </c>
      <c r="L204" s="131">
        <v>0</v>
      </c>
    </row>
    <row r="205" spans="1:27">
      <c r="A205" s="167" t="s">
        <v>900</v>
      </c>
      <c r="B205" s="167"/>
      <c r="C205" s="167"/>
      <c r="D205" s="167"/>
      <c r="E205" s="167"/>
      <c r="F205" s="167"/>
      <c r="G205" s="26" t="s">
        <v>21</v>
      </c>
      <c r="H205" s="133"/>
      <c r="I205" s="132">
        <f t="shared" ref="I205:I211" si="10">IF(G205=$N$8,J205,0)</f>
        <v>0</v>
      </c>
      <c r="J205" s="132">
        <v>5</v>
      </c>
      <c r="K205" s="131" t="str">
        <f>O13</f>
        <v>Very few show up</v>
      </c>
      <c r="L205" s="131">
        <v>1</v>
      </c>
      <c r="S205" s="158" t="s">
        <v>936</v>
      </c>
      <c r="T205" s="159"/>
      <c r="U205" s="159"/>
      <c r="V205" s="159"/>
      <c r="W205" s="159"/>
      <c r="X205" s="159"/>
      <c r="Y205" s="159"/>
      <c r="Z205" s="159"/>
      <c r="AA205" s="159"/>
    </row>
    <row r="206" spans="1:27" ht="30" customHeight="1">
      <c r="A206" s="190" t="s">
        <v>174</v>
      </c>
      <c r="B206" s="190"/>
      <c r="C206" s="190"/>
      <c r="D206" s="190"/>
      <c r="E206" s="190"/>
      <c r="F206" s="190"/>
      <c r="G206" s="143" t="s">
        <v>932</v>
      </c>
      <c r="H206" s="133"/>
      <c r="I206" s="132">
        <f>VLOOKUP(G206,K204:L207,2,FALSE)</f>
        <v>0</v>
      </c>
      <c r="J206" s="132">
        <v>3</v>
      </c>
      <c r="K206" s="131" t="str">
        <f>O14</f>
        <v>Nearly half the community</v>
      </c>
      <c r="L206" s="131">
        <v>2</v>
      </c>
      <c r="S206" s="159"/>
      <c r="T206" s="159"/>
      <c r="U206" s="159"/>
      <c r="V206" s="159"/>
      <c r="W206" s="159"/>
      <c r="X206" s="159"/>
      <c r="Y206" s="159"/>
      <c r="Z206" s="159"/>
      <c r="AA206" s="159"/>
    </row>
    <row r="207" spans="1:27" ht="30" customHeight="1">
      <c r="A207" s="190" t="s">
        <v>175</v>
      </c>
      <c r="B207" s="190"/>
      <c r="C207" s="190"/>
      <c r="D207" s="190"/>
      <c r="E207" s="190"/>
      <c r="F207" s="190"/>
      <c r="G207" s="143" t="s">
        <v>932</v>
      </c>
      <c r="H207" s="133"/>
      <c r="I207" s="132">
        <f>VLOOKUP(G207,K204:L207,2,FALSE)</f>
        <v>0</v>
      </c>
      <c r="J207" s="132">
        <v>3</v>
      </c>
      <c r="K207" s="131" t="str">
        <f>O15</f>
        <v>Nearly everyone comes</v>
      </c>
      <c r="L207" s="131">
        <v>3</v>
      </c>
      <c r="S207" s="159"/>
      <c r="T207" s="159"/>
      <c r="U207" s="159"/>
      <c r="V207" s="159"/>
      <c r="W207" s="159"/>
      <c r="X207" s="159"/>
      <c r="Y207" s="159"/>
      <c r="Z207" s="159"/>
      <c r="AA207" s="159"/>
    </row>
    <row r="208" spans="1:27" ht="30" customHeight="1">
      <c r="A208" s="196" t="s">
        <v>176</v>
      </c>
      <c r="B208" s="196"/>
      <c r="C208" s="196"/>
      <c r="D208" s="196"/>
      <c r="E208" s="196"/>
      <c r="F208" s="197"/>
      <c r="G208" s="143"/>
      <c r="H208" s="133"/>
      <c r="I208" s="132">
        <f>IF(G208=K210,L210,IF(G208=K209,L209,0))</f>
        <v>0</v>
      </c>
      <c r="J208" s="132">
        <v>2</v>
      </c>
      <c r="K208" s="131" t="s">
        <v>933</v>
      </c>
      <c r="L208" s="131">
        <v>0</v>
      </c>
      <c r="S208" s="159"/>
      <c r="T208" s="159"/>
      <c r="U208" s="159"/>
      <c r="V208" s="159"/>
      <c r="W208" s="159"/>
      <c r="X208" s="159"/>
      <c r="Y208" s="159"/>
      <c r="Z208" s="159"/>
      <c r="AA208" s="159"/>
    </row>
    <row r="209" spans="1:27" ht="30" customHeight="1">
      <c r="A209" s="190" t="s">
        <v>177</v>
      </c>
      <c r="B209" s="190"/>
      <c r="C209" s="190"/>
      <c r="D209" s="190"/>
      <c r="E209" s="190"/>
      <c r="F209" s="190"/>
      <c r="G209" s="26" t="s">
        <v>21</v>
      </c>
      <c r="H209" s="133"/>
      <c r="I209" s="132">
        <f t="shared" si="10"/>
        <v>0</v>
      </c>
      <c r="J209" s="132">
        <v>2</v>
      </c>
      <c r="K209" s="131" t="s">
        <v>934</v>
      </c>
      <c r="L209" s="131">
        <v>1</v>
      </c>
      <c r="S209" s="159"/>
      <c r="T209" s="159"/>
      <c r="U209" s="159"/>
      <c r="V209" s="159"/>
      <c r="W209" s="159"/>
      <c r="X209" s="159"/>
      <c r="Y209" s="159"/>
      <c r="Z209" s="159"/>
      <c r="AA209" s="159"/>
    </row>
    <row r="210" spans="1:27">
      <c r="A210" s="190" t="s">
        <v>178</v>
      </c>
      <c r="B210" s="190"/>
      <c r="C210" s="190"/>
      <c r="D210" s="190"/>
      <c r="E210" s="190"/>
      <c r="F210" s="190"/>
      <c r="G210" s="26" t="s">
        <v>21</v>
      </c>
      <c r="H210" s="133"/>
      <c r="I210" s="132">
        <f t="shared" si="10"/>
        <v>0</v>
      </c>
      <c r="J210" s="132">
        <v>2</v>
      </c>
      <c r="K210" s="131" t="s">
        <v>935</v>
      </c>
      <c r="L210" s="131">
        <v>2</v>
      </c>
      <c r="S210" s="159"/>
      <c r="T210" s="159"/>
      <c r="U210" s="159"/>
      <c r="V210" s="159"/>
      <c r="W210" s="159"/>
      <c r="X210" s="159"/>
      <c r="Y210" s="159"/>
      <c r="Z210" s="159"/>
      <c r="AA210" s="159"/>
    </row>
    <row r="211" spans="1:27">
      <c r="A211" s="190" t="s">
        <v>179</v>
      </c>
      <c r="B211" s="190"/>
      <c r="C211" s="190"/>
      <c r="D211" s="190"/>
      <c r="E211" s="190"/>
      <c r="F211" s="190"/>
      <c r="G211" s="26" t="s">
        <v>21</v>
      </c>
      <c r="H211" s="133"/>
      <c r="I211" s="132">
        <f t="shared" si="10"/>
        <v>0</v>
      </c>
      <c r="J211" s="132">
        <v>3</v>
      </c>
      <c r="S211" s="159"/>
      <c r="T211" s="159"/>
      <c r="U211" s="159"/>
      <c r="V211" s="159"/>
      <c r="W211" s="159"/>
      <c r="X211" s="159"/>
      <c r="Y211" s="159"/>
      <c r="Z211" s="159"/>
      <c r="AA211" s="159"/>
    </row>
    <row r="212" spans="1:27">
      <c r="H212" s="133"/>
      <c r="I212" s="131">
        <f>SUM(I205:I211)</f>
        <v>0</v>
      </c>
      <c r="J212" s="131">
        <f>SUM(J205:J211)</f>
        <v>20</v>
      </c>
    </row>
    <row r="213" spans="1:27">
      <c r="G213" s="20"/>
      <c r="H213" s="137"/>
    </row>
    <row r="214" spans="1:27" ht="30" customHeight="1">
      <c r="A214" s="167" t="s">
        <v>899</v>
      </c>
      <c r="B214" s="167"/>
      <c r="C214" s="167"/>
      <c r="D214" s="167"/>
      <c r="E214" s="167"/>
      <c r="F214" s="167"/>
      <c r="G214" s="26" t="s">
        <v>21</v>
      </c>
      <c r="H214" s="139"/>
      <c r="I214" s="132">
        <f t="shared" ref="I214:I224" si="11">IF(G214=$N$8,J214,0)</f>
        <v>0</v>
      </c>
      <c r="J214" s="132">
        <v>1</v>
      </c>
      <c r="S214" s="158" t="s">
        <v>940</v>
      </c>
      <c r="T214" s="158"/>
      <c r="U214" s="158"/>
      <c r="V214" s="158"/>
      <c r="W214" s="158"/>
      <c r="X214" s="158"/>
      <c r="Y214" s="158"/>
      <c r="Z214" s="158"/>
      <c r="AA214" s="158"/>
    </row>
    <row r="215" spans="1:27">
      <c r="A215" s="190" t="s">
        <v>507</v>
      </c>
      <c r="B215" s="190"/>
      <c r="C215" s="190"/>
      <c r="D215" s="190"/>
      <c r="E215" s="190"/>
      <c r="F215" s="190"/>
      <c r="G215" s="26" t="s">
        <v>21</v>
      </c>
      <c r="H215" s="139"/>
      <c r="I215" s="132">
        <f t="shared" si="11"/>
        <v>0</v>
      </c>
      <c r="J215" s="132">
        <v>1</v>
      </c>
      <c r="S215" s="158"/>
      <c r="T215" s="158"/>
      <c r="U215" s="158"/>
      <c r="V215" s="158"/>
      <c r="W215" s="158"/>
      <c r="X215" s="158"/>
      <c r="Y215" s="158"/>
      <c r="Z215" s="158"/>
      <c r="AA215" s="158"/>
    </row>
    <row r="216" spans="1:27" ht="15" customHeight="1">
      <c r="A216" s="190" t="s">
        <v>901</v>
      </c>
      <c r="B216" s="190"/>
      <c r="C216" s="190"/>
      <c r="D216" s="190"/>
      <c r="E216" s="190"/>
      <c r="F216" s="195"/>
      <c r="G216" s="26" t="s">
        <v>21</v>
      </c>
      <c r="H216" s="139"/>
      <c r="I216" s="132">
        <f t="shared" si="11"/>
        <v>0</v>
      </c>
      <c r="J216" s="132">
        <v>1</v>
      </c>
      <c r="S216" s="158"/>
      <c r="T216" s="158"/>
      <c r="U216" s="158"/>
      <c r="V216" s="158"/>
      <c r="W216" s="158"/>
      <c r="X216" s="158"/>
      <c r="Y216" s="158"/>
      <c r="Z216" s="158"/>
      <c r="AA216" s="158"/>
    </row>
    <row r="217" spans="1:27" ht="15" customHeight="1">
      <c r="A217" s="190" t="s">
        <v>902</v>
      </c>
      <c r="B217" s="190"/>
      <c r="C217" s="190"/>
      <c r="D217" s="190"/>
      <c r="E217" s="190"/>
      <c r="F217" s="195"/>
      <c r="G217" s="26" t="s">
        <v>21</v>
      </c>
      <c r="H217" s="139"/>
      <c r="I217" s="132">
        <f t="shared" si="11"/>
        <v>0</v>
      </c>
      <c r="J217" s="132">
        <v>1</v>
      </c>
      <c r="S217" s="151"/>
      <c r="T217" s="151"/>
      <c r="U217" s="151"/>
      <c r="V217" s="151"/>
      <c r="W217" s="151"/>
      <c r="X217" s="151"/>
      <c r="Y217" s="151"/>
      <c r="Z217" s="151"/>
      <c r="AA217" s="151"/>
    </row>
    <row r="218" spans="1:27">
      <c r="A218" s="190" t="s">
        <v>883</v>
      </c>
      <c r="B218" s="190"/>
      <c r="C218" s="190"/>
      <c r="D218" s="190"/>
      <c r="E218" s="190"/>
      <c r="F218" s="190"/>
      <c r="G218" s="26" t="s">
        <v>21</v>
      </c>
      <c r="H218" s="139"/>
      <c r="I218" s="132">
        <f t="shared" si="11"/>
        <v>0</v>
      </c>
      <c r="J218" s="132">
        <v>2</v>
      </c>
      <c r="S218" s="151"/>
      <c r="T218" s="151"/>
      <c r="U218" s="151"/>
      <c r="V218" s="151"/>
      <c r="W218" s="151"/>
      <c r="X218" s="151"/>
      <c r="Y218" s="151"/>
      <c r="Z218" s="151"/>
      <c r="AA218" s="151"/>
    </row>
    <row r="219" spans="1:27">
      <c r="A219" s="190" t="s">
        <v>509</v>
      </c>
      <c r="B219" s="190"/>
      <c r="C219" s="190"/>
      <c r="D219" s="190"/>
      <c r="E219" s="190"/>
      <c r="F219" s="190"/>
      <c r="G219" s="26" t="s">
        <v>21</v>
      </c>
      <c r="H219" s="139"/>
      <c r="I219" s="132">
        <f t="shared" si="11"/>
        <v>0</v>
      </c>
      <c r="J219" s="132">
        <v>1</v>
      </c>
      <c r="S219" s="151"/>
      <c r="T219" s="151"/>
      <c r="U219" s="151"/>
      <c r="V219" s="151"/>
      <c r="W219" s="151"/>
      <c r="X219" s="151"/>
      <c r="Y219" s="151"/>
      <c r="Z219" s="151"/>
      <c r="AA219" s="151"/>
    </row>
    <row r="220" spans="1:27" ht="30" customHeight="1">
      <c r="A220" s="190" t="s">
        <v>510</v>
      </c>
      <c r="B220" s="190"/>
      <c r="C220" s="190"/>
      <c r="D220" s="190"/>
      <c r="E220" s="190"/>
      <c r="F220" s="190"/>
      <c r="G220" s="26" t="s">
        <v>21</v>
      </c>
      <c r="H220" s="139"/>
      <c r="I220" s="132">
        <f t="shared" si="11"/>
        <v>0</v>
      </c>
      <c r="J220" s="132">
        <v>2</v>
      </c>
      <c r="S220" s="151"/>
      <c r="T220" s="151"/>
      <c r="U220" s="151"/>
      <c r="V220" s="151"/>
      <c r="W220" s="151"/>
      <c r="X220" s="151"/>
      <c r="Y220" s="151"/>
      <c r="Z220" s="151"/>
      <c r="AA220" s="151"/>
    </row>
    <row r="221" spans="1:27" ht="15" customHeight="1">
      <c r="A221" s="190" t="s">
        <v>511</v>
      </c>
      <c r="B221" s="190"/>
      <c r="C221" s="190"/>
      <c r="D221" s="190"/>
      <c r="E221" s="190"/>
      <c r="F221" s="195"/>
      <c r="G221" s="26" t="s">
        <v>21</v>
      </c>
      <c r="H221" s="139"/>
      <c r="I221" s="132">
        <f t="shared" si="11"/>
        <v>0</v>
      </c>
      <c r="J221" s="132">
        <v>1</v>
      </c>
      <c r="S221" s="151"/>
      <c r="T221" s="151"/>
      <c r="U221" s="151"/>
      <c r="V221" s="151"/>
      <c r="W221" s="151"/>
      <c r="X221" s="151"/>
      <c r="Y221" s="151"/>
      <c r="Z221" s="151"/>
      <c r="AA221" s="151"/>
    </row>
    <row r="222" spans="1:27" ht="15" customHeight="1">
      <c r="A222" s="190" t="s">
        <v>508</v>
      </c>
      <c r="B222" s="190"/>
      <c r="C222" s="190"/>
      <c r="D222" s="190"/>
      <c r="E222" s="190"/>
      <c r="F222" s="190"/>
      <c r="G222" s="26" t="s">
        <v>21</v>
      </c>
      <c r="H222" s="139"/>
      <c r="I222" s="132">
        <f t="shared" si="11"/>
        <v>0</v>
      </c>
      <c r="J222" s="132">
        <v>1</v>
      </c>
      <c r="S222" s="151"/>
      <c r="T222" s="151"/>
      <c r="U222" s="151"/>
      <c r="V222" s="151"/>
      <c r="W222" s="151"/>
      <c r="X222" s="151"/>
      <c r="Y222" s="151"/>
      <c r="Z222" s="151"/>
      <c r="AA222" s="151"/>
    </row>
    <row r="223" spans="1:27" ht="45" customHeight="1">
      <c r="A223" s="190" t="s">
        <v>904</v>
      </c>
      <c r="B223" s="190"/>
      <c r="C223" s="190"/>
      <c r="D223" s="190"/>
      <c r="E223" s="190"/>
      <c r="F223" s="190"/>
      <c r="G223" s="26" t="s">
        <v>21</v>
      </c>
      <c r="H223" s="139"/>
      <c r="I223" s="132">
        <f t="shared" si="11"/>
        <v>0</v>
      </c>
      <c r="J223" s="132">
        <v>2</v>
      </c>
      <c r="S223" s="151"/>
      <c r="T223" s="151"/>
      <c r="U223" s="151"/>
      <c r="V223" s="151"/>
      <c r="W223" s="151"/>
      <c r="X223" s="151"/>
      <c r="Y223" s="151"/>
      <c r="Z223" s="151"/>
      <c r="AA223" s="151"/>
    </row>
    <row r="224" spans="1:27" ht="30" customHeight="1">
      <c r="A224" s="190" t="s">
        <v>903</v>
      </c>
      <c r="B224" s="190"/>
      <c r="C224" s="190"/>
      <c r="D224" s="190"/>
      <c r="E224" s="190"/>
      <c r="F224" s="190"/>
      <c r="G224" s="26" t="s">
        <v>21</v>
      </c>
      <c r="H224" s="139"/>
      <c r="I224" s="132">
        <f t="shared" si="11"/>
        <v>0</v>
      </c>
      <c r="J224" s="132">
        <v>2</v>
      </c>
      <c r="S224" s="151"/>
      <c r="T224" s="151"/>
      <c r="U224" s="151"/>
      <c r="V224" s="151"/>
      <c r="W224" s="151"/>
      <c r="X224" s="151"/>
      <c r="Y224" s="151"/>
      <c r="Z224" s="151"/>
      <c r="AA224" s="151"/>
    </row>
    <row r="225" spans="1:27">
      <c r="H225" s="133"/>
      <c r="I225" s="131">
        <f>SUM(I214:I224)</f>
        <v>0</v>
      </c>
      <c r="J225" s="131">
        <f>SUM(J214:J224)</f>
        <v>15</v>
      </c>
    </row>
    <row r="226" spans="1:27">
      <c r="G226" s="20"/>
      <c r="H226" s="137"/>
    </row>
    <row r="227" spans="1:27" ht="30" customHeight="1">
      <c r="A227" s="167" t="s">
        <v>110</v>
      </c>
      <c r="B227" s="167"/>
      <c r="C227" s="167"/>
      <c r="D227" s="167"/>
      <c r="E227" s="167"/>
      <c r="F227" s="167"/>
      <c r="G227" s="26" t="s">
        <v>21</v>
      </c>
      <c r="H227" s="139"/>
      <c r="I227" s="132">
        <f t="shared" ref="I227:I234" si="12">IF(G227=$N$8,J227,0)</f>
        <v>0</v>
      </c>
      <c r="J227" s="132">
        <v>5</v>
      </c>
      <c r="S227" s="158" t="s">
        <v>937</v>
      </c>
      <c r="T227" s="159"/>
      <c r="U227" s="159"/>
      <c r="V227" s="159"/>
      <c r="W227" s="159"/>
      <c r="X227" s="159"/>
      <c r="Y227" s="159"/>
      <c r="Z227" s="159"/>
      <c r="AA227" s="159"/>
    </row>
    <row r="228" spans="1:27">
      <c r="A228" s="190" t="s">
        <v>48</v>
      </c>
      <c r="B228" s="190"/>
      <c r="C228" s="190"/>
      <c r="D228" s="190"/>
      <c r="E228" s="190"/>
      <c r="F228" s="190"/>
      <c r="G228" s="26" t="s">
        <v>21</v>
      </c>
      <c r="H228" s="139"/>
      <c r="I228" s="132">
        <f>IF(G228="Yes, full time",3,IF(G228="Yes, part time",1,0))</f>
        <v>0</v>
      </c>
      <c r="J228" s="132">
        <v>3</v>
      </c>
      <c r="S228" s="159"/>
      <c r="T228" s="159"/>
      <c r="U228" s="159"/>
      <c r="V228" s="159"/>
      <c r="W228" s="159"/>
      <c r="X228" s="159"/>
      <c r="Y228" s="159"/>
      <c r="Z228" s="159"/>
      <c r="AA228" s="159"/>
    </row>
    <row r="229" spans="1:27">
      <c r="A229" s="190" t="s">
        <v>49</v>
      </c>
      <c r="B229" s="190"/>
      <c r="C229" s="190"/>
      <c r="D229" s="190"/>
      <c r="E229" s="190"/>
      <c r="F229" s="190"/>
      <c r="G229" s="26" t="s">
        <v>21</v>
      </c>
      <c r="H229" s="139"/>
      <c r="I229" s="132">
        <f t="shared" si="12"/>
        <v>0</v>
      </c>
      <c r="J229" s="132">
        <v>2</v>
      </c>
      <c r="S229" s="159"/>
      <c r="T229" s="159"/>
      <c r="U229" s="159"/>
      <c r="V229" s="159"/>
      <c r="W229" s="159"/>
      <c r="X229" s="159"/>
      <c r="Y229" s="159"/>
      <c r="Z229" s="159"/>
      <c r="AA229" s="159"/>
    </row>
    <row r="230" spans="1:27" ht="30" customHeight="1">
      <c r="A230" s="190" t="s">
        <v>50</v>
      </c>
      <c r="B230" s="190"/>
      <c r="C230" s="190"/>
      <c r="D230" s="190"/>
      <c r="E230" s="190"/>
      <c r="F230" s="190"/>
      <c r="G230" s="26" t="s">
        <v>21</v>
      </c>
      <c r="H230" s="139"/>
      <c r="I230" s="132">
        <f t="shared" si="12"/>
        <v>0</v>
      </c>
      <c r="J230" s="132">
        <v>2</v>
      </c>
      <c r="S230" s="159"/>
      <c r="T230" s="159"/>
      <c r="U230" s="159"/>
      <c r="V230" s="159"/>
      <c r="W230" s="159"/>
      <c r="X230" s="159"/>
      <c r="Y230" s="159"/>
      <c r="Z230" s="159"/>
      <c r="AA230" s="159"/>
    </row>
    <row r="231" spans="1:27" ht="30" customHeight="1">
      <c r="A231" s="190" t="s">
        <v>111</v>
      </c>
      <c r="B231" s="190"/>
      <c r="C231" s="190"/>
      <c r="D231" s="190"/>
      <c r="E231" s="190"/>
      <c r="F231" s="190"/>
      <c r="G231" s="26" t="s">
        <v>21</v>
      </c>
      <c r="H231" s="139"/>
      <c r="I231" s="132">
        <f t="shared" si="12"/>
        <v>0</v>
      </c>
      <c r="J231" s="132">
        <v>1</v>
      </c>
      <c r="S231" s="159"/>
      <c r="T231" s="159"/>
      <c r="U231" s="159"/>
      <c r="V231" s="159"/>
      <c r="W231" s="159"/>
      <c r="X231" s="159"/>
      <c r="Y231" s="159"/>
      <c r="Z231" s="159"/>
      <c r="AA231" s="159"/>
    </row>
    <row r="232" spans="1:27" ht="30" customHeight="1">
      <c r="A232" s="190" t="s">
        <v>884</v>
      </c>
      <c r="B232" s="190"/>
      <c r="C232" s="190"/>
      <c r="D232" s="190"/>
      <c r="E232" s="190"/>
      <c r="F232" s="190"/>
      <c r="G232" s="26" t="s">
        <v>21</v>
      </c>
      <c r="H232" s="139"/>
      <c r="I232" s="132">
        <f t="shared" si="12"/>
        <v>0</v>
      </c>
      <c r="J232" s="132">
        <v>3</v>
      </c>
      <c r="S232" s="159"/>
      <c r="T232" s="159"/>
      <c r="U232" s="159"/>
      <c r="V232" s="159"/>
      <c r="W232" s="159"/>
      <c r="X232" s="159"/>
      <c r="Y232" s="159"/>
      <c r="Z232" s="159"/>
      <c r="AA232" s="159"/>
    </row>
    <row r="233" spans="1:27" ht="30" customHeight="1">
      <c r="A233" s="190" t="s">
        <v>112</v>
      </c>
      <c r="B233" s="190"/>
      <c r="C233" s="190"/>
      <c r="D233" s="190"/>
      <c r="E233" s="190"/>
      <c r="F233" s="190"/>
      <c r="G233" s="26" t="s">
        <v>21</v>
      </c>
      <c r="H233" s="139"/>
      <c r="I233" s="132">
        <f t="shared" si="12"/>
        <v>0</v>
      </c>
      <c r="J233" s="132">
        <v>2</v>
      </c>
      <c r="S233" s="159"/>
      <c r="T233" s="159"/>
      <c r="U233" s="159"/>
      <c r="V233" s="159"/>
      <c r="W233" s="159"/>
      <c r="X233" s="159"/>
      <c r="Y233" s="159"/>
      <c r="Z233" s="159"/>
      <c r="AA233" s="159"/>
    </row>
    <row r="234" spans="1:27" ht="30" customHeight="1">
      <c r="A234" s="190" t="s">
        <v>113</v>
      </c>
      <c r="B234" s="190"/>
      <c r="C234" s="190"/>
      <c r="D234" s="190"/>
      <c r="E234" s="190"/>
      <c r="F234" s="190"/>
      <c r="G234" s="26" t="s">
        <v>21</v>
      </c>
      <c r="H234" s="139"/>
      <c r="I234" s="132">
        <f t="shared" si="12"/>
        <v>0</v>
      </c>
      <c r="J234" s="132">
        <v>2</v>
      </c>
      <c r="S234" s="159"/>
      <c r="T234" s="159"/>
      <c r="U234" s="159"/>
      <c r="V234" s="159"/>
      <c r="W234" s="159"/>
      <c r="X234" s="159"/>
      <c r="Y234" s="159"/>
      <c r="Z234" s="159"/>
      <c r="AA234" s="159"/>
    </row>
    <row r="235" spans="1:27">
      <c r="H235" s="133"/>
      <c r="I235" s="131">
        <f>SUM(I227:I234)</f>
        <v>0</v>
      </c>
      <c r="J235" s="131">
        <f>SUM(J227:J234)</f>
        <v>20</v>
      </c>
    </row>
    <row r="236" spans="1:27">
      <c r="G236" s="20"/>
      <c r="H236" s="137"/>
    </row>
    <row r="237" spans="1:27" ht="15" customHeight="1">
      <c r="A237" s="167" t="s">
        <v>521</v>
      </c>
      <c r="B237" s="167"/>
      <c r="C237" s="167"/>
      <c r="D237" s="167"/>
      <c r="E237" s="167"/>
      <c r="F237" s="167"/>
      <c r="G237" s="26" t="s">
        <v>21</v>
      </c>
      <c r="H237" s="139"/>
      <c r="I237" s="132">
        <f t="shared" ref="I237:I246" si="13">IF(G237=$N$8,J237,0)</f>
        <v>0</v>
      </c>
      <c r="J237" s="132">
        <v>4</v>
      </c>
    </row>
    <row r="238" spans="1:27" ht="30" customHeight="1">
      <c r="A238" s="190" t="s">
        <v>522</v>
      </c>
      <c r="B238" s="190"/>
      <c r="C238" s="190"/>
      <c r="D238" s="190"/>
      <c r="E238" s="190"/>
      <c r="F238" s="190"/>
      <c r="G238" s="26" t="s">
        <v>21</v>
      </c>
      <c r="H238" s="139"/>
      <c r="I238" s="132">
        <v>0</v>
      </c>
      <c r="J238" s="132">
        <v>3</v>
      </c>
    </row>
    <row r="239" spans="1:27" ht="30" customHeight="1">
      <c r="A239" s="190" t="s">
        <v>513</v>
      </c>
      <c r="B239" s="190"/>
      <c r="C239" s="190"/>
      <c r="D239" s="190"/>
      <c r="E239" s="190"/>
      <c r="F239" s="190"/>
      <c r="G239" s="26" t="s">
        <v>21</v>
      </c>
      <c r="H239" s="139"/>
      <c r="I239" s="132">
        <f t="shared" si="13"/>
        <v>0</v>
      </c>
      <c r="J239" s="132">
        <v>1</v>
      </c>
    </row>
    <row r="240" spans="1:27" ht="30" customHeight="1">
      <c r="A240" s="190" t="s">
        <v>514</v>
      </c>
      <c r="B240" s="190"/>
      <c r="C240" s="190"/>
      <c r="D240" s="190"/>
      <c r="E240" s="190"/>
      <c r="F240" s="190"/>
      <c r="G240" s="26" t="s">
        <v>21</v>
      </c>
      <c r="H240" s="139"/>
      <c r="I240" s="132">
        <f t="shared" si="13"/>
        <v>0</v>
      </c>
      <c r="J240" s="132">
        <v>1</v>
      </c>
    </row>
    <row r="241" spans="1:27">
      <c r="A241" s="190" t="s">
        <v>515</v>
      </c>
      <c r="B241" s="190"/>
      <c r="C241" s="190"/>
      <c r="D241" s="190"/>
      <c r="E241" s="190"/>
      <c r="F241" s="190"/>
      <c r="G241" s="26" t="s">
        <v>21</v>
      </c>
      <c r="H241" s="139"/>
      <c r="I241" s="132">
        <f t="shared" si="13"/>
        <v>0</v>
      </c>
      <c r="J241" s="132">
        <v>1</v>
      </c>
    </row>
    <row r="242" spans="1:27">
      <c r="A242" s="190" t="s">
        <v>516</v>
      </c>
      <c r="B242" s="190"/>
      <c r="C242" s="190"/>
      <c r="D242" s="190"/>
      <c r="E242" s="190"/>
      <c r="F242" s="190"/>
      <c r="G242" s="26" t="s">
        <v>21</v>
      </c>
      <c r="H242" s="139"/>
      <c r="I242" s="132">
        <f t="shared" si="13"/>
        <v>0</v>
      </c>
      <c r="J242" s="132">
        <v>1</v>
      </c>
    </row>
    <row r="243" spans="1:27" ht="15" customHeight="1">
      <c r="A243" s="190" t="s">
        <v>517</v>
      </c>
      <c r="B243" s="190"/>
      <c r="C243" s="190"/>
      <c r="D243" s="190"/>
      <c r="E243" s="190"/>
      <c r="F243" s="190"/>
      <c r="G243" s="26" t="s">
        <v>21</v>
      </c>
      <c r="H243" s="139"/>
      <c r="I243" s="132">
        <f t="shared" si="13"/>
        <v>0</v>
      </c>
      <c r="J243" s="132">
        <v>1</v>
      </c>
    </row>
    <row r="244" spans="1:27">
      <c r="A244" s="190" t="s">
        <v>518</v>
      </c>
      <c r="B244" s="190"/>
      <c r="C244" s="190"/>
      <c r="D244" s="190"/>
      <c r="E244" s="190"/>
      <c r="F244" s="190"/>
      <c r="G244" s="26" t="s">
        <v>21</v>
      </c>
      <c r="H244" s="139"/>
      <c r="I244" s="132">
        <f t="shared" si="13"/>
        <v>0</v>
      </c>
      <c r="J244" s="132">
        <v>1</v>
      </c>
    </row>
    <row r="245" spans="1:27" ht="30" customHeight="1">
      <c r="A245" s="190" t="s">
        <v>519</v>
      </c>
      <c r="B245" s="190"/>
      <c r="C245" s="190"/>
      <c r="D245" s="190"/>
      <c r="E245" s="190"/>
      <c r="F245" s="190"/>
      <c r="G245" s="26" t="s">
        <v>21</v>
      </c>
      <c r="H245" s="139"/>
      <c r="I245" s="132">
        <f t="shared" si="13"/>
        <v>0</v>
      </c>
      <c r="J245" s="132">
        <v>1</v>
      </c>
    </row>
    <row r="246" spans="1:27" ht="15" customHeight="1">
      <c r="A246" s="190" t="s">
        <v>520</v>
      </c>
      <c r="B246" s="190"/>
      <c r="C246" s="190"/>
      <c r="D246" s="190"/>
      <c r="E246" s="190"/>
      <c r="F246" s="190"/>
      <c r="G246" s="26" t="s">
        <v>21</v>
      </c>
      <c r="H246" s="139"/>
      <c r="I246" s="132">
        <f t="shared" si="13"/>
        <v>0</v>
      </c>
      <c r="J246" s="132">
        <v>1</v>
      </c>
    </row>
    <row r="247" spans="1:27">
      <c r="H247" s="133"/>
      <c r="I247" s="131">
        <f>SUM(I237:I246)</f>
        <v>0</v>
      </c>
      <c r="J247" s="131">
        <f>SUM(J237:J246)</f>
        <v>15</v>
      </c>
    </row>
    <row r="248" spans="1:27">
      <c r="G248" s="20"/>
      <c r="H248" s="137"/>
    </row>
    <row r="249" spans="1:27" ht="15" customHeight="1">
      <c r="A249" s="167" t="s">
        <v>184</v>
      </c>
      <c r="B249" s="167"/>
      <c r="C249" s="167"/>
      <c r="D249" s="167"/>
      <c r="E249" s="167"/>
      <c r="F249" s="167"/>
      <c r="G249" s="26" t="s">
        <v>21</v>
      </c>
      <c r="H249" s="139"/>
      <c r="I249" s="132">
        <f t="shared" ref="I249:I256" si="14">IF(G249=$N$8,J249,0)</f>
        <v>0</v>
      </c>
      <c r="J249" s="132">
        <v>5</v>
      </c>
      <c r="S249" s="158" t="s">
        <v>941</v>
      </c>
      <c r="T249" s="159"/>
      <c r="U249" s="159"/>
      <c r="V249" s="159"/>
      <c r="W249" s="159"/>
      <c r="X249" s="159"/>
      <c r="Y249" s="159"/>
      <c r="Z249" s="159"/>
      <c r="AA249" s="159"/>
    </row>
    <row r="250" spans="1:27" ht="15" customHeight="1">
      <c r="A250" s="202" t="s">
        <v>119</v>
      </c>
      <c r="B250" s="202"/>
      <c r="C250" s="202"/>
      <c r="D250" s="202"/>
      <c r="E250" s="202"/>
      <c r="F250" s="202"/>
      <c r="G250" s="26" t="s">
        <v>21</v>
      </c>
      <c r="H250" s="139"/>
      <c r="I250" s="132">
        <f t="shared" si="14"/>
        <v>0</v>
      </c>
      <c r="J250" s="132">
        <v>4</v>
      </c>
      <c r="S250" s="159"/>
      <c r="T250" s="159"/>
      <c r="U250" s="159"/>
      <c r="V250" s="159"/>
      <c r="W250" s="159"/>
      <c r="X250" s="159"/>
      <c r="Y250" s="159"/>
      <c r="Z250" s="159"/>
      <c r="AA250" s="159"/>
    </row>
    <row r="251" spans="1:27" ht="30" customHeight="1">
      <c r="A251" s="202" t="s">
        <v>885</v>
      </c>
      <c r="B251" s="202"/>
      <c r="C251" s="202"/>
      <c r="D251" s="202"/>
      <c r="E251" s="202"/>
      <c r="F251" s="202"/>
      <c r="G251" s="26" t="s">
        <v>21</v>
      </c>
      <c r="H251" s="139"/>
      <c r="I251" s="132">
        <f t="shared" si="14"/>
        <v>0</v>
      </c>
      <c r="J251" s="132">
        <v>2</v>
      </c>
      <c r="S251" s="159"/>
      <c r="T251" s="159"/>
      <c r="U251" s="159"/>
      <c r="V251" s="159"/>
      <c r="W251" s="159"/>
      <c r="X251" s="159"/>
      <c r="Y251" s="159"/>
      <c r="Z251" s="159"/>
      <c r="AA251" s="159"/>
    </row>
    <row r="252" spans="1:27" ht="30" customHeight="1">
      <c r="A252" s="187" t="s">
        <v>114</v>
      </c>
      <c r="B252" s="187"/>
      <c r="C252" s="187"/>
      <c r="D252" s="187"/>
      <c r="E252" s="187"/>
      <c r="F252" s="187"/>
      <c r="G252" s="26" t="s">
        <v>21</v>
      </c>
      <c r="H252" s="139"/>
      <c r="I252" s="132">
        <f t="shared" si="14"/>
        <v>0</v>
      </c>
      <c r="J252" s="140">
        <v>2</v>
      </c>
      <c r="S252" s="159"/>
      <c r="T252" s="159"/>
      <c r="U252" s="159"/>
      <c r="V252" s="159"/>
      <c r="W252" s="159"/>
      <c r="X252" s="159"/>
      <c r="Y252" s="159"/>
      <c r="Z252" s="159"/>
      <c r="AA252" s="159"/>
    </row>
    <row r="253" spans="1:27">
      <c r="A253" s="187" t="s">
        <v>115</v>
      </c>
      <c r="B253" s="187"/>
      <c r="C253" s="187"/>
      <c r="D253" s="187"/>
      <c r="E253" s="187"/>
      <c r="F253" s="187"/>
      <c r="G253" s="26" t="s">
        <v>21</v>
      </c>
      <c r="H253" s="139"/>
      <c r="I253" s="132">
        <f t="shared" si="14"/>
        <v>0</v>
      </c>
      <c r="J253" s="140">
        <v>2</v>
      </c>
      <c r="S253" s="159"/>
      <c r="T253" s="159"/>
      <c r="U253" s="159"/>
      <c r="V253" s="159"/>
      <c r="W253" s="159"/>
      <c r="X253" s="159"/>
      <c r="Y253" s="159"/>
      <c r="Z253" s="159"/>
      <c r="AA253" s="159"/>
    </row>
    <row r="254" spans="1:27">
      <c r="A254" s="187" t="s">
        <v>116</v>
      </c>
      <c r="B254" s="187"/>
      <c r="C254" s="187"/>
      <c r="D254" s="187"/>
      <c r="E254" s="187"/>
      <c r="F254" s="187"/>
      <c r="G254" s="26" t="s">
        <v>21</v>
      </c>
      <c r="H254" s="139"/>
      <c r="I254" s="132">
        <f t="shared" si="14"/>
        <v>0</v>
      </c>
      <c r="J254" s="140">
        <v>2</v>
      </c>
      <c r="S254" s="159"/>
      <c r="T254" s="159"/>
      <c r="U254" s="159"/>
      <c r="V254" s="159"/>
      <c r="W254" s="159"/>
      <c r="X254" s="159"/>
      <c r="Y254" s="159"/>
      <c r="Z254" s="159"/>
      <c r="AA254" s="159"/>
    </row>
    <row r="255" spans="1:27" ht="30" customHeight="1">
      <c r="A255" s="187" t="s">
        <v>117</v>
      </c>
      <c r="B255" s="187"/>
      <c r="C255" s="187"/>
      <c r="D255" s="187"/>
      <c r="E255" s="187"/>
      <c r="F255" s="187"/>
      <c r="G255" s="26" t="s">
        <v>21</v>
      </c>
      <c r="H255" s="139"/>
      <c r="I255" s="132">
        <f t="shared" si="14"/>
        <v>0</v>
      </c>
      <c r="J255" s="140">
        <v>2</v>
      </c>
      <c r="S255" s="159"/>
      <c r="T255" s="159"/>
      <c r="U255" s="159"/>
      <c r="V255" s="159"/>
      <c r="W255" s="159"/>
      <c r="X255" s="159"/>
      <c r="Y255" s="159"/>
      <c r="Z255" s="159"/>
      <c r="AA255" s="159"/>
    </row>
    <row r="256" spans="1:27" ht="15" customHeight="1">
      <c r="A256" s="187" t="s">
        <v>118</v>
      </c>
      <c r="B256" s="187"/>
      <c r="C256" s="187"/>
      <c r="D256" s="187"/>
      <c r="E256" s="187"/>
      <c r="F256" s="187"/>
      <c r="G256" s="26" t="s">
        <v>21</v>
      </c>
      <c r="H256" s="139"/>
      <c r="I256" s="132">
        <f t="shared" si="14"/>
        <v>0</v>
      </c>
      <c r="J256" s="140">
        <v>1</v>
      </c>
      <c r="S256" s="159"/>
      <c r="T256" s="159"/>
      <c r="U256" s="159"/>
      <c r="V256" s="159"/>
      <c r="W256" s="159"/>
      <c r="X256" s="159"/>
      <c r="Y256" s="159"/>
      <c r="Z256" s="159"/>
      <c r="AA256" s="159"/>
    </row>
    <row r="257" spans="1:10">
      <c r="H257" s="133"/>
      <c r="I257" s="131">
        <f>SUM(I249:I256)</f>
        <v>0</v>
      </c>
      <c r="J257" s="131">
        <f>SUM(J249:J256)</f>
        <v>20</v>
      </c>
    </row>
    <row r="258" spans="1:10">
      <c r="G258" s="20"/>
      <c r="H258" s="137"/>
    </row>
    <row r="259" spans="1:10" ht="30" customHeight="1">
      <c r="A259" s="167" t="s">
        <v>523</v>
      </c>
      <c r="B259" s="167"/>
      <c r="C259" s="167"/>
      <c r="D259" s="167"/>
      <c r="E259" s="167"/>
      <c r="F259" s="167"/>
      <c r="G259" s="26" t="s">
        <v>21</v>
      </c>
      <c r="H259" s="139"/>
      <c r="I259" s="132">
        <f t="shared" ref="I259:I268" si="15">IF(G259=$N$8,J259,0)</f>
        <v>0</v>
      </c>
      <c r="J259" s="132">
        <v>5</v>
      </c>
    </row>
    <row r="260" spans="1:10" ht="30" customHeight="1">
      <c r="A260" s="190" t="s">
        <v>57</v>
      </c>
      <c r="B260" s="190"/>
      <c r="C260" s="190"/>
      <c r="D260" s="190"/>
      <c r="E260" s="190"/>
      <c r="F260" s="190"/>
      <c r="G260" s="26" t="s">
        <v>21</v>
      </c>
      <c r="H260" s="139"/>
      <c r="I260" s="132">
        <f t="shared" si="15"/>
        <v>0</v>
      </c>
      <c r="J260" s="132">
        <v>4</v>
      </c>
    </row>
    <row r="261" spans="1:10" ht="30" customHeight="1">
      <c r="A261" s="190" t="s">
        <v>58</v>
      </c>
      <c r="B261" s="190"/>
      <c r="C261" s="190"/>
      <c r="D261" s="190"/>
      <c r="E261" s="190"/>
      <c r="F261" s="190"/>
      <c r="G261" s="26" t="s">
        <v>21</v>
      </c>
      <c r="H261" s="139"/>
      <c r="I261" s="132">
        <f t="shared" si="15"/>
        <v>0</v>
      </c>
      <c r="J261" s="132">
        <v>3</v>
      </c>
    </row>
    <row r="262" spans="1:10" ht="45" customHeight="1">
      <c r="A262" s="190" t="s">
        <v>59</v>
      </c>
      <c r="B262" s="190"/>
      <c r="C262" s="190"/>
      <c r="D262" s="190"/>
      <c r="E262" s="190"/>
      <c r="F262" s="190"/>
      <c r="G262" s="26" t="s">
        <v>21</v>
      </c>
      <c r="H262" s="139"/>
      <c r="I262" s="132">
        <f t="shared" si="15"/>
        <v>0</v>
      </c>
      <c r="J262" s="132">
        <v>2</v>
      </c>
    </row>
    <row r="263" spans="1:10" ht="30" customHeight="1">
      <c r="A263" s="190" t="s">
        <v>60</v>
      </c>
      <c r="B263" s="190"/>
      <c r="C263" s="190"/>
      <c r="D263" s="190"/>
      <c r="E263" s="190"/>
      <c r="F263" s="190"/>
      <c r="G263" s="26" t="s">
        <v>21</v>
      </c>
      <c r="H263" s="139"/>
      <c r="I263" s="132">
        <f t="shared" si="15"/>
        <v>0</v>
      </c>
      <c r="J263" s="132">
        <v>1</v>
      </c>
    </row>
    <row r="264" spans="1:10" ht="30" customHeight="1">
      <c r="A264" s="190" t="s">
        <v>886</v>
      </c>
      <c r="B264" s="190"/>
      <c r="C264" s="190"/>
      <c r="D264" s="190"/>
      <c r="E264" s="190"/>
      <c r="F264" s="190"/>
      <c r="G264" s="26" t="s">
        <v>21</v>
      </c>
      <c r="H264" s="139"/>
      <c r="I264" s="132">
        <f t="shared" si="15"/>
        <v>0</v>
      </c>
      <c r="J264" s="132">
        <v>2</v>
      </c>
    </row>
    <row r="265" spans="1:10">
      <c r="A265" s="190" t="s">
        <v>61</v>
      </c>
      <c r="B265" s="190"/>
      <c r="C265" s="190"/>
      <c r="D265" s="190"/>
      <c r="E265" s="190"/>
      <c r="F265" s="190"/>
      <c r="G265" s="26" t="s">
        <v>21</v>
      </c>
      <c r="H265" s="139"/>
      <c r="I265" s="132">
        <f t="shared" si="15"/>
        <v>0</v>
      </c>
      <c r="J265" s="132">
        <v>2</v>
      </c>
    </row>
    <row r="266" spans="1:10" ht="15" customHeight="1">
      <c r="A266" s="190" t="s">
        <v>120</v>
      </c>
      <c r="B266" s="190"/>
      <c r="C266" s="190"/>
      <c r="D266" s="190"/>
      <c r="E266" s="190"/>
      <c r="F266" s="190"/>
      <c r="G266" s="26" t="s">
        <v>21</v>
      </c>
      <c r="H266" s="139"/>
      <c r="I266" s="132">
        <f t="shared" si="15"/>
        <v>0</v>
      </c>
      <c r="J266" s="132">
        <v>2</v>
      </c>
    </row>
    <row r="267" spans="1:10" ht="30" customHeight="1">
      <c r="A267" s="190" t="s">
        <v>121</v>
      </c>
      <c r="B267" s="190"/>
      <c r="C267" s="190"/>
      <c r="D267" s="190"/>
      <c r="E267" s="190"/>
      <c r="F267" s="190"/>
      <c r="G267" s="26" t="s">
        <v>21</v>
      </c>
      <c r="H267" s="139"/>
      <c r="I267" s="132">
        <f t="shared" si="15"/>
        <v>0</v>
      </c>
      <c r="J267" s="132">
        <v>3</v>
      </c>
    </row>
    <row r="268" spans="1:10" ht="30" customHeight="1">
      <c r="A268" s="190" t="s">
        <v>62</v>
      </c>
      <c r="B268" s="190"/>
      <c r="C268" s="190"/>
      <c r="D268" s="190"/>
      <c r="E268" s="190"/>
      <c r="F268" s="190"/>
      <c r="G268" s="26" t="s">
        <v>21</v>
      </c>
      <c r="H268" s="139"/>
      <c r="I268" s="132">
        <f t="shared" si="15"/>
        <v>0</v>
      </c>
      <c r="J268" s="132">
        <v>1</v>
      </c>
    </row>
    <row r="269" spans="1:10">
      <c r="H269" s="133"/>
      <c r="I269" s="131">
        <f>SUM(I259:I268)</f>
        <v>0</v>
      </c>
      <c r="J269" s="131">
        <f>SUM(J259:J268)</f>
        <v>25</v>
      </c>
    </row>
    <row r="270" spans="1:10">
      <c r="G270" s="20"/>
      <c r="H270" s="137"/>
      <c r="J270" s="138"/>
    </row>
    <row r="271" spans="1:10" ht="30" customHeight="1">
      <c r="A271" s="167" t="s">
        <v>100</v>
      </c>
      <c r="B271" s="167"/>
      <c r="C271" s="167"/>
      <c r="D271" s="167"/>
      <c r="E271" s="167"/>
      <c r="F271" s="167"/>
      <c r="G271" s="26" t="s">
        <v>21</v>
      </c>
      <c r="H271" s="139"/>
      <c r="I271" s="132">
        <f t="shared" ref="I271:I280" si="16">IF(G271=$N$8,J271,0)</f>
        <v>0</v>
      </c>
      <c r="J271" s="132">
        <v>15</v>
      </c>
    </row>
    <row r="272" spans="1:10" ht="30" customHeight="1">
      <c r="A272" s="190" t="s">
        <v>122</v>
      </c>
      <c r="B272" s="190"/>
      <c r="C272" s="190"/>
      <c r="D272" s="190"/>
      <c r="E272" s="190"/>
      <c r="F272" s="190"/>
      <c r="G272" s="26" t="s">
        <v>21</v>
      </c>
      <c r="H272" s="139"/>
      <c r="I272" s="132">
        <f t="shared" si="16"/>
        <v>0</v>
      </c>
      <c r="J272" s="132">
        <v>6</v>
      </c>
    </row>
    <row r="273" spans="1:14" ht="45" customHeight="1">
      <c r="A273" s="190" t="s">
        <v>38</v>
      </c>
      <c r="B273" s="190"/>
      <c r="C273" s="190"/>
      <c r="D273" s="190"/>
      <c r="E273" s="190"/>
      <c r="F273" s="190"/>
      <c r="G273" s="26" t="s">
        <v>21</v>
      </c>
      <c r="H273" s="139"/>
      <c r="I273" s="132">
        <f t="shared" si="16"/>
        <v>0</v>
      </c>
      <c r="J273" s="132">
        <v>6</v>
      </c>
    </row>
    <row r="274" spans="1:14">
      <c r="A274" s="190" t="s">
        <v>39</v>
      </c>
      <c r="B274" s="190"/>
      <c r="C274" s="190"/>
      <c r="D274" s="190"/>
      <c r="E274" s="190"/>
      <c r="F274" s="190"/>
      <c r="G274" s="26" t="s">
        <v>21</v>
      </c>
      <c r="H274" s="139"/>
      <c r="I274" s="132">
        <f>IF(G274="Yes, full time",3,IF(G274="Yes, part time",1,0))</f>
        <v>0</v>
      </c>
      <c r="J274" s="132">
        <v>3</v>
      </c>
    </row>
    <row r="275" spans="1:14" ht="30" customHeight="1">
      <c r="A275" s="190" t="s">
        <v>40</v>
      </c>
      <c r="B275" s="190"/>
      <c r="C275" s="190"/>
      <c r="D275" s="190"/>
      <c r="E275" s="190"/>
      <c r="F275" s="190"/>
      <c r="G275" s="26" t="s">
        <v>21</v>
      </c>
      <c r="H275" s="139"/>
      <c r="I275" s="132">
        <f t="shared" si="16"/>
        <v>0</v>
      </c>
      <c r="J275" s="132">
        <v>1</v>
      </c>
    </row>
    <row r="276" spans="1:14" ht="45" customHeight="1">
      <c r="A276" s="190" t="s">
        <v>41</v>
      </c>
      <c r="B276" s="190"/>
      <c r="C276" s="190"/>
      <c r="D276" s="190"/>
      <c r="E276" s="190"/>
      <c r="F276" s="190"/>
      <c r="G276" s="26" t="s">
        <v>21</v>
      </c>
      <c r="H276" s="139"/>
      <c r="I276" s="132">
        <f t="shared" si="16"/>
        <v>0</v>
      </c>
      <c r="J276" s="132">
        <v>4</v>
      </c>
    </row>
    <row r="277" spans="1:14" ht="15" customHeight="1">
      <c r="A277" s="190" t="s">
        <v>42</v>
      </c>
      <c r="B277" s="190"/>
      <c r="C277" s="190"/>
      <c r="D277" s="190"/>
      <c r="E277" s="190"/>
      <c r="F277" s="190"/>
      <c r="G277" s="26" t="s">
        <v>21</v>
      </c>
      <c r="H277" s="139"/>
      <c r="I277" s="132">
        <f t="shared" si="16"/>
        <v>0</v>
      </c>
      <c r="J277" s="132">
        <v>4</v>
      </c>
    </row>
    <row r="278" spans="1:14">
      <c r="A278" s="190" t="s">
        <v>43</v>
      </c>
      <c r="B278" s="190"/>
      <c r="C278" s="190"/>
      <c r="D278" s="190"/>
      <c r="E278" s="190"/>
      <c r="F278" s="190"/>
      <c r="G278" s="26" t="s">
        <v>21</v>
      </c>
      <c r="H278" s="139"/>
      <c r="I278" s="132">
        <f t="shared" si="16"/>
        <v>0</v>
      </c>
      <c r="J278" s="132">
        <v>1</v>
      </c>
    </row>
    <row r="279" spans="1:14" ht="30" customHeight="1">
      <c r="A279" s="190" t="s">
        <v>44</v>
      </c>
      <c r="B279" s="190"/>
      <c r="C279" s="190"/>
      <c r="D279" s="190"/>
      <c r="E279" s="190"/>
      <c r="F279" s="190"/>
      <c r="G279" s="26" t="s">
        <v>21</v>
      </c>
      <c r="H279" s="139"/>
      <c r="I279" s="132">
        <f t="shared" si="16"/>
        <v>0</v>
      </c>
      <c r="J279" s="132">
        <v>2</v>
      </c>
    </row>
    <row r="280" spans="1:14" ht="30" customHeight="1">
      <c r="A280" s="190" t="s">
        <v>905</v>
      </c>
      <c r="B280" s="190"/>
      <c r="C280" s="190"/>
      <c r="D280" s="190"/>
      <c r="E280" s="190"/>
      <c r="F280" s="190"/>
      <c r="G280" s="26" t="s">
        <v>21</v>
      </c>
      <c r="H280" s="139"/>
      <c r="I280" s="132">
        <f t="shared" si="16"/>
        <v>0</v>
      </c>
      <c r="J280" s="132">
        <v>3</v>
      </c>
    </row>
    <row r="281" spans="1:14">
      <c r="H281" s="133"/>
      <c r="I281" s="131">
        <f>SUM(I271:I280)</f>
        <v>0</v>
      </c>
      <c r="J281" s="131">
        <f>SUM(J271:J280)</f>
        <v>45</v>
      </c>
    </row>
    <row r="282" spans="1:14">
      <c r="G282" s="20"/>
      <c r="H282" s="137"/>
    </row>
    <row r="283" spans="1:14" ht="30" customHeight="1">
      <c r="A283" s="198" t="s">
        <v>887</v>
      </c>
      <c r="B283" s="198"/>
      <c r="C283" s="198"/>
      <c r="D283" s="198"/>
      <c r="E283" s="198"/>
      <c r="F283" s="198"/>
      <c r="G283" s="26" t="s">
        <v>21</v>
      </c>
      <c r="H283" s="139"/>
      <c r="I283" s="132">
        <f t="shared" ref="I283:I295" si="17">IF(G283=$N$8,J283,0)</f>
        <v>0</v>
      </c>
      <c r="J283" s="132">
        <v>6</v>
      </c>
    </row>
    <row r="284" spans="1:14" ht="30" customHeight="1">
      <c r="A284" s="187" t="s">
        <v>63</v>
      </c>
      <c r="B284" s="187"/>
      <c r="C284" s="187"/>
      <c r="D284" s="187"/>
      <c r="E284" s="187"/>
      <c r="F284" s="187"/>
      <c r="G284" s="26" t="s">
        <v>21</v>
      </c>
      <c r="H284" s="139"/>
      <c r="I284" s="132">
        <f t="shared" si="17"/>
        <v>0</v>
      </c>
      <c r="J284" s="132">
        <v>4</v>
      </c>
    </row>
    <row r="285" spans="1:14" ht="15" customHeight="1">
      <c r="A285" s="187" t="s">
        <v>123</v>
      </c>
      <c r="B285" s="187"/>
      <c r="C285" s="187"/>
      <c r="D285" s="187"/>
      <c r="E285" s="187"/>
      <c r="F285" s="187"/>
      <c r="G285" s="26" t="s">
        <v>21</v>
      </c>
      <c r="H285" s="139"/>
      <c r="I285" s="132">
        <f t="shared" si="17"/>
        <v>0</v>
      </c>
      <c r="J285" s="132">
        <v>3</v>
      </c>
      <c r="K285" s="132" t="s">
        <v>944</v>
      </c>
      <c r="L285" s="132">
        <v>0</v>
      </c>
      <c r="M285" s="132" t="s">
        <v>950</v>
      </c>
      <c r="N285" s="132">
        <v>0</v>
      </c>
    </row>
    <row r="286" spans="1:14" ht="15" customHeight="1">
      <c r="A286" s="187" t="s">
        <v>888</v>
      </c>
      <c r="B286" s="187"/>
      <c r="C286" s="187"/>
      <c r="D286" s="187"/>
      <c r="E286" s="187"/>
      <c r="F286" s="187"/>
      <c r="G286" s="26" t="s">
        <v>21</v>
      </c>
      <c r="H286" s="139"/>
      <c r="I286" s="132">
        <f t="shared" si="17"/>
        <v>0</v>
      </c>
      <c r="J286" s="132">
        <v>2</v>
      </c>
      <c r="K286" s="132" t="s">
        <v>945</v>
      </c>
      <c r="L286" s="132">
        <v>1</v>
      </c>
      <c r="M286" s="132" t="s">
        <v>951</v>
      </c>
      <c r="N286" s="132">
        <v>1</v>
      </c>
    </row>
    <row r="287" spans="1:14" ht="15" customHeight="1">
      <c r="A287" s="187" t="s">
        <v>124</v>
      </c>
      <c r="B287" s="187"/>
      <c r="C287" s="187"/>
      <c r="D287" s="187"/>
      <c r="E287" s="187"/>
      <c r="F287" s="187"/>
      <c r="G287" s="26" t="s">
        <v>21</v>
      </c>
      <c r="H287" s="135"/>
      <c r="I287" s="132">
        <f t="shared" si="17"/>
        <v>0</v>
      </c>
      <c r="J287" s="141">
        <v>3</v>
      </c>
      <c r="K287" s="132" t="s">
        <v>946</v>
      </c>
      <c r="L287" s="132">
        <v>2</v>
      </c>
      <c r="M287" s="132" t="s">
        <v>952</v>
      </c>
      <c r="N287" s="132">
        <v>2</v>
      </c>
    </row>
    <row r="288" spans="1:14" ht="45" customHeight="1">
      <c r="A288" s="188" t="s">
        <v>943</v>
      </c>
      <c r="B288" s="188"/>
      <c r="C288" s="188"/>
      <c r="D288" s="188"/>
      <c r="E288" s="188"/>
      <c r="F288" s="189"/>
      <c r="G288" s="152" t="s">
        <v>944</v>
      </c>
      <c r="H288" s="135"/>
      <c r="I288" s="132">
        <f>VLOOKUP(G288,K285:L289,2,0)</f>
        <v>0</v>
      </c>
      <c r="J288" s="141">
        <v>4</v>
      </c>
      <c r="K288" s="132" t="s">
        <v>947</v>
      </c>
      <c r="L288" s="132">
        <v>3</v>
      </c>
      <c r="M288" s="132" t="s">
        <v>953</v>
      </c>
      <c r="N288" s="132">
        <v>3</v>
      </c>
    </row>
    <row r="289" spans="1:18" ht="30" customHeight="1">
      <c r="A289" s="188" t="s">
        <v>949</v>
      </c>
      <c r="B289" s="188"/>
      <c r="C289" s="188"/>
      <c r="D289" s="188"/>
      <c r="E289" s="188"/>
      <c r="F289" s="189"/>
      <c r="G289" s="152" t="s">
        <v>950</v>
      </c>
      <c r="H289" s="135"/>
      <c r="I289" s="132">
        <f>VLOOKUP(G289,M285:N288,2,0)</f>
        <v>0</v>
      </c>
      <c r="J289" s="141">
        <v>3</v>
      </c>
      <c r="K289" s="132" t="s">
        <v>948</v>
      </c>
      <c r="L289" s="132">
        <v>4</v>
      </c>
      <c r="M289" s="132"/>
      <c r="N289" s="132"/>
    </row>
    <row r="290" spans="1:18" ht="30" customHeight="1">
      <c r="A290" s="188" t="s">
        <v>960</v>
      </c>
      <c r="B290" s="188"/>
      <c r="C290" s="188"/>
      <c r="D290" s="188"/>
      <c r="E290" s="188"/>
      <c r="F290" s="189"/>
      <c r="G290" s="152" t="s">
        <v>957</v>
      </c>
      <c r="H290" s="135"/>
      <c r="I290" s="132">
        <f>IF(G290=M291,N291,IF(G290=M292,N292,0))</f>
        <v>0</v>
      </c>
      <c r="J290" s="141">
        <v>2</v>
      </c>
      <c r="K290" s="132" t="s">
        <v>950</v>
      </c>
      <c r="L290" s="132">
        <v>0</v>
      </c>
      <c r="M290" s="132" t="s">
        <v>957</v>
      </c>
      <c r="N290" s="132">
        <v>0</v>
      </c>
    </row>
    <row r="291" spans="1:18" ht="30" customHeight="1">
      <c r="A291" s="188" t="s">
        <v>961</v>
      </c>
      <c r="B291" s="188"/>
      <c r="C291" s="188"/>
      <c r="D291" s="188"/>
      <c r="E291" s="188"/>
      <c r="F291" s="189"/>
      <c r="G291" s="152" t="s">
        <v>950</v>
      </c>
      <c r="H291" s="139"/>
      <c r="I291" s="132">
        <f>VLOOKUP(G291,K290:L293,2,0)</f>
        <v>0</v>
      </c>
      <c r="J291" s="132">
        <v>3</v>
      </c>
      <c r="K291" s="132" t="s">
        <v>954</v>
      </c>
      <c r="L291" s="132">
        <v>1</v>
      </c>
      <c r="M291" s="132" t="s">
        <v>958</v>
      </c>
      <c r="N291" s="132">
        <v>1</v>
      </c>
    </row>
    <row r="292" spans="1:18" ht="15" customHeight="1">
      <c r="A292" s="187" t="s">
        <v>524</v>
      </c>
      <c r="B292" s="187"/>
      <c r="C292" s="187"/>
      <c r="D292" s="187"/>
      <c r="E292" s="187"/>
      <c r="F292" s="187"/>
      <c r="G292" s="26" t="s">
        <v>21</v>
      </c>
      <c r="H292" s="139"/>
      <c r="I292" s="132">
        <f t="shared" si="17"/>
        <v>0</v>
      </c>
      <c r="J292" s="132">
        <v>1</v>
      </c>
      <c r="K292" s="132" t="s">
        <v>955</v>
      </c>
      <c r="L292" s="132">
        <v>2</v>
      </c>
      <c r="M292" s="132" t="s">
        <v>959</v>
      </c>
      <c r="N292" s="132">
        <v>2</v>
      </c>
    </row>
    <row r="293" spans="1:18">
      <c r="A293" s="187" t="s">
        <v>525</v>
      </c>
      <c r="B293" s="187"/>
      <c r="C293" s="187"/>
      <c r="D293" s="187"/>
      <c r="E293" s="187"/>
      <c r="F293" s="187"/>
      <c r="G293" s="26" t="s">
        <v>21</v>
      </c>
      <c r="H293" s="139"/>
      <c r="I293" s="132">
        <f t="shared" si="17"/>
        <v>0</v>
      </c>
      <c r="J293" s="132">
        <v>3</v>
      </c>
      <c r="K293" s="132" t="s">
        <v>956</v>
      </c>
      <c r="L293" s="132">
        <v>3</v>
      </c>
      <c r="M293" s="132"/>
      <c r="N293" s="132"/>
    </row>
    <row r="294" spans="1:18">
      <c r="A294" s="187" t="s">
        <v>889</v>
      </c>
      <c r="B294" s="187"/>
      <c r="C294" s="187"/>
      <c r="D294" s="187"/>
      <c r="E294" s="187"/>
      <c r="F294" s="187"/>
      <c r="G294" s="26" t="s">
        <v>21</v>
      </c>
      <c r="H294" s="139"/>
      <c r="I294" s="132">
        <f t="shared" si="17"/>
        <v>0</v>
      </c>
      <c r="J294" s="132">
        <v>4</v>
      </c>
      <c r="N294" s="35"/>
    </row>
    <row r="295" spans="1:18">
      <c r="A295" s="187" t="s">
        <v>526</v>
      </c>
      <c r="B295" s="187"/>
      <c r="C295" s="187"/>
      <c r="D295" s="187"/>
      <c r="E295" s="187"/>
      <c r="F295" s="187"/>
      <c r="G295" s="26" t="s">
        <v>21</v>
      </c>
      <c r="H295" s="139"/>
      <c r="I295" s="132">
        <f t="shared" si="17"/>
        <v>0</v>
      </c>
      <c r="J295" s="132">
        <v>2</v>
      </c>
      <c r="N295" s="35"/>
    </row>
    <row r="296" spans="1:18">
      <c r="H296" s="133"/>
      <c r="I296" s="131">
        <f>SUM(I283:I295)</f>
        <v>0</v>
      </c>
      <c r="J296" s="131">
        <f>SUM(J283:J295)</f>
        <v>40</v>
      </c>
    </row>
    <row r="297" spans="1:18">
      <c r="G297" s="20"/>
      <c r="H297" s="137"/>
      <c r="N297" s="14"/>
    </row>
    <row r="298" spans="1:18" ht="30" customHeight="1">
      <c r="A298" s="167" t="s">
        <v>185</v>
      </c>
      <c r="B298" s="167"/>
      <c r="C298" s="167"/>
      <c r="D298" s="167"/>
      <c r="E298" s="167"/>
      <c r="F298" s="167"/>
      <c r="G298" s="26" t="s">
        <v>21</v>
      </c>
      <c r="H298" s="139"/>
      <c r="I298" s="132">
        <f t="shared" ref="I298:I306" si="18">IF(G298=$N$8,J298,0)</f>
        <v>0</v>
      </c>
      <c r="J298" s="132">
        <v>5</v>
      </c>
      <c r="N298" s="13"/>
      <c r="O298" s="4"/>
    </row>
    <row r="299" spans="1:18">
      <c r="A299" s="187" t="s">
        <v>137</v>
      </c>
      <c r="B299" s="187"/>
      <c r="C299" s="187"/>
      <c r="D299" s="187"/>
      <c r="E299" s="187"/>
      <c r="F299" s="187"/>
      <c r="G299" s="26" t="s">
        <v>21</v>
      </c>
      <c r="H299" s="139"/>
      <c r="I299" s="132">
        <f t="shared" si="18"/>
        <v>0</v>
      </c>
      <c r="J299" s="132">
        <v>2</v>
      </c>
      <c r="N299" s="13"/>
      <c r="O299" s="15"/>
      <c r="Q299" s="31"/>
      <c r="R299" s="15"/>
    </row>
    <row r="300" spans="1:18">
      <c r="A300" s="187" t="s">
        <v>138</v>
      </c>
      <c r="B300" s="187"/>
      <c r="C300" s="187"/>
      <c r="D300" s="187"/>
      <c r="E300" s="187"/>
      <c r="F300" s="187"/>
      <c r="G300" s="26" t="s">
        <v>21</v>
      </c>
      <c r="H300" s="139"/>
      <c r="I300" s="132">
        <f t="shared" si="18"/>
        <v>0</v>
      </c>
      <c r="J300" s="132">
        <v>2</v>
      </c>
      <c r="N300" s="13"/>
      <c r="O300" s="15"/>
      <c r="Q300" s="31"/>
      <c r="R300" s="15"/>
    </row>
    <row r="301" spans="1:18">
      <c r="A301" s="187" t="s">
        <v>139</v>
      </c>
      <c r="B301" s="187"/>
      <c r="C301" s="187"/>
      <c r="D301" s="187"/>
      <c r="E301" s="187"/>
      <c r="F301" s="187"/>
      <c r="G301" s="26" t="s">
        <v>21</v>
      </c>
      <c r="H301" s="139"/>
      <c r="I301" s="132">
        <f t="shared" si="18"/>
        <v>0</v>
      </c>
      <c r="J301" s="132">
        <v>2</v>
      </c>
      <c r="N301" s="13"/>
      <c r="O301" s="15"/>
      <c r="Q301" s="31"/>
      <c r="R301" s="15"/>
    </row>
    <row r="302" spans="1:18" ht="15" customHeight="1">
      <c r="A302" s="187" t="s">
        <v>140</v>
      </c>
      <c r="B302" s="187"/>
      <c r="C302" s="187"/>
      <c r="D302" s="187"/>
      <c r="E302" s="187"/>
      <c r="F302" s="187"/>
      <c r="G302" s="26" t="s">
        <v>21</v>
      </c>
      <c r="H302" s="139"/>
      <c r="I302" s="132">
        <f t="shared" si="18"/>
        <v>0</v>
      </c>
      <c r="J302" s="132">
        <v>2</v>
      </c>
      <c r="N302" s="13"/>
      <c r="O302" s="15"/>
      <c r="Q302" s="31"/>
      <c r="R302" s="15"/>
    </row>
    <row r="303" spans="1:18">
      <c r="A303" s="187" t="s">
        <v>141</v>
      </c>
      <c r="B303" s="187"/>
      <c r="C303" s="187"/>
      <c r="D303" s="187"/>
      <c r="E303" s="187"/>
      <c r="F303" s="187"/>
      <c r="G303" s="26" t="s">
        <v>21</v>
      </c>
      <c r="H303" s="139"/>
      <c r="I303" s="132">
        <f t="shared" si="18"/>
        <v>0</v>
      </c>
      <c r="J303" s="132">
        <v>2</v>
      </c>
      <c r="N303" s="13"/>
      <c r="O303" s="15"/>
      <c r="Q303" s="31"/>
      <c r="R303" s="15"/>
    </row>
    <row r="304" spans="1:18">
      <c r="A304" s="187" t="s">
        <v>142</v>
      </c>
      <c r="B304" s="187"/>
      <c r="C304" s="187"/>
      <c r="D304" s="187"/>
      <c r="E304" s="187"/>
      <c r="F304" s="187"/>
      <c r="G304" s="26" t="s">
        <v>21</v>
      </c>
      <c r="H304" s="139"/>
      <c r="I304" s="132">
        <f t="shared" si="18"/>
        <v>0</v>
      </c>
      <c r="J304" s="132">
        <v>3</v>
      </c>
      <c r="N304" s="13"/>
      <c r="O304" s="15"/>
      <c r="Q304" s="31"/>
      <c r="R304" s="15"/>
    </row>
    <row r="305" spans="1:20">
      <c r="A305" s="187" t="s">
        <v>143</v>
      </c>
      <c r="B305" s="187"/>
      <c r="C305" s="187"/>
      <c r="D305" s="187"/>
      <c r="E305" s="187"/>
      <c r="F305" s="187"/>
      <c r="G305" s="26" t="s">
        <v>21</v>
      </c>
      <c r="H305" s="139"/>
      <c r="I305" s="132">
        <f t="shared" si="18"/>
        <v>0</v>
      </c>
      <c r="J305" s="132">
        <v>2</v>
      </c>
      <c r="N305" s="13"/>
      <c r="O305" s="15"/>
      <c r="Q305" s="31"/>
      <c r="R305" s="15"/>
    </row>
    <row r="306" spans="1:20">
      <c r="A306" s="187" t="s">
        <v>144</v>
      </c>
      <c r="B306" s="187"/>
      <c r="C306" s="187"/>
      <c r="D306" s="187"/>
      <c r="E306" s="187"/>
      <c r="F306" s="187"/>
      <c r="G306" s="26" t="s">
        <v>21</v>
      </c>
      <c r="H306" s="139"/>
      <c r="I306" s="132">
        <f t="shared" si="18"/>
        <v>0</v>
      </c>
      <c r="J306" s="132">
        <v>1</v>
      </c>
      <c r="N306" s="13"/>
      <c r="O306" s="15"/>
      <c r="Q306" s="31"/>
      <c r="R306" s="15"/>
    </row>
    <row r="307" spans="1:20" ht="15" customHeight="1">
      <c r="A307" s="187" t="s">
        <v>160</v>
      </c>
      <c r="B307" s="187"/>
      <c r="C307" s="187"/>
      <c r="D307" s="187"/>
      <c r="E307" s="187"/>
      <c r="F307" s="187"/>
      <c r="G307" s="26"/>
      <c r="H307" s="139"/>
      <c r="I307" s="132">
        <f>IF(G307=R7,4,IF(G307=R8,2,0))</f>
        <v>0</v>
      </c>
      <c r="J307" s="132">
        <v>4</v>
      </c>
      <c r="N307" s="13"/>
      <c r="O307" s="15"/>
      <c r="Q307" s="31"/>
      <c r="R307" s="15"/>
    </row>
    <row r="308" spans="1:20">
      <c r="A308" s="187" t="s">
        <v>145</v>
      </c>
      <c r="B308" s="187"/>
      <c r="C308" s="187"/>
      <c r="D308" s="187"/>
      <c r="E308" s="187"/>
      <c r="F308" s="187"/>
      <c r="G308" s="26" t="s">
        <v>21</v>
      </c>
      <c r="H308" s="139"/>
      <c r="I308" s="132">
        <f t="shared" ref="I308:I309" si="19">IF(G308=$N$8,J308,0)</f>
        <v>0</v>
      </c>
      <c r="J308" s="132">
        <v>3</v>
      </c>
      <c r="N308" s="13"/>
      <c r="O308" s="15"/>
      <c r="Q308" s="31"/>
      <c r="R308" s="15"/>
    </row>
    <row r="309" spans="1:20">
      <c r="A309" s="187" t="s">
        <v>906</v>
      </c>
      <c r="B309" s="187"/>
      <c r="C309" s="187"/>
      <c r="D309" s="187"/>
      <c r="E309" s="187"/>
      <c r="F309" s="187"/>
      <c r="G309" s="26" t="s">
        <v>21</v>
      </c>
      <c r="H309" s="139"/>
      <c r="I309" s="132">
        <f t="shared" si="19"/>
        <v>0</v>
      </c>
      <c r="J309" s="132">
        <v>2</v>
      </c>
      <c r="N309" s="13"/>
      <c r="O309" s="15"/>
      <c r="Q309" s="31"/>
      <c r="R309" s="15"/>
    </row>
    <row r="310" spans="1:20">
      <c r="A310" s="187"/>
      <c r="B310" s="187"/>
      <c r="C310" s="187"/>
      <c r="D310" s="187"/>
      <c r="E310" s="187"/>
      <c r="F310" s="187"/>
      <c r="H310" s="133"/>
      <c r="I310" s="131">
        <f>SUM(I298:I309)</f>
        <v>0</v>
      </c>
      <c r="J310" s="131">
        <f>SUM(J298:J309)</f>
        <v>30</v>
      </c>
      <c r="N310" s="13"/>
      <c r="O310" s="15"/>
      <c r="Q310" s="31"/>
      <c r="R310" s="15"/>
    </row>
    <row r="311" spans="1:20">
      <c r="G311" s="20"/>
      <c r="H311" s="137"/>
      <c r="O311" s="15"/>
      <c r="Q311" s="31"/>
      <c r="R311" s="15"/>
    </row>
    <row r="312" spans="1:20" ht="30" customHeight="1">
      <c r="A312" s="167" t="s">
        <v>186</v>
      </c>
      <c r="B312" s="167"/>
      <c r="C312" s="167"/>
      <c r="D312" s="167"/>
      <c r="E312" s="167"/>
      <c r="F312" s="167"/>
      <c r="G312" s="26" t="s">
        <v>21</v>
      </c>
      <c r="H312" s="139"/>
      <c r="I312" s="132">
        <f t="shared" ref="I312:I321" si="20">IF(G312=$N$8,J312,0)</f>
        <v>0</v>
      </c>
      <c r="J312" s="132">
        <v>5</v>
      </c>
    </row>
    <row r="313" spans="1:20" ht="15" customHeight="1">
      <c r="A313" s="187" t="s">
        <v>125</v>
      </c>
      <c r="B313" s="187"/>
      <c r="C313" s="187"/>
      <c r="D313" s="187"/>
      <c r="E313" s="187"/>
      <c r="F313" s="187"/>
      <c r="G313" s="26" t="s">
        <v>21</v>
      </c>
      <c r="H313" s="139"/>
      <c r="I313" s="132">
        <f t="shared" si="20"/>
        <v>0</v>
      </c>
      <c r="J313" s="132">
        <v>5</v>
      </c>
      <c r="P313" s="6"/>
      <c r="R313" s="31"/>
      <c r="S313" s="6"/>
    </row>
    <row r="314" spans="1:20">
      <c r="A314" s="187" t="s">
        <v>126</v>
      </c>
      <c r="B314" s="187"/>
      <c r="C314" s="187"/>
      <c r="D314" s="187"/>
      <c r="E314" s="187"/>
      <c r="F314" s="187"/>
      <c r="G314" s="26" t="s">
        <v>21</v>
      </c>
      <c r="H314" s="139"/>
      <c r="I314" s="132">
        <f t="shared" si="20"/>
        <v>0</v>
      </c>
      <c r="J314" s="132">
        <v>2</v>
      </c>
      <c r="P314" s="6"/>
      <c r="R314" s="31"/>
      <c r="S314" s="6"/>
    </row>
    <row r="315" spans="1:20">
      <c r="A315" s="187" t="s">
        <v>127</v>
      </c>
      <c r="B315" s="187"/>
      <c r="C315" s="187"/>
      <c r="D315" s="187"/>
      <c r="E315" s="187"/>
      <c r="F315" s="187"/>
      <c r="G315" s="26" t="s">
        <v>21</v>
      </c>
      <c r="H315" s="139"/>
      <c r="I315" s="132">
        <f t="shared" si="20"/>
        <v>0</v>
      </c>
      <c r="J315" s="132">
        <v>1</v>
      </c>
      <c r="P315" s="6"/>
      <c r="R315" s="31"/>
      <c r="S315" s="18"/>
      <c r="T315" s="17"/>
    </row>
    <row r="316" spans="1:20">
      <c r="A316" s="187" t="s">
        <v>128</v>
      </c>
      <c r="B316" s="187"/>
      <c r="C316" s="187"/>
      <c r="D316" s="187"/>
      <c r="E316" s="187"/>
      <c r="F316" s="187"/>
      <c r="G316" s="26" t="s">
        <v>21</v>
      </c>
      <c r="H316" s="139"/>
      <c r="I316" s="132">
        <f t="shared" si="20"/>
        <v>0</v>
      </c>
      <c r="J316" s="132">
        <v>1</v>
      </c>
      <c r="P316" s="6"/>
      <c r="R316" s="31"/>
      <c r="S316" s="18"/>
      <c r="T316" s="17"/>
    </row>
    <row r="317" spans="1:20">
      <c r="A317" s="187" t="s">
        <v>129</v>
      </c>
      <c r="B317" s="187"/>
      <c r="C317" s="187"/>
      <c r="D317" s="187"/>
      <c r="E317" s="187"/>
      <c r="F317" s="187"/>
      <c r="G317" s="26" t="s">
        <v>21</v>
      </c>
      <c r="H317" s="139"/>
      <c r="I317" s="132">
        <f t="shared" si="20"/>
        <v>0</v>
      </c>
      <c r="J317" s="132">
        <v>1</v>
      </c>
      <c r="P317" s="15"/>
      <c r="R317" s="31"/>
      <c r="S317" s="15"/>
      <c r="T317" s="4"/>
    </row>
    <row r="318" spans="1:20">
      <c r="A318" s="187" t="s">
        <v>130</v>
      </c>
      <c r="B318" s="187"/>
      <c r="C318" s="187"/>
      <c r="D318" s="187"/>
      <c r="E318" s="187"/>
      <c r="F318" s="187"/>
      <c r="G318" s="26" t="s">
        <v>21</v>
      </c>
      <c r="H318" s="139"/>
      <c r="I318" s="132">
        <f t="shared" si="20"/>
        <v>0</v>
      </c>
      <c r="J318" s="132">
        <v>2</v>
      </c>
      <c r="P318" s="6"/>
      <c r="R318" s="31"/>
      <c r="S318" s="15"/>
      <c r="T318" s="4"/>
    </row>
    <row r="319" spans="1:20">
      <c r="A319" s="187" t="s">
        <v>131</v>
      </c>
      <c r="B319" s="187"/>
      <c r="C319" s="187"/>
      <c r="D319" s="187"/>
      <c r="E319" s="187"/>
      <c r="F319" s="187"/>
      <c r="G319" s="26" t="s">
        <v>21</v>
      </c>
      <c r="H319" s="139"/>
      <c r="I319" s="132">
        <f t="shared" si="20"/>
        <v>0</v>
      </c>
      <c r="J319" s="132">
        <v>1</v>
      </c>
      <c r="R319" s="31"/>
    </row>
    <row r="320" spans="1:20">
      <c r="A320" s="187" t="s">
        <v>132</v>
      </c>
      <c r="B320" s="187"/>
      <c r="C320" s="187"/>
      <c r="D320" s="187"/>
      <c r="E320" s="187"/>
      <c r="F320" s="187"/>
      <c r="G320" s="26" t="s">
        <v>21</v>
      </c>
      <c r="H320" s="139"/>
      <c r="I320" s="132">
        <f t="shared" si="20"/>
        <v>0</v>
      </c>
      <c r="J320" s="132">
        <v>1</v>
      </c>
    </row>
    <row r="321" spans="1:19">
      <c r="A321" s="187" t="s">
        <v>133</v>
      </c>
      <c r="B321" s="187"/>
      <c r="C321" s="187"/>
      <c r="D321" s="187"/>
      <c r="E321" s="187"/>
      <c r="F321" s="187"/>
      <c r="G321" s="26" t="s">
        <v>21</v>
      </c>
      <c r="H321" s="139"/>
      <c r="I321" s="132">
        <f t="shared" si="20"/>
        <v>0</v>
      </c>
      <c r="J321" s="132">
        <v>1</v>
      </c>
    </row>
    <row r="322" spans="1:19">
      <c r="A322" s="16"/>
      <c r="B322" s="16"/>
      <c r="C322" s="16"/>
      <c r="D322" s="16"/>
      <c r="E322" s="16"/>
      <c r="F322" s="16"/>
      <c r="G322" s="43"/>
      <c r="H322" s="139"/>
      <c r="I322" s="131">
        <f>SUM(I312:I321)</f>
        <v>0</v>
      </c>
      <c r="J322" s="131">
        <f>SUM(J312:J321)</f>
        <v>20</v>
      </c>
    </row>
    <row r="323" spans="1:19">
      <c r="G323" s="20"/>
      <c r="H323" s="137"/>
    </row>
    <row r="324" spans="1:19" ht="15" customHeight="1">
      <c r="A324" s="167" t="s">
        <v>101</v>
      </c>
      <c r="B324" s="167"/>
      <c r="C324" s="167"/>
      <c r="D324" s="167"/>
      <c r="E324" s="167"/>
      <c r="F324" s="167"/>
      <c r="G324" s="26" t="s">
        <v>21</v>
      </c>
      <c r="H324" s="139"/>
      <c r="I324" s="132">
        <f t="shared" ref="I324:I331" si="21">IF(G324=$N$8,J324,0)</f>
        <v>0</v>
      </c>
      <c r="J324" s="132">
        <v>4</v>
      </c>
    </row>
    <row r="325" spans="1:19" ht="30" customHeight="1">
      <c r="A325" s="190" t="s">
        <v>51</v>
      </c>
      <c r="B325" s="190"/>
      <c r="C325" s="190"/>
      <c r="D325" s="190"/>
      <c r="E325" s="190"/>
      <c r="F325" s="190"/>
      <c r="G325" s="26" t="s">
        <v>21</v>
      </c>
      <c r="H325" s="139"/>
      <c r="I325" s="132">
        <f t="shared" si="21"/>
        <v>0</v>
      </c>
      <c r="J325" s="132">
        <v>1</v>
      </c>
      <c r="O325" s="35"/>
      <c r="P325" s="35"/>
      <c r="Q325" s="35"/>
      <c r="R325" s="35"/>
      <c r="S325" s="35"/>
    </row>
    <row r="326" spans="1:19">
      <c r="A326" s="190" t="s">
        <v>52</v>
      </c>
      <c r="B326" s="190"/>
      <c r="C326" s="190"/>
      <c r="D326" s="190"/>
      <c r="E326" s="190"/>
      <c r="F326" s="190"/>
      <c r="G326" s="26" t="s">
        <v>21</v>
      </c>
      <c r="H326" s="139"/>
      <c r="I326" s="132">
        <f t="shared" si="21"/>
        <v>0</v>
      </c>
      <c r="J326" s="132">
        <v>2</v>
      </c>
    </row>
    <row r="327" spans="1:19">
      <c r="A327" s="190" t="s">
        <v>53</v>
      </c>
      <c r="B327" s="190"/>
      <c r="C327" s="190"/>
      <c r="D327" s="190"/>
      <c r="E327" s="190"/>
      <c r="F327" s="190"/>
      <c r="G327" s="26" t="s">
        <v>21</v>
      </c>
      <c r="H327" s="139"/>
      <c r="I327" s="132">
        <f t="shared" si="21"/>
        <v>0</v>
      </c>
      <c r="J327" s="132">
        <v>2</v>
      </c>
    </row>
    <row r="328" spans="1:19">
      <c r="A328" s="190" t="s">
        <v>54</v>
      </c>
      <c r="B328" s="190"/>
      <c r="C328" s="190"/>
      <c r="D328" s="190"/>
      <c r="E328" s="190"/>
      <c r="F328" s="190"/>
      <c r="G328" s="26" t="s">
        <v>21</v>
      </c>
      <c r="H328" s="139"/>
      <c r="I328" s="132">
        <f t="shared" si="21"/>
        <v>0</v>
      </c>
      <c r="J328" s="132">
        <v>2</v>
      </c>
    </row>
    <row r="329" spans="1:19">
      <c r="A329" s="190" t="s">
        <v>134</v>
      </c>
      <c r="B329" s="190"/>
      <c r="C329" s="190"/>
      <c r="D329" s="190"/>
      <c r="E329" s="190"/>
      <c r="F329" s="190"/>
      <c r="G329" s="26" t="s">
        <v>21</v>
      </c>
      <c r="H329" s="139"/>
      <c r="I329" s="132">
        <f t="shared" si="21"/>
        <v>0</v>
      </c>
      <c r="J329" s="132">
        <v>1</v>
      </c>
    </row>
    <row r="330" spans="1:19">
      <c r="A330" s="190" t="s">
        <v>55</v>
      </c>
      <c r="B330" s="190"/>
      <c r="C330" s="190"/>
      <c r="D330" s="190"/>
      <c r="E330" s="190"/>
      <c r="F330" s="190"/>
      <c r="G330" s="26" t="s">
        <v>21</v>
      </c>
      <c r="H330" s="139"/>
      <c r="I330" s="132">
        <f t="shared" si="21"/>
        <v>0</v>
      </c>
      <c r="J330" s="132">
        <v>1</v>
      </c>
    </row>
    <row r="331" spans="1:19">
      <c r="A331" s="190" t="s">
        <v>56</v>
      </c>
      <c r="B331" s="190"/>
      <c r="C331" s="190"/>
      <c r="D331" s="190"/>
      <c r="E331" s="190"/>
      <c r="F331" s="190"/>
      <c r="G331" s="26" t="s">
        <v>21</v>
      </c>
      <c r="H331" s="139"/>
      <c r="I331" s="132">
        <f t="shared" si="21"/>
        <v>0</v>
      </c>
      <c r="J331" s="132">
        <v>2</v>
      </c>
    </row>
    <row r="332" spans="1:19">
      <c r="H332" s="133"/>
      <c r="I332" s="131">
        <f>SUM(I324:I331)</f>
        <v>0</v>
      </c>
      <c r="J332" s="131">
        <f>SUM(J324:J331)</f>
        <v>15</v>
      </c>
    </row>
    <row r="333" spans="1:19">
      <c r="G333" s="20"/>
      <c r="H333" s="137"/>
    </row>
    <row r="334" spans="1:19" ht="30" customHeight="1">
      <c r="A334" s="198" t="s">
        <v>146</v>
      </c>
      <c r="B334" s="198"/>
      <c r="C334" s="198"/>
      <c r="D334" s="198"/>
      <c r="E334" s="198"/>
      <c r="F334" s="198"/>
      <c r="G334" s="26" t="s">
        <v>21</v>
      </c>
      <c r="H334" s="139"/>
      <c r="I334" s="132">
        <f t="shared" ref="I334:I342" si="22">IF(G334=$N$8,J334,0)</f>
        <v>0</v>
      </c>
      <c r="J334" s="132">
        <v>5</v>
      </c>
    </row>
    <row r="335" spans="1:19" ht="15" customHeight="1">
      <c r="A335" s="187" t="s">
        <v>147</v>
      </c>
      <c r="B335" s="187"/>
      <c r="C335" s="187"/>
      <c r="D335" s="187"/>
      <c r="E335" s="187"/>
      <c r="F335" s="187"/>
      <c r="G335" s="26" t="s">
        <v>21</v>
      </c>
      <c r="H335" s="139"/>
      <c r="I335" s="132">
        <f t="shared" si="22"/>
        <v>0</v>
      </c>
      <c r="J335" s="132">
        <v>1</v>
      </c>
    </row>
    <row r="336" spans="1:19" ht="15" customHeight="1">
      <c r="A336" s="187" t="s">
        <v>148</v>
      </c>
      <c r="B336" s="187"/>
      <c r="C336" s="187"/>
      <c r="D336" s="187"/>
      <c r="E336" s="187"/>
      <c r="F336" s="187"/>
      <c r="G336" s="26" t="s">
        <v>21</v>
      </c>
      <c r="H336" s="139"/>
      <c r="I336" s="132">
        <f t="shared" si="22"/>
        <v>0</v>
      </c>
      <c r="J336" s="132">
        <v>2</v>
      </c>
    </row>
    <row r="337" spans="1:19" ht="15" customHeight="1">
      <c r="A337" s="187" t="s">
        <v>149</v>
      </c>
      <c r="B337" s="187"/>
      <c r="C337" s="187"/>
      <c r="D337" s="187"/>
      <c r="E337" s="187"/>
      <c r="F337" s="187"/>
      <c r="G337" s="26" t="s">
        <v>21</v>
      </c>
      <c r="H337" s="139"/>
      <c r="I337" s="132">
        <f t="shared" si="22"/>
        <v>0</v>
      </c>
      <c r="J337" s="132">
        <v>1</v>
      </c>
    </row>
    <row r="338" spans="1:19" ht="15" customHeight="1">
      <c r="A338" s="187" t="s">
        <v>150</v>
      </c>
      <c r="B338" s="187"/>
      <c r="C338" s="187"/>
      <c r="D338" s="187"/>
      <c r="E338" s="187"/>
      <c r="F338" s="187"/>
      <c r="G338" s="26" t="s">
        <v>21</v>
      </c>
      <c r="H338" s="139"/>
      <c r="I338" s="132">
        <f t="shared" si="22"/>
        <v>0</v>
      </c>
      <c r="J338" s="132">
        <v>1</v>
      </c>
    </row>
    <row r="339" spans="1:19" ht="30" customHeight="1">
      <c r="A339" s="187" t="s">
        <v>890</v>
      </c>
      <c r="B339" s="187"/>
      <c r="C339" s="187"/>
      <c r="D339" s="187"/>
      <c r="E339" s="187"/>
      <c r="F339" s="187"/>
      <c r="G339" s="26" t="s">
        <v>21</v>
      </c>
      <c r="H339" s="139"/>
      <c r="I339" s="132">
        <f t="shared" si="22"/>
        <v>0</v>
      </c>
      <c r="J339" s="132">
        <v>1</v>
      </c>
    </row>
    <row r="340" spans="1:19" ht="15" customHeight="1">
      <c r="A340" s="187" t="s">
        <v>151</v>
      </c>
      <c r="B340" s="187"/>
      <c r="C340" s="187"/>
      <c r="D340" s="187"/>
      <c r="E340" s="187"/>
      <c r="F340" s="187"/>
      <c r="G340" s="26" t="s">
        <v>21</v>
      </c>
      <c r="H340" s="139"/>
      <c r="I340" s="132">
        <f t="shared" si="22"/>
        <v>0</v>
      </c>
      <c r="J340" s="132">
        <v>1</v>
      </c>
    </row>
    <row r="341" spans="1:19" ht="15" customHeight="1">
      <c r="A341" s="187" t="s">
        <v>891</v>
      </c>
      <c r="B341" s="187"/>
      <c r="C341" s="187"/>
      <c r="D341" s="187"/>
      <c r="E341" s="187"/>
      <c r="F341" s="187"/>
      <c r="G341" s="26" t="s">
        <v>21</v>
      </c>
      <c r="H341" s="139"/>
      <c r="I341" s="132">
        <f t="shared" si="22"/>
        <v>0</v>
      </c>
      <c r="J341" s="132">
        <v>1</v>
      </c>
      <c r="K341" s="154" t="s">
        <v>950</v>
      </c>
      <c r="L341" s="132">
        <v>0</v>
      </c>
      <c r="M341" s="154" t="s">
        <v>21</v>
      </c>
      <c r="N341" s="132">
        <v>0</v>
      </c>
    </row>
    <row r="342" spans="1:19" ht="15" customHeight="1">
      <c r="A342" s="187" t="s">
        <v>152</v>
      </c>
      <c r="B342" s="187"/>
      <c r="C342" s="187"/>
      <c r="D342" s="187"/>
      <c r="E342" s="187"/>
      <c r="F342" s="187"/>
      <c r="G342" s="26" t="s">
        <v>21</v>
      </c>
      <c r="H342" s="139"/>
      <c r="I342" s="132">
        <f t="shared" si="22"/>
        <v>0</v>
      </c>
      <c r="J342" s="132">
        <v>1</v>
      </c>
      <c r="K342" s="154" t="s">
        <v>969</v>
      </c>
      <c r="L342" s="132">
        <v>1</v>
      </c>
      <c r="M342" s="154" t="s">
        <v>965</v>
      </c>
      <c r="N342" s="132">
        <v>1</v>
      </c>
    </row>
    <row r="343" spans="1:19" ht="15" customHeight="1">
      <c r="A343" s="187" t="s">
        <v>962</v>
      </c>
      <c r="B343" s="187"/>
      <c r="C343" s="187"/>
      <c r="D343" s="187"/>
      <c r="E343" s="187"/>
      <c r="F343" s="187"/>
      <c r="G343" s="26" t="s">
        <v>21</v>
      </c>
      <c r="H343" s="139"/>
      <c r="I343" s="132">
        <f>IF(G343=$M$343,N343,IF(G343=$M$342,N342,0))</f>
        <v>0</v>
      </c>
      <c r="J343" s="132">
        <v>2</v>
      </c>
      <c r="K343" s="154" t="s">
        <v>968</v>
      </c>
      <c r="L343" s="132">
        <v>2</v>
      </c>
      <c r="M343" s="154" t="s">
        <v>964</v>
      </c>
      <c r="N343" s="132">
        <v>2</v>
      </c>
    </row>
    <row r="344" spans="1:19" ht="15" customHeight="1">
      <c r="A344" s="187" t="s">
        <v>963</v>
      </c>
      <c r="B344" s="187"/>
      <c r="C344" s="187"/>
      <c r="D344" s="187"/>
      <c r="E344" s="187"/>
      <c r="F344" s="187"/>
      <c r="G344" s="26" t="s">
        <v>950</v>
      </c>
      <c r="H344" s="139"/>
      <c r="I344" s="132">
        <f>IF(G344=K341,L341,IF(G344=K342,L342,IF(G344=K343,L343,IF(G344=K344,L344,4))))</f>
        <v>0</v>
      </c>
      <c r="J344" s="132">
        <v>4</v>
      </c>
      <c r="K344" s="154" t="s">
        <v>967</v>
      </c>
      <c r="L344" s="132">
        <v>3</v>
      </c>
      <c r="M344" s="132"/>
      <c r="N344" s="132"/>
      <c r="S344" t="s">
        <v>971</v>
      </c>
    </row>
    <row r="345" spans="1:19" ht="15" customHeight="1">
      <c r="A345" s="187"/>
      <c r="B345" s="187"/>
      <c r="C345" s="187"/>
      <c r="D345" s="187"/>
      <c r="E345" s="187"/>
      <c r="F345" s="187"/>
      <c r="G345" s="153"/>
      <c r="H345" s="139"/>
      <c r="J345" s="132"/>
      <c r="K345" s="154" t="s">
        <v>966</v>
      </c>
      <c r="L345" s="132">
        <v>4</v>
      </c>
      <c r="M345" s="132"/>
      <c r="N345" s="132"/>
    </row>
    <row r="346" spans="1:19">
      <c r="H346" s="133"/>
      <c r="I346" s="131">
        <f>SUM(I334:I345)</f>
        <v>0</v>
      </c>
      <c r="J346" s="131">
        <f>SUM(J334:J345)</f>
        <v>20</v>
      </c>
    </row>
    <row r="347" spans="1:19" hidden="1">
      <c r="A347" s="3" t="s">
        <v>593</v>
      </c>
      <c r="H347" s="133"/>
      <c r="I347" s="131"/>
    </row>
    <row r="348" spans="1:19" hidden="1">
      <c r="A348" s="3" t="s">
        <v>192</v>
      </c>
      <c r="H348" s="133"/>
    </row>
    <row r="349" spans="1:19" hidden="1">
      <c r="A349" s="3" t="s">
        <v>280</v>
      </c>
    </row>
    <row r="350" spans="1:19" hidden="1">
      <c r="A350" s="3" t="s">
        <v>281</v>
      </c>
    </row>
    <row r="351" spans="1:19" hidden="1">
      <c r="A351" s="3" t="s">
        <v>282</v>
      </c>
    </row>
    <row r="352" spans="1:19" hidden="1">
      <c r="A352" s="3" t="s">
        <v>283</v>
      </c>
    </row>
    <row r="353" spans="1:1" hidden="1">
      <c r="A353" s="3" t="s">
        <v>284</v>
      </c>
    </row>
    <row r="354" spans="1:1" hidden="1">
      <c r="A354" s="3" t="s">
        <v>285</v>
      </c>
    </row>
    <row r="355" spans="1:1" hidden="1">
      <c r="A355" s="3" t="s">
        <v>286</v>
      </c>
    </row>
    <row r="356" spans="1:1" hidden="1">
      <c r="A356" s="3" t="s">
        <v>668</v>
      </c>
    </row>
    <row r="357" spans="1:1" hidden="1">
      <c r="A357" s="3" t="s">
        <v>287</v>
      </c>
    </row>
    <row r="358" spans="1:1" hidden="1">
      <c r="A358" s="3" t="s">
        <v>687</v>
      </c>
    </row>
    <row r="359" spans="1:1" hidden="1">
      <c r="A359" s="3" t="s">
        <v>623</v>
      </c>
    </row>
    <row r="360" spans="1:1" hidden="1">
      <c r="A360" s="3" t="s">
        <v>288</v>
      </c>
    </row>
    <row r="361" spans="1:1" hidden="1">
      <c r="A361" s="3" t="s">
        <v>289</v>
      </c>
    </row>
    <row r="362" spans="1:1" hidden="1">
      <c r="A362" s="3" t="s">
        <v>290</v>
      </c>
    </row>
    <row r="363" spans="1:1" hidden="1">
      <c r="A363" s="3" t="s">
        <v>193</v>
      </c>
    </row>
    <row r="364" spans="1:1" hidden="1">
      <c r="A364" s="3" t="s">
        <v>291</v>
      </c>
    </row>
    <row r="365" spans="1:1" hidden="1">
      <c r="A365" s="3" t="s">
        <v>292</v>
      </c>
    </row>
    <row r="366" spans="1:1" hidden="1">
      <c r="A366" s="3" t="s">
        <v>293</v>
      </c>
    </row>
    <row r="367" spans="1:1" hidden="1">
      <c r="A367" s="3" t="s">
        <v>194</v>
      </c>
    </row>
    <row r="368" spans="1:1" hidden="1">
      <c r="A368" s="3" t="s">
        <v>195</v>
      </c>
    </row>
    <row r="369" spans="1:1" hidden="1">
      <c r="A369" s="3" t="s">
        <v>294</v>
      </c>
    </row>
    <row r="370" spans="1:1" hidden="1">
      <c r="A370" s="3" t="s">
        <v>295</v>
      </c>
    </row>
    <row r="371" spans="1:1" hidden="1">
      <c r="A371" s="3" t="s">
        <v>196</v>
      </c>
    </row>
    <row r="372" spans="1:1" hidden="1">
      <c r="A372" s="3" t="s">
        <v>197</v>
      </c>
    </row>
    <row r="373" spans="1:1" hidden="1">
      <c r="A373" s="3" t="s">
        <v>692</v>
      </c>
    </row>
    <row r="374" spans="1:1" hidden="1">
      <c r="A374" s="3" t="s">
        <v>296</v>
      </c>
    </row>
    <row r="375" spans="1:1" hidden="1">
      <c r="A375" s="3" t="s">
        <v>297</v>
      </c>
    </row>
    <row r="376" spans="1:1" hidden="1">
      <c r="A376" s="3" t="s">
        <v>491</v>
      </c>
    </row>
    <row r="377" spans="1:1" hidden="1">
      <c r="A377" s="3" t="s">
        <v>298</v>
      </c>
    </row>
    <row r="378" spans="1:1" hidden="1">
      <c r="A378" s="3" t="s">
        <v>198</v>
      </c>
    </row>
    <row r="379" spans="1:1" hidden="1">
      <c r="A379" s="3" t="s">
        <v>299</v>
      </c>
    </row>
    <row r="380" spans="1:1" hidden="1">
      <c r="A380" s="3" t="s">
        <v>199</v>
      </c>
    </row>
    <row r="381" spans="1:1" hidden="1">
      <c r="A381" s="3" t="s">
        <v>544</v>
      </c>
    </row>
    <row r="382" spans="1:1" hidden="1">
      <c r="A382" s="3" t="s">
        <v>666</v>
      </c>
    </row>
    <row r="383" spans="1:1" hidden="1">
      <c r="A383" s="3" t="s">
        <v>200</v>
      </c>
    </row>
    <row r="384" spans="1:1" hidden="1">
      <c r="A384" s="3" t="s">
        <v>300</v>
      </c>
    </row>
    <row r="385" spans="1:1" hidden="1">
      <c r="A385" s="3" t="s">
        <v>301</v>
      </c>
    </row>
    <row r="386" spans="1:1" hidden="1">
      <c r="A386" s="3" t="s">
        <v>302</v>
      </c>
    </row>
    <row r="387" spans="1:1" hidden="1">
      <c r="A387" s="3" t="s">
        <v>303</v>
      </c>
    </row>
    <row r="388" spans="1:1" hidden="1">
      <c r="A388" s="3" t="s">
        <v>622</v>
      </c>
    </row>
    <row r="389" spans="1:1" hidden="1">
      <c r="A389" s="3" t="s">
        <v>304</v>
      </c>
    </row>
    <row r="390" spans="1:1" hidden="1">
      <c r="A390" s="3" t="s">
        <v>655</v>
      </c>
    </row>
    <row r="391" spans="1:1" hidden="1">
      <c r="A391" s="3" t="s">
        <v>201</v>
      </c>
    </row>
    <row r="392" spans="1:1" hidden="1">
      <c r="A392" s="3" t="s">
        <v>305</v>
      </c>
    </row>
    <row r="393" spans="1:1" hidden="1">
      <c r="A393" s="3" t="s">
        <v>202</v>
      </c>
    </row>
    <row r="394" spans="1:1" hidden="1">
      <c r="A394" s="3" t="s">
        <v>203</v>
      </c>
    </row>
    <row r="395" spans="1:1" hidden="1">
      <c r="A395" s="3" t="s">
        <v>306</v>
      </c>
    </row>
    <row r="396" spans="1:1" hidden="1">
      <c r="A396" s="3" t="s">
        <v>625</v>
      </c>
    </row>
    <row r="397" spans="1:1" hidden="1">
      <c r="A397" s="3" t="s">
        <v>307</v>
      </c>
    </row>
    <row r="398" spans="1:1" hidden="1">
      <c r="A398" s="3" t="s">
        <v>204</v>
      </c>
    </row>
    <row r="399" spans="1:1" hidden="1">
      <c r="A399" s="3" t="s">
        <v>308</v>
      </c>
    </row>
    <row r="400" spans="1:1" hidden="1">
      <c r="A400" s="3" t="s">
        <v>309</v>
      </c>
    </row>
    <row r="401" spans="1:1" hidden="1">
      <c r="A401" s="3" t="s">
        <v>651</v>
      </c>
    </row>
    <row r="402" spans="1:1" hidden="1">
      <c r="A402" s="3" t="s">
        <v>310</v>
      </c>
    </row>
    <row r="403" spans="1:1" hidden="1">
      <c r="A403" s="3" t="s">
        <v>311</v>
      </c>
    </row>
    <row r="404" spans="1:1" hidden="1">
      <c r="A404" s="3" t="s">
        <v>205</v>
      </c>
    </row>
    <row r="405" spans="1:1" hidden="1">
      <c r="A405" s="3" t="s">
        <v>312</v>
      </c>
    </row>
    <row r="406" spans="1:1" hidden="1">
      <c r="A406" s="3" t="s">
        <v>674</v>
      </c>
    </row>
    <row r="407" spans="1:1" hidden="1">
      <c r="A407" s="3" t="s">
        <v>313</v>
      </c>
    </row>
    <row r="408" spans="1:1" hidden="1">
      <c r="A408" s="3" t="s">
        <v>688</v>
      </c>
    </row>
    <row r="409" spans="1:1" hidden="1">
      <c r="A409" s="3" t="s">
        <v>314</v>
      </c>
    </row>
    <row r="410" spans="1:1" hidden="1">
      <c r="A410" s="3" t="s">
        <v>315</v>
      </c>
    </row>
    <row r="411" spans="1:1" hidden="1">
      <c r="A411" s="3" t="s">
        <v>636</v>
      </c>
    </row>
    <row r="412" spans="1:1" hidden="1">
      <c r="A412" s="3" t="s">
        <v>316</v>
      </c>
    </row>
    <row r="413" spans="1:1" hidden="1">
      <c r="A413" s="3" t="s">
        <v>206</v>
      </c>
    </row>
    <row r="414" spans="1:1" hidden="1">
      <c r="A414" s="3" t="s">
        <v>317</v>
      </c>
    </row>
    <row r="415" spans="1:1" hidden="1">
      <c r="A415" s="3" t="s">
        <v>207</v>
      </c>
    </row>
    <row r="416" spans="1:1" hidden="1">
      <c r="A416" s="3" t="s">
        <v>318</v>
      </c>
    </row>
    <row r="417" spans="1:1" hidden="1">
      <c r="A417" s="3" t="s">
        <v>319</v>
      </c>
    </row>
    <row r="418" spans="1:1" hidden="1">
      <c r="A418" s="3" t="s">
        <v>208</v>
      </c>
    </row>
    <row r="419" spans="1:1" hidden="1">
      <c r="A419" s="3" t="s">
        <v>209</v>
      </c>
    </row>
    <row r="420" spans="1:1" hidden="1">
      <c r="A420" s="3" t="s">
        <v>210</v>
      </c>
    </row>
    <row r="421" spans="1:1" hidden="1">
      <c r="A421" s="3" t="s">
        <v>639</v>
      </c>
    </row>
    <row r="422" spans="1:1" hidden="1">
      <c r="A422" s="3" t="s">
        <v>320</v>
      </c>
    </row>
    <row r="423" spans="1:1" hidden="1">
      <c r="A423" s="3" t="s">
        <v>211</v>
      </c>
    </row>
    <row r="424" spans="1:1" hidden="1">
      <c r="A424" s="3" t="s">
        <v>212</v>
      </c>
    </row>
    <row r="425" spans="1:1" hidden="1">
      <c r="A425" s="3" t="s">
        <v>213</v>
      </c>
    </row>
    <row r="426" spans="1:1" hidden="1">
      <c r="A426" s="3" t="s">
        <v>607</v>
      </c>
    </row>
    <row r="427" spans="1:1" hidden="1">
      <c r="A427" s="3" t="s">
        <v>321</v>
      </c>
    </row>
    <row r="428" spans="1:1" hidden="1">
      <c r="A428" s="3" t="s">
        <v>560</v>
      </c>
    </row>
    <row r="429" spans="1:1" hidden="1">
      <c r="A429" s="3" t="s">
        <v>322</v>
      </c>
    </row>
    <row r="430" spans="1:1" hidden="1">
      <c r="A430" s="3" t="s">
        <v>323</v>
      </c>
    </row>
    <row r="431" spans="1:1" hidden="1">
      <c r="A431" s="3" t="s">
        <v>324</v>
      </c>
    </row>
    <row r="432" spans="1:1" hidden="1">
      <c r="A432" s="3" t="s">
        <v>325</v>
      </c>
    </row>
    <row r="433" spans="1:1" hidden="1">
      <c r="A433" s="3" t="s">
        <v>615</v>
      </c>
    </row>
    <row r="434" spans="1:1" hidden="1">
      <c r="A434" s="3" t="s">
        <v>658</v>
      </c>
    </row>
    <row r="435" spans="1:1" hidden="1">
      <c r="A435" s="3" t="s">
        <v>656</v>
      </c>
    </row>
    <row r="436" spans="1:1" hidden="1">
      <c r="A436" s="3" t="s">
        <v>326</v>
      </c>
    </row>
    <row r="437" spans="1:1" hidden="1">
      <c r="A437" s="3" t="s">
        <v>327</v>
      </c>
    </row>
    <row r="438" spans="1:1" hidden="1">
      <c r="A438" s="3" t="s">
        <v>214</v>
      </c>
    </row>
    <row r="439" spans="1:1" hidden="1">
      <c r="A439" s="3" t="s">
        <v>624</v>
      </c>
    </row>
    <row r="440" spans="1:1" hidden="1">
      <c r="A440" s="3" t="s">
        <v>328</v>
      </c>
    </row>
    <row r="441" spans="1:1" hidden="1">
      <c r="A441" s="3" t="s">
        <v>329</v>
      </c>
    </row>
    <row r="442" spans="1:1" hidden="1">
      <c r="A442" s="3" t="s">
        <v>330</v>
      </c>
    </row>
    <row r="443" spans="1:1" hidden="1">
      <c r="A443" s="3" t="s">
        <v>669</v>
      </c>
    </row>
    <row r="444" spans="1:1" hidden="1">
      <c r="A444" s="3" t="s">
        <v>331</v>
      </c>
    </row>
    <row r="445" spans="1:1" hidden="1">
      <c r="A445" s="3" t="s">
        <v>332</v>
      </c>
    </row>
    <row r="446" spans="1:1" hidden="1">
      <c r="A446" s="3" t="s">
        <v>333</v>
      </c>
    </row>
    <row r="447" spans="1:1" hidden="1">
      <c r="A447" s="3" t="s">
        <v>638</v>
      </c>
    </row>
    <row r="448" spans="1:1" hidden="1">
      <c r="A448" s="3" t="s">
        <v>334</v>
      </c>
    </row>
    <row r="449" spans="1:1" hidden="1">
      <c r="A449" s="3" t="s">
        <v>335</v>
      </c>
    </row>
    <row r="450" spans="1:1" hidden="1">
      <c r="A450" s="3" t="s">
        <v>500</v>
      </c>
    </row>
    <row r="451" spans="1:1" hidden="1">
      <c r="A451" s="3" t="s">
        <v>683</v>
      </c>
    </row>
    <row r="452" spans="1:1" hidden="1">
      <c r="A452" s="3" t="s">
        <v>336</v>
      </c>
    </row>
    <row r="453" spans="1:1" hidden="1">
      <c r="A453" s="3" t="s">
        <v>499</v>
      </c>
    </row>
    <row r="454" spans="1:1" hidden="1">
      <c r="A454" s="3" t="s">
        <v>691</v>
      </c>
    </row>
    <row r="455" spans="1:1" hidden="1">
      <c r="A455" s="3" t="s">
        <v>215</v>
      </c>
    </row>
    <row r="456" spans="1:1" hidden="1">
      <c r="A456" s="3" t="s">
        <v>337</v>
      </c>
    </row>
    <row r="457" spans="1:1" hidden="1">
      <c r="A457" s="3" t="s">
        <v>216</v>
      </c>
    </row>
    <row r="458" spans="1:1" hidden="1">
      <c r="A458" s="3" t="s">
        <v>338</v>
      </c>
    </row>
    <row r="459" spans="1:1" hidden="1">
      <c r="A459" s="3" t="s">
        <v>339</v>
      </c>
    </row>
    <row r="460" spans="1:1" hidden="1">
      <c r="A460" s="3" t="s">
        <v>340</v>
      </c>
    </row>
    <row r="461" spans="1:1" hidden="1">
      <c r="A461" s="3" t="s">
        <v>217</v>
      </c>
    </row>
    <row r="462" spans="1:1" hidden="1">
      <c r="A462" s="3" t="s">
        <v>341</v>
      </c>
    </row>
    <row r="463" spans="1:1" hidden="1">
      <c r="A463" s="3" t="s">
        <v>606</v>
      </c>
    </row>
    <row r="464" spans="1:1" hidden="1">
      <c r="A464" s="3" t="s">
        <v>342</v>
      </c>
    </row>
    <row r="465" spans="1:1" hidden="1">
      <c r="A465" s="3" t="s">
        <v>343</v>
      </c>
    </row>
    <row r="466" spans="1:1" hidden="1">
      <c r="A466" s="3" t="s">
        <v>344</v>
      </c>
    </row>
    <row r="467" spans="1:1" hidden="1">
      <c r="A467" s="3" t="s">
        <v>218</v>
      </c>
    </row>
    <row r="468" spans="1:1" hidden="1">
      <c r="A468" s="3" t="s">
        <v>219</v>
      </c>
    </row>
    <row r="469" spans="1:1" hidden="1">
      <c r="A469" s="3" t="s">
        <v>345</v>
      </c>
    </row>
    <row r="470" spans="1:1" hidden="1">
      <c r="A470" s="3" t="s">
        <v>346</v>
      </c>
    </row>
    <row r="471" spans="1:1" hidden="1">
      <c r="A471" s="3" t="s">
        <v>347</v>
      </c>
    </row>
    <row r="472" spans="1:1" hidden="1">
      <c r="A472" s="3" t="s">
        <v>348</v>
      </c>
    </row>
    <row r="473" spans="1:1" hidden="1">
      <c r="A473" s="3" t="s">
        <v>349</v>
      </c>
    </row>
    <row r="474" spans="1:1" hidden="1">
      <c r="A474" s="3" t="s">
        <v>350</v>
      </c>
    </row>
    <row r="475" spans="1:1" hidden="1">
      <c r="A475" s="3" t="s">
        <v>351</v>
      </c>
    </row>
    <row r="476" spans="1:1" hidden="1">
      <c r="A476" s="3" t="s">
        <v>648</v>
      </c>
    </row>
    <row r="477" spans="1:1" hidden="1">
      <c r="A477" s="3" t="s">
        <v>634</v>
      </c>
    </row>
    <row r="478" spans="1:1" hidden="1">
      <c r="A478" s="3" t="s">
        <v>492</v>
      </c>
    </row>
    <row r="479" spans="1:1" hidden="1">
      <c r="A479" s="3" t="s">
        <v>352</v>
      </c>
    </row>
    <row r="480" spans="1:1" hidden="1">
      <c r="A480" s="3" t="s">
        <v>353</v>
      </c>
    </row>
    <row r="481" spans="1:1" hidden="1">
      <c r="A481" s="3" t="s">
        <v>690</v>
      </c>
    </row>
    <row r="482" spans="1:1" hidden="1">
      <c r="A482" s="3" t="s">
        <v>354</v>
      </c>
    </row>
    <row r="483" spans="1:1" hidden="1">
      <c r="A483" s="3" t="s">
        <v>355</v>
      </c>
    </row>
    <row r="484" spans="1:1" hidden="1">
      <c r="A484" s="3" t="s">
        <v>220</v>
      </c>
    </row>
    <row r="485" spans="1:1" hidden="1">
      <c r="A485" s="3" t="s">
        <v>356</v>
      </c>
    </row>
    <row r="486" spans="1:1" hidden="1">
      <c r="A486" s="3" t="s">
        <v>649</v>
      </c>
    </row>
    <row r="487" spans="1:1" hidden="1">
      <c r="A487" s="3" t="s">
        <v>534</v>
      </c>
    </row>
    <row r="488" spans="1:1" hidden="1">
      <c r="A488" s="3" t="s">
        <v>357</v>
      </c>
    </row>
    <row r="489" spans="1:1" hidden="1">
      <c r="A489" s="3" t="s">
        <v>358</v>
      </c>
    </row>
    <row r="490" spans="1:1" hidden="1">
      <c r="A490" s="3" t="s">
        <v>496</v>
      </c>
    </row>
    <row r="491" spans="1:1" hidden="1">
      <c r="A491" s="3" t="s">
        <v>359</v>
      </c>
    </row>
    <row r="492" spans="1:1" hidden="1">
      <c r="A492" s="3" t="s">
        <v>360</v>
      </c>
    </row>
    <row r="493" spans="1:1" hidden="1">
      <c r="A493" s="3" t="s">
        <v>608</v>
      </c>
    </row>
    <row r="494" spans="1:1" hidden="1">
      <c r="A494" s="3" t="s">
        <v>671</v>
      </c>
    </row>
    <row r="495" spans="1:1" hidden="1">
      <c r="A495" s="3" t="s">
        <v>361</v>
      </c>
    </row>
    <row r="496" spans="1:1" hidden="1">
      <c r="A496" s="3" t="s">
        <v>221</v>
      </c>
    </row>
    <row r="497" spans="1:1" hidden="1">
      <c r="A497" s="3" t="s">
        <v>653</v>
      </c>
    </row>
    <row r="498" spans="1:1" hidden="1">
      <c r="A498" s="3" t="s">
        <v>535</v>
      </c>
    </row>
    <row r="499" spans="1:1" hidden="1">
      <c r="A499" s="3" t="s">
        <v>222</v>
      </c>
    </row>
    <row r="500" spans="1:1" hidden="1">
      <c r="A500" s="3" t="s">
        <v>549</v>
      </c>
    </row>
    <row r="501" spans="1:1" hidden="1">
      <c r="A501" s="3" t="s">
        <v>362</v>
      </c>
    </row>
    <row r="502" spans="1:1" hidden="1">
      <c r="A502" s="3" t="s">
        <v>536</v>
      </c>
    </row>
    <row r="503" spans="1:1" hidden="1">
      <c r="A503" s="3" t="s">
        <v>363</v>
      </c>
    </row>
    <row r="504" spans="1:1" hidden="1">
      <c r="A504" s="3" t="s">
        <v>223</v>
      </c>
    </row>
    <row r="505" spans="1:1" hidden="1">
      <c r="A505" s="3" t="s">
        <v>224</v>
      </c>
    </row>
    <row r="506" spans="1:1" hidden="1">
      <c r="A506" s="3" t="s">
        <v>364</v>
      </c>
    </row>
    <row r="507" spans="1:1" hidden="1">
      <c r="A507" s="3" t="s">
        <v>365</v>
      </c>
    </row>
    <row r="508" spans="1:1" hidden="1">
      <c r="A508" s="3" t="s">
        <v>366</v>
      </c>
    </row>
    <row r="509" spans="1:1" hidden="1">
      <c r="A509" s="3" t="s">
        <v>225</v>
      </c>
    </row>
    <row r="510" spans="1:1" hidden="1">
      <c r="A510" s="3" t="s">
        <v>495</v>
      </c>
    </row>
    <row r="511" spans="1:1" hidden="1">
      <c r="A511" s="3" t="s">
        <v>367</v>
      </c>
    </row>
    <row r="512" spans="1:1" hidden="1">
      <c r="A512" s="3" t="s">
        <v>562</v>
      </c>
    </row>
    <row r="513" spans="1:1" hidden="1">
      <c r="A513" s="3" t="s">
        <v>368</v>
      </c>
    </row>
    <row r="514" spans="1:1" hidden="1">
      <c r="A514" s="3" t="s">
        <v>369</v>
      </c>
    </row>
    <row r="515" spans="1:1" hidden="1">
      <c r="A515" s="3" t="s">
        <v>226</v>
      </c>
    </row>
    <row r="516" spans="1:1" hidden="1">
      <c r="A516" s="3" t="s">
        <v>370</v>
      </c>
    </row>
    <row r="517" spans="1:1" hidden="1">
      <c r="A517" s="3" t="s">
        <v>371</v>
      </c>
    </row>
    <row r="518" spans="1:1" hidden="1">
      <c r="A518" s="3" t="s">
        <v>372</v>
      </c>
    </row>
    <row r="519" spans="1:1" hidden="1">
      <c r="A519" s="3" t="s">
        <v>555</v>
      </c>
    </row>
    <row r="520" spans="1:1" hidden="1">
      <c r="A520" s="3" t="s">
        <v>373</v>
      </c>
    </row>
    <row r="521" spans="1:1" hidden="1">
      <c r="A521" s="3" t="s">
        <v>374</v>
      </c>
    </row>
    <row r="522" spans="1:1" hidden="1">
      <c r="A522" s="3" t="s">
        <v>227</v>
      </c>
    </row>
    <row r="523" spans="1:1" hidden="1">
      <c r="A523" s="3" t="s">
        <v>228</v>
      </c>
    </row>
    <row r="524" spans="1:1" hidden="1">
      <c r="A524" s="3" t="s">
        <v>647</v>
      </c>
    </row>
    <row r="525" spans="1:1" hidden="1">
      <c r="A525" s="3" t="s">
        <v>375</v>
      </c>
    </row>
    <row r="526" spans="1:1" hidden="1">
      <c r="A526" s="3" t="s">
        <v>663</v>
      </c>
    </row>
    <row r="527" spans="1:1" hidden="1">
      <c r="A527" s="3" t="s">
        <v>645</v>
      </c>
    </row>
    <row r="528" spans="1:1" hidden="1">
      <c r="A528" s="3" t="s">
        <v>576</v>
      </c>
    </row>
    <row r="529" spans="1:1" hidden="1">
      <c r="A529" s="3" t="s">
        <v>550</v>
      </c>
    </row>
    <row r="530" spans="1:1" hidden="1">
      <c r="A530" s="3" t="s">
        <v>376</v>
      </c>
    </row>
    <row r="531" spans="1:1" hidden="1">
      <c r="A531" s="3" t="s">
        <v>377</v>
      </c>
    </row>
    <row r="532" spans="1:1" hidden="1">
      <c r="A532" s="3" t="s">
        <v>378</v>
      </c>
    </row>
    <row r="533" spans="1:1" hidden="1">
      <c r="A533" s="3" t="s">
        <v>229</v>
      </c>
    </row>
    <row r="534" spans="1:1" hidden="1">
      <c r="A534" s="3" t="s">
        <v>230</v>
      </c>
    </row>
    <row r="535" spans="1:1" hidden="1">
      <c r="A535" s="3" t="s">
        <v>379</v>
      </c>
    </row>
    <row r="536" spans="1:1" hidden="1">
      <c r="A536" s="3" t="s">
        <v>712</v>
      </c>
    </row>
    <row r="537" spans="1:1" hidden="1">
      <c r="A537" s="3" t="s">
        <v>231</v>
      </c>
    </row>
    <row r="538" spans="1:1" hidden="1">
      <c r="A538" s="3" t="s">
        <v>380</v>
      </c>
    </row>
    <row r="539" spans="1:1" hidden="1">
      <c r="A539" s="3" t="s">
        <v>618</v>
      </c>
    </row>
    <row r="540" spans="1:1" hidden="1">
      <c r="A540" s="3" t="s">
        <v>617</v>
      </c>
    </row>
    <row r="541" spans="1:1" hidden="1">
      <c r="A541" s="3" t="s">
        <v>381</v>
      </c>
    </row>
    <row r="542" spans="1:1" hidden="1">
      <c r="A542" s="3" t="s">
        <v>709</v>
      </c>
    </row>
    <row r="543" spans="1:1" hidden="1">
      <c r="A543" s="3" t="s">
        <v>650</v>
      </c>
    </row>
    <row r="544" spans="1:1" hidden="1">
      <c r="A544" s="3" t="s">
        <v>644</v>
      </c>
    </row>
    <row r="545" spans="1:1" hidden="1">
      <c r="A545" s="3" t="s">
        <v>232</v>
      </c>
    </row>
    <row r="546" spans="1:1" hidden="1">
      <c r="A546" s="3" t="s">
        <v>233</v>
      </c>
    </row>
    <row r="547" spans="1:1" hidden="1">
      <c r="A547" s="3" t="s">
        <v>667</v>
      </c>
    </row>
    <row r="548" spans="1:1" hidden="1">
      <c r="A548" s="3" t="s">
        <v>382</v>
      </c>
    </row>
    <row r="549" spans="1:1" hidden="1">
      <c r="A549" s="3" t="s">
        <v>234</v>
      </c>
    </row>
    <row r="550" spans="1:1" hidden="1">
      <c r="A550" s="3" t="s">
        <v>235</v>
      </c>
    </row>
    <row r="551" spans="1:1" hidden="1">
      <c r="A551" s="3" t="s">
        <v>236</v>
      </c>
    </row>
    <row r="552" spans="1:1" hidden="1">
      <c r="A552" s="3" t="s">
        <v>237</v>
      </c>
    </row>
    <row r="553" spans="1:1" hidden="1">
      <c r="A553" s="3" t="s">
        <v>383</v>
      </c>
    </row>
    <row r="554" spans="1:1" hidden="1">
      <c r="A554" s="3" t="s">
        <v>384</v>
      </c>
    </row>
    <row r="555" spans="1:1" hidden="1">
      <c r="A555" s="3" t="s">
        <v>238</v>
      </c>
    </row>
    <row r="556" spans="1:1" hidden="1">
      <c r="A556" s="3" t="s">
        <v>385</v>
      </c>
    </row>
    <row r="557" spans="1:1" hidden="1">
      <c r="A557" s="3" t="s">
        <v>386</v>
      </c>
    </row>
    <row r="558" spans="1:1" hidden="1">
      <c r="A558" s="3" t="s">
        <v>387</v>
      </c>
    </row>
    <row r="559" spans="1:1" hidden="1">
      <c r="A559" s="3" t="s">
        <v>388</v>
      </c>
    </row>
    <row r="560" spans="1:1" hidden="1">
      <c r="A560" s="3" t="s">
        <v>672</v>
      </c>
    </row>
    <row r="561" spans="1:1" hidden="1">
      <c r="A561" s="3" t="s">
        <v>494</v>
      </c>
    </row>
    <row r="562" spans="1:1" hidden="1">
      <c r="A562" s="3" t="s">
        <v>611</v>
      </c>
    </row>
    <row r="563" spans="1:1" hidden="1">
      <c r="A563" s="3" t="s">
        <v>537</v>
      </c>
    </row>
    <row r="564" spans="1:1" hidden="1">
      <c r="A564" s="3" t="s">
        <v>389</v>
      </c>
    </row>
    <row r="565" spans="1:1" hidden="1">
      <c r="A565" s="3" t="s">
        <v>390</v>
      </c>
    </row>
    <row r="566" spans="1:1" hidden="1">
      <c r="A566" s="3" t="s">
        <v>391</v>
      </c>
    </row>
    <row r="567" spans="1:1" hidden="1">
      <c r="A567" s="3" t="s">
        <v>620</v>
      </c>
    </row>
    <row r="568" spans="1:1" hidden="1">
      <c r="A568" s="3" t="s">
        <v>239</v>
      </c>
    </row>
    <row r="569" spans="1:1" hidden="1">
      <c r="A569" s="3" t="s">
        <v>684</v>
      </c>
    </row>
    <row r="570" spans="1:1" hidden="1">
      <c r="A570" s="3" t="s">
        <v>538</v>
      </c>
    </row>
    <row r="571" spans="1:1" hidden="1">
      <c r="A571" s="3" t="s">
        <v>704</v>
      </c>
    </row>
    <row r="572" spans="1:1" hidden="1">
      <c r="A572" s="3" t="s">
        <v>392</v>
      </c>
    </row>
    <row r="573" spans="1:1" hidden="1">
      <c r="A573" s="3" t="s">
        <v>240</v>
      </c>
    </row>
    <row r="574" spans="1:1" hidden="1">
      <c r="A574" s="3" t="s">
        <v>393</v>
      </c>
    </row>
    <row r="575" spans="1:1" hidden="1">
      <c r="A575" s="3" t="s">
        <v>394</v>
      </c>
    </row>
    <row r="576" spans="1:1" hidden="1">
      <c r="A576" s="3" t="s">
        <v>395</v>
      </c>
    </row>
    <row r="577" spans="1:1" hidden="1">
      <c r="A577" s="3" t="s">
        <v>396</v>
      </c>
    </row>
    <row r="578" spans="1:1" hidden="1">
      <c r="A578" s="3" t="s">
        <v>241</v>
      </c>
    </row>
    <row r="579" spans="1:1" hidden="1">
      <c r="A579" s="3" t="s">
        <v>397</v>
      </c>
    </row>
    <row r="580" spans="1:1" hidden="1">
      <c r="A580" s="3" t="s">
        <v>242</v>
      </c>
    </row>
    <row r="581" spans="1:1" hidden="1">
      <c r="A581" s="3" t="s">
        <v>398</v>
      </c>
    </row>
    <row r="582" spans="1:1" hidden="1">
      <c r="A582" s="3" t="s">
        <v>243</v>
      </c>
    </row>
    <row r="583" spans="1:1" hidden="1">
      <c r="A583" s="3" t="s">
        <v>641</v>
      </c>
    </row>
    <row r="584" spans="1:1" hidden="1">
      <c r="A584" s="3" t="s">
        <v>399</v>
      </c>
    </row>
    <row r="585" spans="1:1" hidden="1">
      <c r="A585" s="3" t="s">
        <v>400</v>
      </c>
    </row>
    <row r="586" spans="1:1" hidden="1">
      <c r="A586" s="3" t="s">
        <v>401</v>
      </c>
    </row>
    <row r="587" spans="1:1" hidden="1">
      <c r="A587" s="3" t="s">
        <v>402</v>
      </c>
    </row>
    <row r="588" spans="1:1" hidden="1">
      <c r="A588" s="3" t="s">
        <v>244</v>
      </c>
    </row>
    <row r="589" spans="1:1" hidden="1">
      <c r="A589" s="3" t="s">
        <v>489</v>
      </c>
    </row>
    <row r="590" spans="1:1" hidden="1">
      <c r="A590" s="3" t="s">
        <v>403</v>
      </c>
    </row>
    <row r="591" spans="1:1" hidden="1">
      <c r="A591" s="3" t="s">
        <v>404</v>
      </c>
    </row>
    <row r="592" spans="1:1" hidden="1">
      <c r="A592" s="3" t="s">
        <v>245</v>
      </c>
    </row>
    <row r="593" spans="1:1" hidden="1">
      <c r="A593" s="3" t="s">
        <v>490</v>
      </c>
    </row>
    <row r="594" spans="1:1" hidden="1">
      <c r="A594" s="3" t="s">
        <v>405</v>
      </c>
    </row>
    <row r="595" spans="1:1" hidden="1">
      <c r="A595" s="3" t="s">
        <v>246</v>
      </c>
    </row>
    <row r="596" spans="1:1" hidden="1">
      <c r="A596" s="3" t="s">
        <v>247</v>
      </c>
    </row>
    <row r="597" spans="1:1" hidden="1">
      <c r="A597" s="3" t="s">
        <v>248</v>
      </c>
    </row>
    <row r="598" spans="1:1" hidden="1">
      <c r="A598" s="3" t="s">
        <v>406</v>
      </c>
    </row>
    <row r="599" spans="1:1" hidden="1">
      <c r="A599" s="3" t="s">
        <v>407</v>
      </c>
    </row>
    <row r="600" spans="1:1" hidden="1">
      <c r="A600" s="3" t="s">
        <v>408</v>
      </c>
    </row>
    <row r="601" spans="1:1" hidden="1">
      <c r="A601" s="3" t="s">
        <v>409</v>
      </c>
    </row>
    <row r="602" spans="1:1" hidden="1">
      <c r="A602" s="3" t="s">
        <v>249</v>
      </c>
    </row>
    <row r="603" spans="1:1" hidden="1">
      <c r="A603" s="3" t="s">
        <v>250</v>
      </c>
    </row>
    <row r="604" spans="1:1" hidden="1">
      <c r="A604" s="3" t="s">
        <v>251</v>
      </c>
    </row>
    <row r="605" spans="1:1" hidden="1">
      <c r="A605" s="3" t="s">
        <v>410</v>
      </c>
    </row>
    <row r="606" spans="1:1" hidden="1">
      <c r="A606" s="3" t="s">
        <v>411</v>
      </c>
    </row>
    <row r="607" spans="1:1" hidden="1">
      <c r="A607" s="3" t="s">
        <v>412</v>
      </c>
    </row>
    <row r="608" spans="1:1" hidden="1">
      <c r="A608" s="3" t="s">
        <v>413</v>
      </c>
    </row>
    <row r="609" spans="1:1" hidden="1">
      <c r="A609" s="3" t="s">
        <v>252</v>
      </c>
    </row>
    <row r="610" spans="1:1" hidden="1">
      <c r="A610" s="3" t="s">
        <v>414</v>
      </c>
    </row>
    <row r="611" spans="1:1" hidden="1">
      <c r="A611" s="3" t="s">
        <v>253</v>
      </c>
    </row>
    <row r="612" spans="1:1" hidden="1">
      <c r="A612" s="3" t="s">
        <v>415</v>
      </c>
    </row>
    <row r="613" spans="1:1" hidden="1">
      <c r="A613" s="3" t="s">
        <v>254</v>
      </c>
    </row>
    <row r="614" spans="1:1" hidden="1">
      <c r="A614" s="3" t="s">
        <v>416</v>
      </c>
    </row>
    <row r="615" spans="1:1" hidden="1">
      <c r="A615" s="3" t="s">
        <v>417</v>
      </c>
    </row>
    <row r="616" spans="1:1" hidden="1">
      <c r="A616" s="3" t="s">
        <v>255</v>
      </c>
    </row>
    <row r="617" spans="1:1" hidden="1">
      <c r="A617" s="3" t="s">
        <v>256</v>
      </c>
    </row>
    <row r="618" spans="1:1" hidden="1">
      <c r="A618" s="3" t="s">
        <v>418</v>
      </c>
    </row>
    <row r="619" spans="1:1" hidden="1">
      <c r="A619" s="3" t="s">
        <v>257</v>
      </c>
    </row>
    <row r="620" spans="1:1" hidden="1">
      <c r="A620" s="3" t="s">
        <v>419</v>
      </c>
    </row>
    <row r="621" spans="1:1" hidden="1">
      <c r="A621" s="3" t="s">
        <v>420</v>
      </c>
    </row>
    <row r="622" spans="1:1" hidden="1">
      <c r="A622" s="3" t="s">
        <v>421</v>
      </c>
    </row>
    <row r="623" spans="1:1" hidden="1">
      <c r="A623" s="3" t="s">
        <v>422</v>
      </c>
    </row>
    <row r="624" spans="1:1" hidden="1">
      <c r="A624" s="3" t="s">
        <v>423</v>
      </c>
    </row>
    <row r="625" spans="1:1" hidden="1">
      <c r="A625" s="3" t="s">
        <v>424</v>
      </c>
    </row>
    <row r="626" spans="1:1" hidden="1">
      <c r="A626" s="3" t="s">
        <v>425</v>
      </c>
    </row>
    <row r="627" spans="1:1" hidden="1">
      <c r="A627" s="3" t="s">
        <v>258</v>
      </c>
    </row>
    <row r="628" spans="1:1" hidden="1">
      <c r="A628" s="3" t="s">
        <v>259</v>
      </c>
    </row>
    <row r="629" spans="1:1" hidden="1">
      <c r="A629" s="3" t="s">
        <v>260</v>
      </c>
    </row>
    <row r="630" spans="1:1" hidden="1">
      <c r="A630" s="3" t="s">
        <v>553</v>
      </c>
    </row>
    <row r="631" spans="1:1" hidden="1">
      <c r="A631" s="3" t="s">
        <v>426</v>
      </c>
    </row>
    <row r="632" spans="1:1" hidden="1">
      <c r="A632" s="3" t="s">
        <v>677</v>
      </c>
    </row>
    <row r="633" spans="1:1" hidden="1">
      <c r="A633" s="3" t="s">
        <v>427</v>
      </c>
    </row>
    <row r="634" spans="1:1" hidden="1">
      <c r="A634" s="3" t="s">
        <v>657</v>
      </c>
    </row>
    <row r="635" spans="1:1" hidden="1">
      <c r="A635" s="3" t="s">
        <v>428</v>
      </c>
    </row>
    <row r="636" spans="1:1" hidden="1">
      <c r="A636" s="3" t="s">
        <v>429</v>
      </c>
    </row>
    <row r="637" spans="1:1" hidden="1">
      <c r="A637" s="3" t="s">
        <v>430</v>
      </c>
    </row>
    <row r="638" spans="1:1" hidden="1">
      <c r="A638" s="3" t="s">
        <v>431</v>
      </c>
    </row>
    <row r="639" spans="1:1" hidden="1">
      <c r="A639" s="3" t="s">
        <v>432</v>
      </c>
    </row>
    <row r="640" spans="1:1" hidden="1">
      <c r="A640" s="3" t="s">
        <v>556</v>
      </c>
    </row>
    <row r="641" spans="1:1" hidden="1">
      <c r="A641" s="3" t="s">
        <v>433</v>
      </c>
    </row>
    <row r="642" spans="1:1" hidden="1">
      <c r="A642" s="3" t="s">
        <v>498</v>
      </c>
    </row>
    <row r="643" spans="1:1" hidden="1">
      <c r="A643" s="3" t="s">
        <v>434</v>
      </c>
    </row>
    <row r="644" spans="1:1" hidden="1">
      <c r="A644" s="3" t="s">
        <v>435</v>
      </c>
    </row>
    <row r="645" spans="1:1" hidden="1">
      <c r="A645" s="3" t="s">
        <v>436</v>
      </c>
    </row>
    <row r="646" spans="1:1" hidden="1">
      <c r="A646" s="3" t="s">
        <v>261</v>
      </c>
    </row>
    <row r="647" spans="1:1" hidden="1">
      <c r="A647" s="3" t="s">
        <v>437</v>
      </c>
    </row>
    <row r="648" spans="1:1" hidden="1">
      <c r="A648" s="3" t="s">
        <v>262</v>
      </c>
    </row>
    <row r="649" spans="1:1" hidden="1">
      <c r="A649" s="3" t="s">
        <v>263</v>
      </c>
    </row>
    <row r="650" spans="1:1" hidden="1">
      <c r="A650" s="3" t="s">
        <v>438</v>
      </c>
    </row>
    <row r="651" spans="1:1" hidden="1">
      <c r="A651" s="3" t="s">
        <v>264</v>
      </c>
    </row>
    <row r="652" spans="1:1" hidden="1">
      <c r="A652" s="3" t="s">
        <v>439</v>
      </c>
    </row>
    <row r="653" spans="1:1" hidden="1">
      <c r="A653" s="3" t="s">
        <v>440</v>
      </c>
    </row>
    <row r="654" spans="1:1" hidden="1">
      <c r="A654" s="3" t="s">
        <v>265</v>
      </c>
    </row>
    <row r="655" spans="1:1" hidden="1">
      <c r="A655" s="3" t="s">
        <v>266</v>
      </c>
    </row>
    <row r="656" spans="1:1" hidden="1">
      <c r="A656" s="3" t="s">
        <v>441</v>
      </c>
    </row>
    <row r="657" spans="1:1" hidden="1">
      <c r="A657" s="3" t="s">
        <v>442</v>
      </c>
    </row>
    <row r="658" spans="1:1" hidden="1">
      <c r="A658" s="3" t="s">
        <v>267</v>
      </c>
    </row>
    <row r="659" spans="1:1" hidden="1">
      <c r="A659" s="3" t="s">
        <v>443</v>
      </c>
    </row>
    <row r="660" spans="1:1" hidden="1">
      <c r="A660" s="3" t="s">
        <v>268</v>
      </c>
    </row>
    <row r="661" spans="1:1" hidden="1">
      <c r="A661" s="3" t="s">
        <v>444</v>
      </c>
    </row>
    <row r="662" spans="1:1" hidden="1">
      <c r="A662" s="3" t="s">
        <v>445</v>
      </c>
    </row>
    <row r="663" spans="1:1" hidden="1">
      <c r="A663" s="3" t="s">
        <v>446</v>
      </c>
    </row>
    <row r="664" spans="1:1" hidden="1">
      <c r="A664" s="3" t="s">
        <v>629</v>
      </c>
    </row>
    <row r="665" spans="1:1" hidden="1">
      <c r="A665" s="3" t="s">
        <v>447</v>
      </c>
    </row>
    <row r="666" spans="1:1" hidden="1">
      <c r="A666" s="3" t="s">
        <v>269</v>
      </c>
    </row>
    <row r="667" spans="1:1" hidden="1">
      <c r="A667" s="3" t="s">
        <v>270</v>
      </c>
    </row>
    <row r="668" spans="1:1" hidden="1">
      <c r="A668" s="3" t="s">
        <v>448</v>
      </c>
    </row>
    <row r="669" spans="1:1" hidden="1">
      <c r="A669" s="3" t="s">
        <v>449</v>
      </c>
    </row>
    <row r="670" spans="1:1" hidden="1">
      <c r="A670" s="3" t="s">
        <v>450</v>
      </c>
    </row>
    <row r="671" spans="1:1" hidden="1">
      <c r="A671" s="3" t="s">
        <v>451</v>
      </c>
    </row>
    <row r="672" spans="1:1" hidden="1">
      <c r="A672" s="3" t="s">
        <v>452</v>
      </c>
    </row>
    <row r="673" spans="1:1" hidden="1">
      <c r="A673" s="3" t="s">
        <v>271</v>
      </c>
    </row>
    <row r="674" spans="1:1" hidden="1">
      <c r="A674" s="3" t="s">
        <v>453</v>
      </c>
    </row>
    <row r="675" spans="1:1" hidden="1">
      <c r="A675" s="3" t="s">
        <v>454</v>
      </c>
    </row>
    <row r="676" spans="1:1" hidden="1">
      <c r="A676" s="3" t="s">
        <v>455</v>
      </c>
    </row>
    <row r="677" spans="1:1" hidden="1">
      <c r="A677" s="3" t="s">
        <v>456</v>
      </c>
    </row>
    <row r="678" spans="1:1" hidden="1">
      <c r="A678" s="3" t="s">
        <v>561</v>
      </c>
    </row>
    <row r="679" spans="1:1" hidden="1">
      <c r="A679" s="3" t="s">
        <v>539</v>
      </c>
    </row>
    <row r="680" spans="1:1" hidden="1">
      <c r="A680" s="3" t="s">
        <v>457</v>
      </c>
    </row>
    <row r="681" spans="1:1" hidden="1">
      <c r="A681" s="3" t="s">
        <v>458</v>
      </c>
    </row>
    <row r="682" spans="1:1" hidden="1">
      <c r="A682" s="3" t="s">
        <v>459</v>
      </c>
    </row>
    <row r="683" spans="1:1" hidden="1">
      <c r="A683" s="3" t="s">
        <v>670</v>
      </c>
    </row>
    <row r="684" spans="1:1" hidden="1">
      <c r="A684" s="3" t="s">
        <v>460</v>
      </c>
    </row>
    <row r="685" spans="1:1" hidden="1">
      <c r="A685" s="3" t="s">
        <v>461</v>
      </c>
    </row>
    <row r="686" spans="1:1" hidden="1">
      <c r="A686" s="3" t="s">
        <v>462</v>
      </c>
    </row>
    <row r="687" spans="1:1" hidden="1">
      <c r="A687" s="3" t="s">
        <v>554</v>
      </c>
    </row>
    <row r="688" spans="1:1" hidden="1">
      <c r="A688" s="3" t="s">
        <v>272</v>
      </c>
    </row>
    <row r="689" spans="1:1" hidden="1">
      <c r="A689" s="3" t="s">
        <v>697</v>
      </c>
    </row>
    <row r="690" spans="1:1" hidden="1">
      <c r="A690" s="3" t="s">
        <v>463</v>
      </c>
    </row>
    <row r="691" spans="1:1" hidden="1">
      <c r="A691" s="3" t="s">
        <v>273</v>
      </c>
    </row>
    <row r="692" spans="1:1" hidden="1">
      <c r="A692" s="3" t="s">
        <v>464</v>
      </c>
    </row>
    <row r="693" spans="1:1" hidden="1">
      <c r="A693" s="3" t="s">
        <v>465</v>
      </c>
    </row>
    <row r="694" spans="1:1" hidden="1">
      <c r="A694" s="3" t="s">
        <v>274</v>
      </c>
    </row>
    <row r="695" spans="1:1" hidden="1">
      <c r="A695" s="3" t="s">
        <v>466</v>
      </c>
    </row>
    <row r="696" spans="1:1" hidden="1">
      <c r="A696" s="3" t="s">
        <v>275</v>
      </c>
    </row>
    <row r="697" spans="1:1" hidden="1">
      <c r="A697" s="3" t="s">
        <v>467</v>
      </c>
    </row>
    <row r="698" spans="1:1" hidden="1">
      <c r="A698" s="3" t="s">
        <v>468</v>
      </c>
    </row>
    <row r="699" spans="1:1" hidden="1">
      <c r="A699" s="3" t="s">
        <v>469</v>
      </c>
    </row>
    <row r="700" spans="1:1" hidden="1">
      <c r="A700" s="3" t="s">
        <v>470</v>
      </c>
    </row>
    <row r="701" spans="1:1" hidden="1">
      <c r="A701" s="3" t="s">
        <v>471</v>
      </c>
    </row>
    <row r="702" spans="1:1" hidden="1">
      <c r="A702" s="3" t="s">
        <v>604</v>
      </c>
    </row>
    <row r="703" spans="1:1" hidden="1">
      <c r="A703" s="3" t="s">
        <v>472</v>
      </c>
    </row>
    <row r="704" spans="1:1" hidden="1">
      <c r="A704" s="3" t="s">
        <v>473</v>
      </c>
    </row>
    <row r="705" spans="1:1" hidden="1">
      <c r="A705" s="3" t="s">
        <v>474</v>
      </c>
    </row>
    <row r="706" spans="1:1" hidden="1">
      <c r="A706" s="3" t="s">
        <v>276</v>
      </c>
    </row>
    <row r="707" spans="1:1" hidden="1">
      <c r="A707" s="3" t="s">
        <v>475</v>
      </c>
    </row>
    <row r="708" spans="1:1" hidden="1">
      <c r="A708" s="3" t="s">
        <v>277</v>
      </c>
    </row>
    <row r="709" spans="1:1" hidden="1">
      <c r="A709" s="3" t="s">
        <v>476</v>
      </c>
    </row>
    <row r="710" spans="1:1" hidden="1">
      <c r="A710" s="3" t="s">
        <v>278</v>
      </c>
    </row>
    <row r="711" spans="1:1" hidden="1">
      <c r="A711" s="3" t="s">
        <v>477</v>
      </c>
    </row>
    <row r="712" spans="1:1" hidden="1">
      <c r="A712" s="3" t="s">
        <v>279</v>
      </c>
    </row>
    <row r="713" spans="1:1" hidden="1">
      <c r="A713" s="3" t="s">
        <v>478</v>
      </c>
    </row>
    <row r="714" spans="1:1" hidden="1">
      <c r="A714" s="3" t="s">
        <v>646</v>
      </c>
    </row>
    <row r="715" spans="1:1" hidden="1">
      <c r="A715" s="3" t="s">
        <v>479</v>
      </c>
    </row>
    <row r="716" spans="1:1" hidden="1">
      <c r="A716" s="3" t="s">
        <v>626</v>
      </c>
    </row>
    <row r="717" spans="1:1" hidden="1">
      <c r="A717" s="3" t="s">
        <v>480</v>
      </c>
    </row>
    <row r="718" spans="1:1" hidden="1">
      <c r="A718" s="3" t="s">
        <v>481</v>
      </c>
    </row>
    <row r="719" spans="1:1" hidden="1">
      <c r="A719" s="3" t="s">
        <v>482</v>
      </c>
    </row>
    <row r="720" spans="1:1" hidden="1">
      <c r="A720" s="3" t="s">
        <v>685</v>
      </c>
    </row>
    <row r="721" spans="1:1" hidden="1">
      <c r="A721" s="3" t="s">
        <v>661</v>
      </c>
    </row>
    <row r="722" spans="1:1" hidden="1">
      <c r="A722" s="3" t="s">
        <v>835</v>
      </c>
    </row>
    <row r="723" spans="1:1" hidden="1">
      <c r="A723" s="3" t="s">
        <v>591</v>
      </c>
    </row>
    <row r="724" spans="1:1" hidden="1">
      <c r="A724" s="3" t="s">
        <v>483</v>
      </c>
    </row>
    <row r="725" spans="1:1" hidden="1">
      <c r="A725" s="3" t="s">
        <v>484</v>
      </c>
    </row>
    <row r="726" spans="1:1" hidden="1">
      <c r="A726" s="3" t="s">
        <v>593</v>
      </c>
    </row>
  </sheetData>
  <sheetProtection formatCells="0" formatColumns="0" formatRows="0" insertColumns="0"/>
  <customSheetViews>
    <customSheetView guid="{A056A992-68E5-4662-960B-7D9A27ACB891}" showGridLines="0">
      <selection activeCell="B3" sqref="B3:C3"/>
    </customSheetView>
  </customSheetViews>
  <mergeCells count="277">
    <mergeCell ref="A49:D49"/>
    <mergeCell ref="A50:D50"/>
    <mergeCell ref="A40:D40"/>
    <mergeCell ref="A41:D41"/>
    <mergeCell ref="A42:D42"/>
    <mergeCell ref="A43:D43"/>
    <mergeCell ref="A44:D44"/>
    <mergeCell ref="A45:D45"/>
    <mergeCell ref="A46:D46"/>
    <mergeCell ref="A47:D47"/>
    <mergeCell ref="A48:D48"/>
    <mergeCell ref="A31:D31"/>
    <mergeCell ref="A32:D32"/>
    <mergeCell ref="A33:D33"/>
    <mergeCell ref="A34:D34"/>
    <mergeCell ref="A35:D35"/>
    <mergeCell ref="A36:D36"/>
    <mergeCell ref="A37:D37"/>
    <mergeCell ref="A38:D38"/>
    <mergeCell ref="A39:D39"/>
    <mergeCell ref="A250:F250"/>
    <mergeCell ref="A167:F167"/>
    <mergeCell ref="A150:F150"/>
    <mergeCell ref="B111:D111"/>
    <mergeCell ref="B112:D112"/>
    <mergeCell ref="B113:D113"/>
    <mergeCell ref="B114:D114"/>
    <mergeCell ref="B115:D115"/>
    <mergeCell ref="B116:D116"/>
    <mergeCell ref="B117:D117"/>
    <mergeCell ref="A124:F124"/>
    <mergeCell ref="A125:F125"/>
    <mergeCell ref="A126:F126"/>
    <mergeCell ref="A127:F127"/>
    <mergeCell ref="A128:F128"/>
    <mergeCell ref="A139:F139"/>
    <mergeCell ref="A140:F140"/>
    <mergeCell ref="A141:F141"/>
    <mergeCell ref="A142:F142"/>
    <mergeCell ref="A143:F143"/>
    <mergeCell ref="A122:F122"/>
    <mergeCell ref="A245:F245"/>
    <mergeCell ref="A246:F246"/>
    <mergeCell ref="A238:F238"/>
    <mergeCell ref="A299:F299"/>
    <mergeCell ref="A251:F251"/>
    <mergeCell ref="A252:F252"/>
    <mergeCell ref="A157:F157"/>
    <mergeCell ref="A158:F158"/>
    <mergeCell ref="A159:F159"/>
    <mergeCell ref="A160:F160"/>
    <mergeCell ref="A265:F265"/>
    <mergeCell ref="A266:F266"/>
    <mergeCell ref="A214:F214"/>
    <mergeCell ref="A215:F215"/>
    <mergeCell ref="A234:F234"/>
    <mergeCell ref="A237:F237"/>
    <mergeCell ref="A239:F239"/>
    <mergeCell ref="A240:F240"/>
    <mergeCell ref="A241:F241"/>
    <mergeCell ref="A242:F242"/>
    <mergeCell ref="A259:F259"/>
    <mergeCell ref="A227:F227"/>
    <mergeCell ref="A243:F243"/>
    <mergeCell ref="A244:F244"/>
    <mergeCell ref="A191:F191"/>
    <mergeCell ref="A192:F192"/>
    <mergeCell ref="A177:F177"/>
    <mergeCell ref="A290:F290"/>
    <mergeCell ref="A293:F293"/>
    <mergeCell ref="A253:F253"/>
    <mergeCell ref="A254:F254"/>
    <mergeCell ref="A255:F255"/>
    <mergeCell ref="A267:F267"/>
    <mergeCell ref="A268:F268"/>
    <mergeCell ref="A283:F283"/>
    <mergeCell ref="A273:F273"/>
    <mergeCell ref="A274:F274"/>
    <mergeCell ref="A275:F275"/>
    <mergeCell ref="A289:F289"/>
    <mergeCell ref="A272:F272"/>
    <mergeCell ref="A256:F256"/>
    <mergeCell ref="A285:F285"/>
    <mergeCell ref="A286:F286"/>
    <mergeCell ref="A287:F287"/>
    <mergeCell ref="A284:F284"/>
    <mergeCell ref="A271:F271"/>
    <mergeCell ref="A169:F169"/>
    <mergeCell ref="A170:F170"/>
    <mergeCell ref="A171:F171"/>
    <mergeCell ref="A172:F172"/>
    <mergeCell ref="A173:F173"/>
    <mergeCell ref="A331:F331"/>
    <mergeCell ref="A316:F316"/>
    <mergeCell ref="A317:F317"/>
    <mergeCell ref="A318:F318"/>
    <mergeCell ref="A319:F319"/>
    <mergeCell ref="A320:F320"/>
    <mergeCell ref="A321:F321"/>
    <mergeCell ref="A303:F303"/>
    <mergeCell ref="A304:F304"/>
    <mergeCell ref="A305:F305"/>
    <mergeCell ref="A306:F306"/>
    <mergeCell ref="A307:F307"/>
    <mergeCell ref="A308:F308"/>
    <mergeCell ref="A310:F310"/>
    <mergeCell ref="A300:F300"/>
    <mergeCell ref="A301:F301"/>
    <mergeCell ref="A302:F302"/>
    <mergeCell ref="A298:F298"/>
    <mergeCell ref="A312:F312"/>
    <mergeCell ref="A176:F176"/>
    <mergeCell ref="A198:F198"/>
    <mergeCell ref="A199:F199"/>
    <mergeCell ref="A180:F180"/>
    <mergeCell ref="A181:F181"/>
    <mergeCell ref="A188:F188"/>
    <mergeCell ref="A197:F197"/>
    <mergeCell ref="A189:F189"/>
    <mergeCell ref="A190:F190"/>
    <mergeCell ref="A133:F133"/>
    <mergeCell ref="A134:F134"/>
    <mergeCell ref="A135:F135"/>
    <mergeCell ref="A136:F136"/>
    <mergeCell ref="A152:F152"/>
    <mergeCell ref="A196:F196"/>
    <mergeCell ref="A151:F151"/>
    <mergeCell ref="A153:F153"/>
    <mergeCell ref="A149:F149"/>
    <mergeCell ref="A178:F178"/>
    <mergeCell ref="A179:F179"/>
    <mergeCell ref="A187:F187"/>
    <mergeCell ref="A184:F184"/>
    <mergeCell ref="A185:F185"/>
    <mergeCell ref="A137:F137"/>
    <mergeCell ref="A138:F138"/>
    <mergeCell ref="A168:F168"/>
    <mergeCell ref="A195:F195"/>
    <mergeCell ref="A164:F164"/>
    <mergeCell ref="A165:F165"/>
    <mergeCell ref="A166:F166"/>
    <mergeCell ref="A148:F148"/>
    <mergeCell ref="A144:F144"/>
    <mergeCell ref="A145:F145"/>
    <mergeCell ref="A64:D64"/>
    <mergeCell ref="B110:D110"/>
    <mergeCell ref="A123:F123"/>
    <mergeCell ref="B108:D108"/>
    <mergeCell ref="B82:D82"/>
    <mergeCell ref="B83:D83"/>
    <mergeCell ref="B84:D84"/>
    <mergeCell ref="A131:F131"/>
    <mergeCell ref="A132:F132"/>
    <mergeCell ref="A343:F343"/>
    <mergeCell ref="A276:F276"/>
    <mergeCell ref="A277:F277"/>
    <mergeCell ref="A278:F278"/>
    <mergeCell ref="A279:F279"/>
    <mergeCell ref="A280:F280"/>
    <mergeCell ref="A313:F313"/>
    <mergeCell ref="A314:F314"/>
    <mergeCell ref="A315:F315"/>
    <mergeCell ref="A336:F336"/>
    <mergeCell ref="A337:F337"/>
    <mergeCell ref="A342:F342"/>
    <mergeCell ref="A327:F327"/>
    <mergeCell ref="A338:F338"/>
    <mergeCell ref="A339:F339"/>
    <mergeCell ref="A340:F340"/>
    <mergeCell ref="A324:F324"/>
    <mergeCell ref="A325:F325"/>
    <mergeCell ref="A326:F326"/>
    <mergeCell ref="A329:F329"/>
    <mergeCell ref="A330:F330"/>
    <mergeCell ref="A334:F334"/>
    <mergeCell ref="A309:F309"/>
    <mergeCell ref="A288:F288"/>
    <mergeCell ref="A231:F231"/>
    <mergeCell ref="A232:F232"/>
    <mergeCell ref="A233:F233"/>
    <mergeCell ref="A200:F200"/>
    <mergeCell ref="A202:F202"/>
    <mergeCell ref="A218:F218"/>
    <mergeCell ref="A219:F219"/>
    <mergeCell ref="A220:F220"/>
    <mergeCell ref="A224:F224"/>
    <mergeCell ref="A222:F222"/>
    <mergeCell ref="A210:F210"/>
    <mergeCell ref="A211:F211"/>
    <mergeCell ref="A209:F209"/>
    <mergeCell ref="A228:F228"/>
    <mergeCell ref="A221:F221"/>
    <mergeCell ref="A229:F229"/>
    <mergeCell ref="A230:F230"/>
    <mergeCell ref="A207:F207"/>
    <mergeCell ref="A208:F208"/>
    <mergeCell ref="A206:F206"/>
    <mergeCell ref="A205:F205"/>
    <mergeCell ref="A201:F201"/>
    <mergeCell ref="A223:F223"/>
    <mergeCell ref="F3:G3"/>
    <mergeCell ref="A345:F345"/>
    <mergeCell ref="A291:F291"/>
    <mergeCell ref="A292:F292"/>
    <mergeCell ref="A294:F294"/>
    <mergeCell ref="A295:F295"/>
    <mergeCell ref="A249:F249"/>
    <mergeCell ref="A335:F335"/>
    <mergeCell ref="A328:F328"/>
    <mergeCell ref="A261:F261"/>
    <mergeCell ref="A260:F260"/>
    <mergeCell ref="A262:F262"/>
    <mergeCell ref="A263:F263"/>
    <mergeCell ref="A264:F264"/>
    <mergeCell ref="A341:F341"/>
    <mergeCell ref="A65:D65"/>
    <mergeCell ref="A186:F186"/>
    <mergeCell ref="D98:E98"/>
    <mergeCell ref="A68:F68"/>
    <mergeCell ref="A156:F156"/>
    <mergeCell ref="A216:F216"/>
    <mergeCell ref="A217:F217"/>
    <mergeCell ref="A344:F344"/>
    <mergeCell ref="A12:B12"/>
    <mergeCell ref="A13:B13"/>
    <mergeCell ref="D12:E12"/>
    <mergeCell ref="D13:E13"/>
    <mergeCell ref="A14:B14"/>
    <mergeCell ref="A16:D16"/>
    <mergeCell ref="A17:D17"/>
    <mergeCell ref="A18:D18"/>
    <mergeCell ref="B3:C3"/>
    <mergeCell ref="C6:D6"/>
    <mergeCell ref="A8:B8"/>
    <mergeCell ref="A19:D19"/>
    <mergeCell ref="A20:D20"/>
    <mergeCell ref="A21:D21"/>
    <mergeCell ref="A22:D22"/>
    <mergeCell ref="A24:D24"/>
    <mergeCell ref="A23:D23"/>
    <mergeCell ref="A25:D25"/>
    <mergeCell ref="A26:D26"/>
    <mergeCell ref="B109:D109"/>
    <mergeCell ref="A100:F100"/>
    <mergeCell ref="A106:F106"/>
    <mergeCell ref="A27:D27"/>
    <mergeCell ref="A28:D28"/>
    <mergeCell ref="A52:C52"/>
    <mergeCell ref="A54:D54"/>
    <mergeCell ref="A55:D55"/>
    <mergeCell ref="A56:D56"/>
    <mergeCell ref="A57:D57"/>
    <mergeCell ref="A58:D58"/>
    <mergeCell ref="A59:D59"/>
    <mergeCell ref="A60:D60"/>
    <mergeCell ref="A61:D61"/>
    <mergeCell ref="A62:D62"/>
    <mergeCell ref="A63:D63"/>
    <mergeCell ref="S249:AA256"/>
    <mergeCell ref="S148:AA153"/>
    <mergeCell ref="S156:AA160"/>
    <mergeCell ref="S163:AA173"/>
    <mergeCell ref="S176:AA181"/>
    <mergeCell ref="S9:AA10"/>
    <mergeCell ref="S1:AA1"/>
    <mergeCell ref="S184:AA192"/>
    <mergeCell ref="S205:AA211"/>
    <mergeCell ref="S227:AA234"/>
    <mergeCell ref="S11:AA14"/>
    <mergeCell ref="S3:AA4"/>
    <mergeCell ref="T20:AA21"/>
    <mergeCell ref="S28:AA29"/>
    <mergeCell ref="S31:AA50"/>
    <mergeCell ref="S122:AA128"/>
    <mergeCell ref="S131:AA145"/>
    <mergeCell ref="S195:AA202"/>
    <mergeCell ref="S214:AA216"/>
  </mergeCells>
  <conditionalFormatting sqref="F98">
    <cfRule type="expression" dxfId="5" priority="21">
      <formula>$G$96=$N$9</formula>
    </cfRule>
  </conditionalFormatting>
  <conditionalFormatting sqref="F102:F103">
    <cfRule type="expression" dxfId="4" priority="20">
      <formula>$G$100=$N$8</formula>
    </cfRule>
  </conditionalFormatting>
  <conditionalFormatting sqref="B5:G5 F12 F13:G13 B10:D10 C12:C14 E31:F50 E16:G29">
    <cfRule type="containsErrors" dxfId="3" priority="18">
      <formula>ISERROR(B5)</formula>
    </cfRule>
  </conditionalFormatting>
  <conditionalFormatting sqref="F31:F50">
    <cfRule type="top10" dxfId="2" priority="6" rank="3"/>
  </conditionalFormatting>
  <conditionalFormatting sqref="G31:G50">
    <cfRule type="containsErrors" dxfId="1" priority="1">
      <formula>ISERROR(G31)</formula>
    </cfRule>
    <cfRule type="top10" dxfId="0" priority="2" rank="3"/>
  </conditionalFormatting>
  <dataValidations count="28">
    <dataValidation type="list" allowBlank="1" showInputMessage="1" showErrorMessage="1" sqref="G308:G309 G122:G128 G298:G306 G283:G287 G324:G331 G312:G321 G214:G224 G156:G160 G148:G153 G131:G145 G176:G181 G184:G192 G195:G202 G275:G280 G163:G173 G227 G229:G234 G237:G246 G249:G256 G259:G268 G271:G273 G209:G211 G205 G292:G295 G334:G342">
      <formula1>$N$8:$N$10</formula1>
    </dataValidation>
    <dataValidation type="list" allowBlank="1" showInputMessage="1" showErrorMessage="1" sqref="G307">
      <formula1>$R$7:$R$9</formula1>
    </dataValidation>
    <dataValidation type="list" allowBlank="1" showInputMessage="1" showErrorMessage="1" sqref="G228 G274">
      <formula1>$R$3:$R$5</formula1>
    </dataValidation>
    <dataValidation type="list" allowBlank="1" showInputMessage="1" showErrorMessage="1" sqref="G68:G69 G96 G100 G79:G80">
      <formula1>$N$8:$N$9</formula1>
    </dataValidation>
    <dataValidation type="list" allowBlank="1" showInputMessage="1" showErrorMessage="1" sqref="G70 G74:G75">
      <formula1>$P$2:$P$12</formula1>
    </dataValidation>
    <dataValidation type="whole" operator="greaterThanOrEqual" allowBlank="1" showErrorMessage="1" errorTitle="Not a number" error="Please input numbers only." sqref="E82:G84">
      <formula1>0</formula1>
    </dataValidation>
    <dataValidation type="whole" operator="greaterThanOrEqual" allowBlank="1" showInputMessage="1" showErrorMessage="1" errorTitle="Whole Numbers" error="Please enter only whole numbers." sqref="C87:C93 G87:G92">
      <formula1>0</formula1>
    </dataValidation>
    <dataValidation type="decimal" operator="greaterThanOrEqual" allowBlank="1" showInputMessage="1" showErrorMessage="1" errorTitle="Distance" error="Distance must be a positive number. Estimate in kilometres please." sqref="F98">
      <formula1>0</formula1>
    </dataValidation>
    <dataValidation type="whole" operator="greaterThanOrEqual" allowBlank="1" showInputMessage="1" showErrorMessage="1" errorTitle="Whole Numbers" error="Please enter a whole number." sqref="F102 F104">
      <formula1>0</formula1>
    </dataValidation>
    <dataValidation type="decimal" operator="greaterThanOrEqual" allowBlank="1" showInputMessage="1" showErrorMessage="1" errorTitle="Positive Number" error="Please enter a number." sqref="F103">
      <formula1>0</formula1>
    </dataValidation>
    <dataValidation type="whole" operator="greaterThanOrEqual" allowBlank="1" showInputMessage="1" showErrorMessage="1" errorTitle="Whole Number" error="Please enter a whole number only. Employers don't typically hire body parts or half people." sqref="F108:F117">
      <formula1>0</formula1>
    </dataValidation>
    <dataValidation type="decimal" operator="greaterThanOrEqual" allowBlank="1" showInputMessage="1" showErrorMessage="1" errorTitle="Distance" error="Please enter a positive number - in kilometres." sqref="G71">
      <formula1>0</formula1>
    </dataValidation>
    <dataValidation type="whole" operator="greaterThanOrEqual" allowBlank="1" showInputMessage="1" showErrorMessage="1" errorTitle="Whole Number" error="Please use whole numbers only." sqref="G73">
      <formula1>0</formula1>
    </dataValidation>
    <dataValidation type="whole" operator="greaterThanOrEqual" allowBlank="1" showInputMessage="1" showErrorMessage="1" errorTitle="Whole Numbers" error="Please use whole numbers only." sqref="G76">
      <formula1>0</formula1>
    </dataValidation>
    <dataValidation type="whole" operator="greaterThanOrEqual" allowBlank="1" showInputMessage="1" showErrorMessage="1" errorTitle="Whole number" error="Please enter a whole number." sqref="G108:G117">
      <formula1>0</formula1>
    </dataValidation>
    <dataValidation type="list" allowBlank="1" showInputMessage="1" showErrorMessage="1" sqref="E53">
      <formula1>$K$1:$K$18</formula1>
    </dataValidation>
    <dataValidation type="list" allowBlank="1" showInputMessage="1" showErrorMessage="1" sqref="F53">
      <formula1>$L$1:$L$18</formula1>
    </dataValidation>
    <dataValidation type="list" allowBlank="1" showInputMessage="1" showErrorMessage="1" sqref="C6:D6">
      <formula1>$N$4:$N$6</formula1>
    </dataValidation>
    <dataValidation type="whole" operator="greaterThanOrEqual" allowBlank="1" showErrorMessage="1" errorTitle="Population Number" error="Populations can only be a numerical count. Please enter only whole numbers." sqref="B11:D11">
      <formula1>0</formula1>
    </dataValidation>
    <dataValidation type="list" allowBlank="1" showInputMessage="1" showErrorMessage="1" sqref="B3:C3">
      <formula1>$A$347:$A$726</formula1>
    </dataValidation>
    <dataValidation type="list" allowBlank="1" showInputMessage="1" showErrorMessage="1" sqref="G206:G207">
      <formula1>$O$12:$O$15</formula1>
    </dataValidation>
    <dataValidation type="list" allowBlank="1" showInputMessage="1" showErrorMessage="1" sqref="G208">
      <formula1>$K$208:$K$210</formula1>
    </dataValidation>
    <dataValidation type="list" allowBlank="1" showInputMessage="1" showErrorMessage="1" sqref="G290">
      <formula1>$M$290:$M$292</formula1>
    </dataValidation>
    <dataValidation type="list" allowBlank="1" showInputMessage="1" showErrorMessage="1" sqref="G291">
      <formula1>$K$290:$K$293</formula1>
    </dataValidation>
    <dataValidation type="list" allowBlank="1" showInputMessage="1" showErrorMessage="1" sqref="G288">
      <formula1>$K$285:$K$289</formula1>
    </dataValidation>
    <dataValidation type="list" allowBlank="1" showInputMessage="1" showErrorMessage="1" sqref="G289">
      <formula1>$M$285:$M$288</formula1>
    </dataValidation>
    <dataValidation type="list" allowBlank="1" showInputMessage="1" showErrorMessage="1" sqref="G343">
      <formula1>$M$341:$M$343</formula1>
    </dataValidation>
    <dataValidation type="list" allowBlank="1" showInputMessage="1" showErrorMessage="1" sqref="G344">
      <formula1>$K$341:$K$345</formula1>
    </dataValidation>
  </dataValidations>
  <pageMargins left="0.70866141732283472" right="0.70866141732283472" top="0.74803149606299213" bottom="0.74803149606299213" header="0.31496062992125984" footer="0.31496062992125984"/>
  <pageSetup pageOrder="overThenDown" orientation="portrait" r:id="rId1"/>
  <headerFooter>
    <oddHeader>&amp;CCED Capacity Index</oddHeader>
    <oddFooter>&amp;CPage &amp;P of &amp;N</oddFooter>
  </headerFooter>
  <rowBreaks count="1" manualBreakCount="1">
    <brk id="119" max="26" man="1"/>
  </rowBreaks>
  <colBreaks count="1" manualBreakCount="1">
    <brk id="18" max="1048575" man="1"/>
  </colBreaks>
  <ignoredErrors>
    <ignoredError sqref="E58:F58" formulaRange="1"/>
    <ignoredError sqref="I228 I274 I307" formula="1"/>
  </ignoredErrors>
  <drawing r:id="rId2"/>
  <legacyDrawing r:id="rId3"/>
</worksheet>
</file>

<file path=xl/worksheets/sheet3.xml><?xml version="1.0" encoding="utf-8"?>
<worksheet xmlns="http://schemas.openxmlformats.org/spreadsheetml/2006/main" xmlns:r="http://schemas.openxmlformats.org/officeDocument/2006/relationships">
  <sheetPr codeName="Sheet2"/>
  <dimension ref="A1"/>
  <sheetViews>
    <sheetView showGridLines="0" workbookViewId="0">
      <selection activeCell="E38" sqref="E38"/>
    </sheetView>
  </sheetViews>
  <sheetFormatPr defaultRowHeight="15"/>
  <sheetData/>
  <customSheetViews>
    <customSheetView guid="{A056A992-68E5-4662-960B-7D9A27ACB891}" showGridLines="0"/>
  </customSheetViews>
  <pageMargins left="0.7" right="0.7" top="0.75" bottom="0.75" header="0.3" footer="0.3"/>
  <pageSetup orientation="landscape" r:id="rId1"/>
  <legacyDrawing r:id="rId2"/>
  <oleObjects>
    <oleObject progId="Visio.Drawing.11" shapeId="7172" r:id="rId3"/>
  </oleObjects>
</worksheet>
</file>

<file path=xl/worksheets/sheet4.xml><?xml version="1.0" encoding="utf-8"?>
<worksheet xmlns="http://schemas.openxmlformats.org/spreadsheetml/2006/main" xmlns:r="http://schemas.openxmlformats.org/officeDocument/2006/relationships">
  <sheetPr codeName="Sheet3"/>
  <dimension ref="A2:K32"/>
  <sheetViews>
    <sheetView showGridLines="0" workbookViewId="0"/>
  </sheetViews>
  <sheetFormatPr defaultRowHeight="15"/>
  <cols>
    <col min="1" max="1" width="14.140625" customWidth="1"/>
    <col min="2" max="2" width="26.5703125" customWidth="1"/>
    <col min="5" max="5" width="13.42578125" customWidth="1"/>
    <col min="6" max="6" width="9.140625" style="3"/>
    <col min="7" max="7" width="8.42578125" customWidth="1"/>
    <col min="8" max="8" width="2.42578125" hidden="1" customWidth="1"/>
    <col min="9" max="9" width="25.7109375" customWidth="1"/>
    <col min="10" max="10" width="13.5703125" customWidth="1"/>
  </cols>
  <sheetData>
    <row r="2" spans="1:11" ht="15.75" thickBot="1">
      <c r="D2" s="2" t="s">
        <v>17</v>
      </c>
      <c r="I2" s="3"/>
      <c r="J2" s="3"/>
      <c r="K2" s="22" t="s">
        <v>17</v>
      </c>
    </row>
    <row r="3" spans="1:11" ht="15" customHeight="1">
      <c r="A3" s="206" t="s">
        <v>14</v>
      </c>
      <c r="B3" s="69" t="s">
        <v>4</v>
      </c>
      <c r="C3" s="70">
        <f>Assessment!I182</f>
        <v>0</v>
      </c>
      <c r="D3" s="71">
        <f>C3/Assessment!J182</f>
        <v>0</v>
      </c>
      <c r="E3" s="209" t="str">
        <f>CONCATENATE(SUM(C3:C7)," out of a maximum score of 125.")</f>
        <v>0 out of a maximum score of 125.</v>
      </c>
      <c r="F3" s="3">
        <f>Assessment!J182</f>
        <v>30</v>
      </c>
      <c r="I3" s="3" t="str">
        <f>A3</f>
        <v>Leadership and Support</v>
      </c>
      <c r="J3" s="3">
        <f>SUM(C3:C7)</f>
        <v>0</v>
      </c>
      <c r="K3" s="23">
        <f>J3/125</f>
        <v>0</v>
      </c>
    </row>
    <row r="4" spans="1:11">
      <c r="A4" s="207"/>
      <c r="B4" s="66" t="s">
        <v>9</v>
      </c>
      <c r="C4" s="67">
        <f>Assessment!I193</f>
        <v>0</v>
      </c>
      <c r="D4" s="68">
        <f>C4/Assessment!J193</f>
        <v>0</v>
      </c>
      <c r="E4" s="210"/>
      <c r="F4" s="3">
        <f>Assessment!J193</f>
        <v>40</v>
      </c>
      <c r="I4" s="3" t="str">
        <f>A8</f>
        <v>Economic Champions</v>
      </c>
      <c r="J4" s="3">
        <f>SUM(C8:C12)</f>
        <v>0</v>
      </c>
      <c r="K4" s="23">
        <f>J4/125</f>
        <v>0</v>
      </c>
    </row>
    <row r="5" spans="1:11" ht="15" customHeight="1">
      <c r="A5" s="207"/>
      <c r="B5" s="66" t="s">
        <v>533</v>
      </c>
      <c r="C5" s="67">
        <f>Assessment!I203</f>
        <v>0</v>
      </c>
      <c r="D5" s="68">
        <f>C5/Assessment!J203</f>
        <v>0</v>
      </c>
      <c r="E5" s="210"/>
      <c r="F5" s="3">
        <f>Assessment!J203</f>
        <v>20</v>
      </c>
      <c r="I5" s="3" t="str">
        <f>A13</f>
        <v>Economic Assets</v>
      </c>
      <c r="J5" s="3">
        <f>SUM(C13:C17)</f>
        <v>0</v>
      </c>
      <c r="K5" s="23">
        <f>J5/125</f>
        <v>0</v>
      </c>
    </row>
    <row r="6" spans="1:11">
      <c r="A6" s="207"/>
      <c r="B6" s="66" t="s">
        <v>90</v>
      </c>
      <c r="C6" s="67">
        <f>Assessment!I212</f>
        <v>0</v>
      </c>
      <c r="D6" s="68">
        <f>C6/Assessment!J212</f>
        <v>0</v>
      </c>
      <c r="E6" s="210"/>
      <c r="F6" s="3">
        <f>Assessment!J212</f>
        <v>20</v>
      </c>
      <c r="I6" s="3" t="str">
        <f>A18</f>
        <v>Planning</v>
      </c>
      <c r="J6" s="3">
        <f>SUM(C18:C22)</f>
        <v>0</v>
      </c>
      <c r="K6" s="23">
        <f>J6/125</f>
        <v>0</v>
      </c>
    </row>
    <row r="7" spans="1:11" ht="15.75" thickBot="1">
      <c r="A7" s="208"/>
      <c r="B7" s="72" t="s">
        <v>12</v>
      </c>
      <c r="C7" s="73">
        <f>Assessment!I225</f>
        <v>0</v>
      </c>
      <c r="D7" s="74">
        <f>C7/Assessment!J225</f>
        <v>0</v>
      </c>
      <c r="E7" s="211"/>
      <c r="F7" s="3">
        <f>Assessment!J225</f>
        <v>15</v>
      </c>
    </row>
    <row r="8" spans="1:11" ht="30" customHeight="1">
      <c r="A8" s="206" t="s">
        <v>13</v>
      </c>
      <c r="B8" s="69" t="s">
        <v>5</v>
      </c>
      <c r="C8" s="70">
        <f>Assessment!I235</f>
        <v>0</v>
      </c>
      <c r="D8" s="71">
        <f>C8/Assessment!J235</f>
        <v>0</v>
      </c>
      <c r="E8" s="209" t="str">
        <f>CONCATENATE(SUM(C8:C12)," out of a maximum score of 125.")</f>
        <v>0 out of a maximum score of 125.</v>
      </c>
      <c r="F8" s="3">
        <f>Assessment!J235</f>
        <v>20</v>
      </c>
    </row>
    <row r="9" spans="1:11" ht="15" customHeight="1">
      <c r="A9" s="207"/>
      <c r="B9" s="66" t="s">
        <v>11</v>
      </c>
      <c r="C9" s="67">
        <f>Assessment!I247</f>
        <v>0</v>
      </c>
      <c r="D9" s="68">
        <f>C9/Assessment!J247</f>
        <v>0</v>
      </c>
      <c r="E9" s="210"/>
      <c r="F9" s="3">
        <f>Assessment!J247</f>
        <v>15</v>
      </c>
    </row>
    <row r="10" spans="1:11" ht="30">
      <c r="A10" s="207"/>
      <c r="B10" s="66" t="s">
        <v>91</v>
      </c>
      <c r="C10" s="67">
        <f>Assessment!I257</f>
        <v>0</v>
      </c>
      <c r="D10" s="68">
        <f>C10/Assessment!J257</f>
        <v>0</v>
      </c>
      <c r="E10" s="210"/>
      <c r="F10" s="3">
        <f>Assessment!J257</f>
        <v>20</v>
      </c>
    </row>
    <row r="11" spans="1:11" ht="30" customHeight="1">
      <c r="A11" s="207"/>
      <c r="B11" s="66" t="s">
        <v>8</v>
      </c>
      <c r="C11" s="67">
        <f>Assessment!I269</f>
        <v>0</v>
      </c>
      <c r="D11" s="68">
        <f>C11/Assessment!J269</f>
        <v>0</v>
      </c>
      <c r="E11" s="210"/>
      <c r="F11" s="3">
        <f>Assessment!J269</f>
        <v>25</v>
      </c>
    </row>
    <row r="12" spans="1:11" ht="15.75" thickBot="1">
      <c r="A12" s="208"/>
      <c r="B12" s="72" t="s">
        <v>10</v>
      </c>
      <c r="C12" s="73">
        <f>Assessment!I281</f>
        <v>0</v>
      </c>
      <c r="D12" s="74">
        <f>C12/Assessment!J281</f>
        <v>0</v>
      </c>
      <c r="E12" s="211"/>
      <c r="F12" s="3">
        <f>Assessment!J281</f>
        <v>45</v>
      </c>
    </row>
    <row r="13" spans="1:11" ht="15" customHeight="1">
      <c r="A13" s="206" t="s">
        <v>6</v>
      </c>
      <c r="B13" s="69" t="s">
        <v>527</v>
      </c>
      <c r="C13" s="70">
        <f>Assessment!I296</f>
        <v>0</v>
      </c>
      <c r="D13" s="71">
        <f>C13/Assessment!J296</f>
        <v>0</v>
      </c>
      <c r="E13" s="209" t="str">
        <f>CONCATENATE(SUM(C13:C17)," out of a maximum score of 125.")</f>
        <v>0 out of a maximum score of 125.</v>
      </c>
      <c r="F13" s="3">
        <f>Assessment!J296</f>
        <v>40</v>
      </c>
    </row>
    <row r="14" spans="1:11" ht="15" customHeight="1">
      <c r="A14" s="207"/>
      <c r="B14" s="66" t="s">
        <v>92</v>
      </c>
      <c r="C14" s="67">
        <f>Assessment!I310</f>
        <v>0</v>
      </c>
      <c r="D14" s="68">
        <f>C14/Assessment!J310</f>
        <v>0</v>
      </c>
      <c r="E14" s="210"/>
      <c r="F14" s="3">
        <f>Assessment!J310</f>
        <v>30</v>
      </c>
    </row>
    <row r="15" spans="1:11" ht="15" customHeight="1">
      <c r="A15" s="207"/>
      <c r="B15" s="66" t="s">
        <v>93</v>
      </c>
      <c r="C15" s="67">
        <f>Assessment!I322</f>
        <v>0</v>
      </c>
      <c r="D15" s="68">
        <f>C15/Assessment!J322</f>
        <v>0</v>
      </c>
      <c r="E15" s="210"/>
      <c r="F15" s="3">
        <f>Assessment!J322</f>
        <v>20</v>
      </c>
    </row>
    <row r="16" spans="1:11">
      <c r="A16" s="207"/>
      <c r="B16" s="66" t="s">
        <v>7</v>
      </c>
      <c r="C16" s="67">
        <f>Assessment!I332</f>
        <v>0</v>
      </c>
      <c r="D16" s="68">
        <f>C16/Assessment!J332</f>
        <v>0</v>
      </c>
      <c r="E16" s="210"/>
      <c r="F16" s="3">
        <f>Assessment!J332</f>
        <v>15</v>
      </c>
    </row>
    <row r="17" spans="1:8" ht="15.75" thickBot="1">
      <c r="A17" s="208"/>
      <c r="B17" s="72" t="s">
        <v>94</v>
      </c>
      <c r="C17" s="73">
        <f>Assessment!I346</f>
        <v>0</v>
      </c>
      <c r="D17" s="74">
        <f>C17/Assessment!J346</f>
        <v>0</v>
      </c>
      <c r="E17" s="211"/>
      <c r="F17" s="3">
        <f>Assessment!J346</f>
        <v>20</v>
      </c>
    </row>
    <row r="18" spans="1:8">
      <c r="A18" s="206" t="s">
        <v>0</v>
      </c>
      <c r="B18" s="69" t="s">
        <v>1</v>
      </c>
      <c r="C18" s="70">
        <f>Assessment!I129</f>
        <v>0</v>
      </c>
      <c r="D18" s="71">
        <f>C18/Assessment!J129</f>
        <v>0</v>
      </c>
      <c r="E18" s="209" t="str">
        <f>CONCATENATE(SUM(C18:C22)," out of a maximum score of 125.")</f>
        <v>0 out of a maximum score of 125.</v>
      </c>
      <c r="F18" s="3">
        <f>Assessment!J129</f>
        <v>45</v>
      </c>
    </row>
    <row r="19" spans="1:8" ht="15" customHeight="1">
      <c r="A19" s="207"/>
      <c r="B19" s="66" t="s">
        <v>2</v>
      </c>
      <c r="C19" s="67">
        <f>Assessment!I146</f>
        <v>0</v>
      </c>
      <c r="D19" s="68">
        <f>C19/Assessment!J146</f>
        <v>0</v>
      </c>
      <c r="E19" s="210"/>
      <c r="F19" s="3">
        <f>Assessment!J146</f>
        <v>25</v>
      </c>
    </row>
    <row r="20" spans="1:8" ht="30">
      <c r="A20" s="207"/>
      <c r="B20" s="66" t="s">
        <v>3</v>
      </c>
      <c r="C20" s="67">
        <f>Assessment!I154</f>
        <v>0</v>
      </c>
      <c r="D20" s="68">
        <f>C20/Assessment!J154</f>
        <v>0</v>
      </c>
      <c r="E20" s="210"/>
      <c r="F20" s="3">
        <f>Assessment!J154</f>
        <v>20</v>
      </c>
    </row>
    <row r="21" spans="1:8" ht="15" customHeight="1">
      <c r="A21" s="207"/>
      <c r="B21" s="66" t="s">
        <v>95</v>
      </c>
      <c r="C21" s="67">
        <f>Assessment!I161</f>
        <v>0</v>
      </c>
      <c r="D21" s="68">
        <f>C21/Assessment!J161</f>
        <v>0</v>
      </c>
      <c r="E21" s="210"/>
      <c r="F21" s="3">
        <f>Assessment!J161</f>
        <v>15</v>
      </c>
    </row>
    <row r="22" spans="1:8" ht="15" customHeight="1" thickBot="1">
      <c r="A22" s="208"/>
      <c r="B22" s="72" t="s">
        <v>96</v>
      </c>
      <c r="C22" s="73">
        <f>Assessment!I174</f>
        <v>0</v>
      </c>
      <c r="D22" s="74">
        <f>C22/Assessment!J174</f>
        <v>0</v>
      </c>
      <c r="E22" s="211"/>
      <c r="F22" s="3">
        <f>Assessment!J174</f>
        <v>20</v>
      </c>
    </row>
    <row r="23" spans="1:8">
      <c r="B23" s="1"/>
    </row>
    <row r="24" spans="1:8">
      <c r="A24" s="75" t="s">
        <v>15</v>
      </c>
      <c r="B24" s="76">
        <f>SUM(C3:C22)</f>
        <v>0</v>
      </c>
    </row>
    <row r="25" spans="1:8">
      <c r="A25" s="144"/>
      <c r="B25" s="145"/>
    </row>
    <row r="26" spans="1:8">
      <c r="A26" t="s">
        <v>827</v>
      </c>
    </row>
    <row r="27" spans="1:8">
      <c r="A27" s="111">
        <v>500</v>
      </c>
      <c r="B27" s="212" t="s">
        <v>828</v>
      </c>
      <c r="C27" s="212"/>
      <c r="D27" s="212"/>
      <c r="E27" s="125"/>
      <c r="F27" s="125"/>
      <c r="G27" s="125"/>
      <c r="H27" s="146"/>
    </row>
    <row r="28" spans="1:8" ht="15" customHeight="1">
      <c r="A28" s="111">
        <v>400</v>
      </c>
      <c r="B28" s="213" t="s">
        <v>830</v>
      </c>
      <c r="C28" s="213"/>
      <c r="D28" s="213"/>
      <c r="E28" s="149"/>
      <c r="F28" s="149"/>
      <c r="G28" s="149"/>
      <c r="H28" s="147"/>
    </row>
    <row r="29" spans="1:8">
      <c r="A29" s="111">
        <v>300</v>
      </c>
      <c r="B29" s="213"/>
      <c r="C29" s="213"/>
      <c r="D29" s="213"/>
      <c r="E29" s="149"/>
      <c r="F29" s="149"/>
      <c r="G29" s="149"/>
      <c r="H29" s="148"/>
    </row>
    <row r="30" spans="1:8">
      <c r="A30" s="111">
        <v>200</v>
      </c>
      <c r="B30" s="98"/>
      <c r="C30" s="98"/>
      <c r="D30" s="150" t="s">
        <v>829</v>
      </c>
      <c r="E30" s="125"/>
      <c r="F30" s="125"/>
      <c r="G30" s="125"/>
      <c r="H30" s="146"/>
    </row>
    <row r="31" spans="1:8" ht="15" customHeight="1">
      <c r="A31" s="111">
        <v>100</v>
      </c>
      <c r="B31" s="213" t="s">
        <v>938</v>
      </c>
      <c r="C31" s="213"/>
      <c r="D31" s="213"/>
      <c r="E31" s="149"/>
      <c r="F31" s="149"/>
      <c r="G31" s="149"/>
      <c r="H31" s="147"/>
    </row>
    <row r="32" spans="1:8">
      <c r="A32" s="111">
        <v>0</v>
      </c>
      <c r="B32" s="213"/>
      <c r="C32" s="213"/>
      <c r="D32" s="213"/>
      <c r="E32" s="149"/>
      <c r="F32" s="149"/>
      <c r="G32" s="149"/>
      <c r="H32" s="148"/>
    </row>
  </sheetData>
  <customSheetViews>
    <customSheetView guid="{A056A992-68E5-4662-960B-7D9A27ACB891}" showGridLines="0">
      <selection activeCell="A2" sqref="A2"/>
    </customSheetView>
  </customSheetViews>
  <mergeCells count="11">
    <mergeCell ref="A18:A22"/>
    <mergeCell ref="E18:E22"/>
    <mergeCell ref="B27:D27"/>
    <mergeCell ref="B28:D29"/>
    <mergeCell ref="B31:D32"/>
    <mergeCell ref="A3:A7"/>
    <mergeCell ref="E3:E7"/>
    <mergeCell ref="A8:A12"/>
    <mergeCell ref="E8:E12"/>
    <mergeCell ref="A13:A17"/>
    <mergeCell ref="E13:E17"/>
  </mergeCells>
  <conditionalFormatting sqref="A27:A32 B24:B25">
    <cfRule type="colorScale" priority="2">
      <colorScale>
        <cfvo type="num" val="0"/>
        <cfvo type="num" val="250"/>
        <cfvo type="num" val="500"/>
        <color rgb="FFF8696B"/>
        <color rgb="FFFFEB84"/>
        <color rgb="FF63BE7B"/>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codeName="Sheet5"/>
  <dimension ref="A1:M390"/>
  <sheetViews>
    <sheetView topLeftCell="A118" zoomScaleNormal="100" workbookViewId="0">
      <selection activeCell="C41" sqref="C41"/>
    </sheetView>
  </sheetViews>
  <sheetFormatPr defaultRowHeight="15"/>
  <cols>
    <col min="1" max="1" width="30.85546875" customWidth="1"/>
    <col min="2" max="3" width="17.85546875" customWidth="1"/>
    <col min="4" max="4" width="17.28515625" style="58" customWidth="1"/>
    <col min="5" max="6" width="17.85546875" customWidth="1"/>
    <col min="7" max="7" width="14.28515625" customWidth="1"/>
    <col min="8" max="11" width="10.7109375" customWidth="1"/>
  </cols>
  <sheetData>
    <row r="1" spans="1:10">
      <c r="A1" s="53" t="s">
        <v>20</v>
      </c>
      <c r="B1" s="53" t="s">
        <v>794</v>
      </c>
      <c r="C1" s="53" t="s">
        <v>189</v>
      </c>
      <c r="D1" s="57" t="s">
        <v>190</v>
      </c>
      <c r="E1" s="53" t="s">
        <v>564</v>
      </c>
      <c r="F1" s="53" t="s">
        <v>191</v>
      </c>
      <c r="G1" s="53" t="s">
        <v>791</v>
      </c>
      <c r="H1" s="56"/>
      <c r="I1" s="56"/>
      <c r="J1" s="56"/>
    </row>
    <row r="2" spans="1:10">
      <c r="A2" t="s">
        <v>192</v>
      </c>
      <c r="B2" t="s">
        <v>570</v>
      </c>
      <c r="C2" t="s">
        <v>557</v>
      </c>
      <c r="D2" s="58" t="s">
        <v>573</v>
      </c>
      <c r="E2" s="58" t="s">
        <v>570</v>
      </c>
      <c r="F2" t="s">
        <v>541</v>
      </c>
      <c r="G2" t="s">
        <v>487</v>
      </c>
    </row>
    <row r="3" spans="1:10">
      <c r="A3" t="s">
        <v>280</v>
      </c>
      <c r="B3" t="s">
        <v>572</v>
      </c>
      <c r="C3" t="s">
        <v>558</v>
      </c>
      <c r="D3" s="58" t="s">
        <v>572</v>
      </c>
      <c r="E3" s="58" t="s">
        <v>565</v>
      </c>
      <c r="F3" t="s">
        <v>542</v>
      </c>
      <c r="G3" t="s">
        <v>487</v>
      </c>
    </row>
    <row r="4" spans="1:10">
      <c r="A4" t="s">
        <v>281</v>
      </c>
      <c r="B4" t="s">
        <v>572</v>
      </c>
      <c r="C4" t="s">
        <v>558</v>
      </c>
      <c r="D4" s="58" t="s">
        <v>572</v>
      </c>
      <c r="E4" s="58" t="s">
        <v>565</v>
      </c>
      <c r="F4" t="s">
        <v>542</v>
      </c>
      <c r="G4" t="s">
        <v>487</v>
      </c>
    </row>
    <row r="5" spans="1:10">
      <c r="A5" t="s">
        <v>282</v>
      </c>
      <c r="B5" t="str">
        <f>VLOOKUP(C5,$L$368:$M$372,2,0)</f>
        <v>Parkland</v>
      </c>
      <c r="C5" t="s">
        <v>548</v>
      </c>
      <c r="D5" s="58" t="s">
        <v>548</v>
      </c>
      <c r="E5" s="58" t="s">
        <v>577</v>
      </c>
      <c r="F5" t="s">
        <v>542</v>
      </c>
      <c r="G5" t="s">
        <v>487</v>
      </c>
    </row>
    <row r="6" spans="1:10">
      <c r="A6" t="s">
        <v>283</v>
      </c>
      <c r="B6" t="s">
        <v>572</v>
      </c>
      <c r="C6" t="s">
        <v>552</v>
      </c>
      <c r="D6" s="58" t="s">
        <v>563</v>
      </c>
      <c r="E6" s="58" t="s">
        <v>581</v>
      </c>
      <c r="F6" t="s">
        <v>545</v>
      </c>
      <c r="G6" t="s">
        <v>487</v>
      </c>
    </row>
    <row r="7" spans="1:10">
      <c r="A7" t="s">
        <v>284</v>
      </c>
      <c r="B7" t="s">
        <v>572</v>
      </c>
      <c r="C7" t="s">
        <v>558</v>
      </c>
      <c r="D7" s="58" t="s">
        <v>572</v>
      </c>
      <c r="E7" s="58" t="s">
        <v>548</v>
      </c>
      <c r="F7" t="s">
        <v>542</v>
      </c>
      <c r="G7" t="s">
        <v>487</v>
      </c>
    </row>
    <row r="8" spans="1:10">
      <c r="A8" t="s">
        <v>285</v>
      </c>
      <c r="B8" t="s">
        <v>570</v>
      </c>
      <c r="C8" t="s">
        <v>557</v>
      </c>
      <c r="D8" s="58" t="s">
        <v>573</v>
      </c>
      <c r="E8" s="58" t="s">
        <v>571</v>
      </c>
      <c r="F8" t="s">
        <v>545</v>
      </c>
      <c r="G8" t="s">
        <v>487</v>
      </c>
    </row>
    <row r="9" spans="1:10">
      <c r="A9" t="s">
        <v>286</v>
      </c>
      <c r="B9" t="str">
        <f>VLOOKUP(C9,$L$368:$M$372,2,0)</f>
        <v>Interlake</v>
      </c>
      <c r="C9" t="s">
        <v>497</v>
      </c>
      <c r="D9" s="58" t="s">
        <v>497</v>
      </c>
      <c r="E9" s="58" t="s">
        <v>578</v>
      </c>
      <c r="F9" t="s">
        <v>542</v>
      </c>
      <c r="G9" t="s">
        <v>487</v>
      </c>
    </row>
    <row r="10" spans="1:10">
      <c r="A10" t="s">
        <v>668</v>
      </c>
      <c r="B10" t="s">
        <v>572</v>
      </c>
      <c r="C10" t="s">
        <v>558</v>
      </c>
      <c r="D10" s="58" t="s">
        <v>572</v>
      </c>
      <c r="E10" s="58" t="s">
        <v>565</v>
      </c>
      <c r="F10" s="58" t="s">
        <v>542</v>
      </c>
      <c r="G10" s="58" t="s">
        <v>487</v>
      </c>
    </row>
    <row r="11" spans="1:10">
      <c r="A11" t="s">
        <v>287</v>
      </c>
      <c r="B11" t="str">
        <f>VLOOKUP(C11,$L$368:$M$372,2,0)</f>
        <v>Interlake</v>
      </c>
      <c r="C11" t="s">
        <v>497</v>
      </c>
      <c r="D11" s="58" t="s">
        <v>497</v>
      </c>
      <c r="E11" s="58" t="s">
        <v>578</v>
      </c>
      <c r="F11" t="s">
        <v>545</v>
      </c>
      <c r="G11" t="s">
        <v>487</v>
      </c>
    </row>
    <row r="12" spans="1:10">
      <c r="A12" t="s">
        <v>687</v>
      </c>
      <c r="B12" t="str">
        <f>VLOOKUP(C12,$L$368:$M$372,2,0)</f>
        <v>Interlake</v>
      </c>
      <c r="C12" t="s">
        <v>497</v>
      </c>
      <c r="D12" s="58" t="s">
        <v>497</v>
      </c>
      <c r="E12" s="58" t="s">
        <v>578</v>
      </c>
      <c r="F12" s="58" t="s">
        <v>545</v>
      </c>
      <c r="G12" s="58" t="s">
        <v>487</v>
      </c>
    </row>
    <row r="13" spans="1:10">
      <c r="A13" t="s">
        <v>623</v>
      </c>
      <c r="B13" t="s">
        <v>572</v>
      </c>
      <c r="C13" t="s">
        <v>558</v>
      </c>
      <c r="D13" s="58" t="s">
        <v>572</v>
      </c>
      <c r="E13" s="58" t="s">
        <v>565</v>
      </c>
      <c r="F13" s="58" t="s">
        <v>542</v>
      </c>
      <c r="G13" s="58" t="s">
        <v>487</v>
      </c>
    </row>
    <row r="14" spans="1:10">
      <c r="A14" t="s">
        <v>288</v>
      </c>
      <c r="B14" t="str">
        <f>VLOOKUP(C14,$L$368:$M$372,2,0)</f>
        <v>Interlake</v>
      </c>
      <c r="C14" t="s">
        <v>497</v>
      </c>
      <c r="D14" s="58" t="s">
        <v>497</v>
      </c>
      <c r="E14" s="58" t="s">
        <v>579</v>
      </c>
      <c r="F14" t="s">
        <v>542</v>
      </c>
      <c r="G14" t="s">
        <v>487</v>
      </c>
    </row>
    <row r="15" spans="1:10">
      <c r="A15" t="s">
        <v>289</v>
      </c>
      <c r="B15" t="str">
        <f>VLOOKUP(C15,$L$368:$M$372,2,0)</f>
        <v>Parkland</v>
      </c>
      <c r="C15" t="s">
        <v>548</v>
      </c>
      <c r="D15" s="58" t="s">
        <v>548</v>
      </c>
      <c r="E15" s="58" t="s">
        <v>548</v>
      </c>
      <c r="F15" t="s">
        <v>542</v>
      </c>
      <c r="G15" t="s">
        <v>487</v>
      </c>
    </row>
    <row r="16" spans="1:10">
      <c r="A16" t="s">
        <v>788</v>
      </c>
      <c r="B16" t="s">
        <v>572</v>
      </c>
      <c r="C16" t="s">
        <v>552</v>
      </c>
      <c r="D16" s="58" t="s">
        <v>563</v>
      </c>
      <c r="E16" s="58" t="s">
        <v>577</v>
      </c>
      <c r="F16" t="s">
        <v>545</v>
      </c>
      <c r="G16" t="s">
        <v>487</v>
      </c>
    </row>
    <row r="17" spans="1:7">
      <c r="A17" t="s">
        <v>193</v>
      </c>
      <c r="B17" t="str">
        <f>VLOOKUP(C17,$L$368:$M$372,2,0)</f>
        <v>Parkland</v>
      </c>
      <c r="C17" t="s">
        <v>548</v>
      </c>
      <c r="D17" s="58" t="s">
        <v>548</v>
      </c>
      <c r="E17" s="58" t="s">
        <v>569</v>
      </c>
      <c r="F17" t="s">
        <v>547</v>
      </c>
      <c r="G17" t="s">
        <v>487</v>
      </c>
    </row>
    <row r="18" spans="1:7">
      <c r="A18" t="s">
        <v>291</v>
      </c>
      <c r="B18" t="s">
        <v>570</v>
      </c>
      <c r="C18" t="s">
        <v>559</v>
      </c>
      <c r="D18" s="58" t="s">
        <v>573</v>
      </c>
      <c r="E18" s="58" t="s">
        <v>581</v>
      </c>
      <c r="F18" t="s">
        <v>545</v>
      </c>
      <c r="G18" t="s">
        <v>487</v>
      </c>
    </row>
    <row r="19" spans="1:7">
      <c r="A19" t="s">
        <v>292</v>
      </c>
      <c r="B19" t="str">
        <f>VLOOKUP(C19,$L$368:$M$372,2,0)</f>
        <v>The Pas</v>
      </c>
      <c r="C19" t="s">
        <v>493</v>
      </c>
      <c r="D19" s="58" t="s">
        <v>574</v>
      </c>
      <c r="E19" s="58" t="s">
        <v>568</v>
      </c>
      <c r="F19" t="s">
        <v>541</v>
      </c>
      <c r="G19" t="s">
        <v>487</v>
      </c>
    </row>
    <row r="20" spans="1:7">
      <c r="A20" t="s">
        <v>293</v>
      </c>
      <c r="B20" t="s">
        <v>572</v>
      </c>
      <c r="C20" t="s">
        <v>558</v>
      </c>
      <c r="D20" s="58" t="s">
        <v>572</v>
      </c>
      <c r="E20" s="58" t="s">
        <v>565</v>
      </c>
      <c r="F20" t="s">
        <v>545</v>
      </c>
      <c r="G20" t="s">
        <v>487</v>
      </c>
    </row>
    <row r="21" spans="1:7">
      <c r="A21" t="s">
        <v>194</v>
      </c>
      <c r="B21" t="str">
        <f>VLOOKUP(C21,$L$368:$M$372,2,0)</f>
        <v>Thompson</v>
      </c>
      <c r="C21" t="s">
        <v>488</v>
      </c>
      <c r="D21" s="58" t="s">
        <v>574</v>
      </c>
      <c r="E21" s="58" t="s">
        <v>567</v>
      </c>
      <c r="F21" t="s">
        <v>540</v>
      </c>
      <c r="G21" t="s">
        <v>586</v>
      </c>
    </row>
    <row r="22" spans="1:7">
      <c r="A22" t="s">
        <v>195</v>
      </c>
      <c r="B22" t="str">
        <f>VLOOKUP(C22,$L$368:$M$372,2,0)</f>
        <v>Parkland</v>
      </c>
      <c r="C22" t="s">
        <v>548</v>
      </c>
      <c r="D22" s="58" t="s">
        <v>548</v>
      </c>
      <c r="E22" s="58" t="s">
        <v>569</v>
      </c>
      <c r="F22" t="s">
        <v>547</v>
      </c>
      <c r="G22" t="s">
        <v>487</v>
      </c>
    </row>
    <row r="23" spans="1:7">
      <c r="A23" t="s">
        <v>294</v>
      </c>
      <c r="B23" t="s">
        <v>570</v>
      </c>
      <c r="C23" t="s">
        <v>557</v>
      </c>
      <c r="D23" s="58" t="s">
        <v>573</v>
      </c>
      <c r="E23" s="58" t="s">
        <v>571</v>
      </c>
      <c r="F23" t="s">
        <v>545</v>
      </c>
      <c r="G23" t="s">
        <v>487</v>
      </c>
    </row>
    <row r="24" spans="1:7">
      <c r="A24" t="s">
        <v>295</v>
      </c>
      <c r="B24" t="str">
        <f>VLOOKUP(C24,$L$368:$M$372,2,0)</f>
        <v>Parkland</v>
      </c>
      <c r="C24" t="s">
        <v>548</v>
      </c>
      <c r="D24" s="58" t="s">
        <v>548</v>
      </c>
      <c r="E24" s="58" t="s">
        <v>548</v>
      </c>
      <c r="F24" t="s">
        <v>547</v>
      </c>
      <c r="G24" t="s">
        <v>487</v>
      </c>
    </row>
    <row r="25" spans="1:7">
      <c r="A25" t="s">
        <v>196</v>
      </c>
      <c r="B25" t="s">
        <v>570</v>
      </c>
      <c r="C25" t="s">
        <v>557</v>
      </c>
      <c r="D25" s="58" t="s">
        <v>573</v>
      </c>
      <c r="E25" s="58" t="s">
        <v>570</v>
      </c>
      <c r="F25" t="s">
        <v>541</v>
      </c>
      <c r="G25" t="s">
        <v>487</v>
      </c>
    </row>
    <row r="26" spans="1:7">
      <c r="A26" t="s">
        <v>197</v>
      </c>
      <c r="B26" t="s">
        <v>570</v>
      </c>
      <c r="C26" t="s">
        <v>557</v>
      </c>
      <c r="D26" s="58" t="s">
        <v>573</v>
      </c>
      <c r="E26" s="58" t="s">
        <v>570</v>
      </c>
      <c r="F26" t="s">
        <v>541</v>
      </c>
      <c r="G26" t="s">
        <v>589</v>
      </c>
    </row>
    <row r="27" spans="1:7">
      <c r="A27" t="s">
        <v>692</v>
      </c>
      <c r="B27" t="str">
        <f>VLOOKUP(C27,$L$368:$M$372,2,0)</f>
        <v>Interlake</v>
      </c>
      <c r="C27" t="s">
        <v>497</v>
      </c>
      <c r="D27" s="58" t="s">
        <v>497</v>
      </c>
      <c r="E27" s="58" t="s">
        <v>578</v>
      </c>
      <c r="F27" s="58" t="s">
        <v>542</v>
      </c>
      <c r="G27" s="58" t="s">
        <v>487</v>
      </c>
    </row>
    <row r="28" spans="1:7">
      <c r="A28" t="s">
        <v>296</v>
      </c>
      <c r="B28" t="s">
        <v>572</v>
      </c>
      <c r="C28" t="s">
        <v>558</v>
      </c>
      <c r="D28" s="58" t="s">
        <v>572</v>
      </c>
      <c r="E28" s="58" t="s">
        <v>548</v>
      </c>
      <c r="F28" t="s">
        <v>542</v>
      </c>
      <c r="G28" t="s">
        <v>487</v>
      </c>
    </row>
    <row r="29" spans="1:7">
      <c r="A29" t="s">
        <v>297</v>
      </c>
      <c r="B29" t="str">
        <f>VLOOKUP(C29,$L$368:$M$372,2,0)</f>
        <v>Parkland</v>
      </c>
      <c r="C29" t="s">
        <v>548</v>
      </c>
      <c r="D29" s="58" t="s">
        <v>548</v>
      </c>
      <c r="E29" s="58" t="s">
        <v>569</v>
      </c>
      <c r="F29" t="s">
        <v>547</v>
      </c>
      <c r="G29" t="s">
        <v>487</v>
      </c>
    </row>
    <row r="30" spans="1:7">
      <c r="A30" t="s">
        <v>491</v>
      </c>
      <c r="B30" t="str">
        <f>VLOOKUP(C30,$L$368:$M$372,2,0)</f>
        <v>Thompson</v>
      </c>
      <c r="C30" t="s">
        <v>488</v>
      </c>
      <c r="D30" s="58" t="s">
        <v>574</v>
      </c>
      <c r="E30" s="58" t="s">
        <v>485</v>
      </c>
      <c r="F30" t="s">
        <v>541</v>
      </c>
      <c r="G30" t="s">
        <v>487</v>
      </c>
    </row>
    <row r="31" spans="1:7">
      <c r="A31" t="s">
        <v>298</v>
      </c>
      <c r="B31" t="s">
        <v>570</v>
      </c>
      <c r="C31" t="s">
        <v>557</v>
      </c>
      <c r="D31" s="58" t="s">
        <v>573</v>
      </c>
      <c r="E31" s="58" t="s">
        <v>580</v>
      </c>
      <c r="F31" t="s">
        <v>545</v>
      </c>
      <c r="G31" t="s">
        <v>487</v>
      </c>
    </row>
    <row r="32" spans="1:7">
      <c r="A32" t="s">
        <v>198</v>
      </c>
      <c r="B32" t="s">
        <v>572</v>
      </c>
      <c r="C32" t="s">
        <v>558</v>
      </c>
      <c r="D32" s="58" t="s">
        <v>572</v>
      </c>
      <c r="E32" s="58" t="s">
        <v>565</v>
      </c>
      <c r="F32" t="s">
        <v>542</v>
      </c>
      <c r="G32" t="s">
        <v>584</v>
      </c>
    </row>
    <row r="33" spans="1:7">
      <c r="A33" t="s">
        <v>299</v>
      </c>
      <c r="B33" t="s">
        <v>572</v>
      </c>
      <c r="C33" t="s">
        <v>558</v>
      </c>
      <c r="D33" s="58" t="s">
        <v>572</v>
      </c>
      <c r="E33" s="58" t="s">
        <v>565</v>
      </c>
      <c r="F33" t="s">
        <v>542</v>
      </c>
      <c r="G33" t="s">
        <v>487</v>
      </c>
    </row>
    <row r="34" spans="1:7">
      <c r="A34" t="s">
        <v>199</v>
      </c>
      <c r="B34" t="s">
        <v>570</v>
      </c>
      <c r="C34" t="s">
        <v>557</v>
      </c>
      <c r="D34" s="58" t="s">
        <v>573</v>
      </c>
      <c r="E34" s="58" t="s">
        <v>571</v>
      </c>
      <c r="F34" t="s">
        <v>541</v>
      </c>
      <c r="G34" t="s">
        <v>487</v>
      </c>
    </row>
    <row r="35" spans="1:7">
      <c r="A35" t="s">
        <v>544</v>
      </c>
      <c r="B35" t="s">
        <v>570</v>
      </c>
      <c r="C35" t="s">
        <v>557</v>
      </c>
      <c r="D35" s="58" t="s">
        <v>573</v>
      </c>
      <c r="E35" s="58" t="s">
        <v>571</v>
      </c>
      <c r="F35" t="s">
        <v>541</v>
      </c>
      <c r="G35" t="s">
        <v>589</v>
      </c>
    </row>
    <row r="36" spans="1:7">
      <c r="A36" t="s">
        <v>666</v>
      </c>
      <c r="B36" t="s">
        <v>572</v>
      </c>
      <c r="C36" t="s">
        <v>558</v>
      </c>
      <c r="D36" s="58" t="s">
        <v>572</v>
      </c>
      <c r="E36" s="58" t="s">
        <v>565</v>
      </c>
      <c r="F36" s="58" t="s">
        <v>542</v>
      </c>
      <c r="G36" s="58" t="s">
        <v>487</v>
      </c>
    </row>
    <row r="37" spans="1:7">
      <c r="A37" t="s">
        <v>200</v>
      </c>
      <c r="B37" t="s">
        <v>570</v>
      </c>
      <c r="C37" t="s">
        <v>557</v>
      </c>
      <c r="D37" s="58" t="s">
        <v>573</v>
      </c>
      <c r="E37" s="58" t="s">
        <v>570</v>
      </c>
      <c r="F37" t="s">
        <v>541</v>
      </c>
      <c r="G37" t="s">
        <v>589</v>
      </c>
    </row>
    <row r="38" spans="1:7">
      <c r="A38" t="s">
        <v>300</v>
      </c>
      <c r="B38" t="s">
        <v>570</v>
      </c>
      <c r="C38" t="s">
        <v>559</v>
      </c>
      <c r="D38" s="58" t="s">
        <v>573</v>
      </c>
      <c r="E38" s="58" t="s">
        <v>581</v>
      </c>
      <c r="F38" t="s">
        <v>545</v>
      </c>
      <c r="G38" t="s">
        <v>487</v>
      </c>
    </row>
    <row r="39" spans="1:7">
      <c r="A39" t="s">
        <v>301</v>
      </c>
      <c r="B39" t="s">
        <v>572</v>
      </c>
      <c r="C39" t="s">
        <v>558</v>
      </c>
      <c r="D39" s="58" t="s">
        <v>572</v>
      </c>
      <c r="E39" s="58" t="s">
        <v>565</v>
      </c>
      <c r="F39" t="s">
        <v>542</v>
      </c>
      <c r="G39" t="s">
        <v>487</v>
      </c>
    </row>
    <row r="40" spans="1:7">
      <c r="A40" t="s">
        <v>302</v>
      </c>
      <c r="B40" t="str">
        <f>VLOOKUP(C40,$L$368:$M$372,2,0)</f>
        <v>Parkland</v>
      </c>
      <c r="C40" t="s">
        <v>548</v>
      </c>
      <c r="D40" s="58" t="s">
        <v>548</v>
      </c>
      <c r="E40" s="58" t="s">
        <v>548</v>
      </c>
      <c r="F40" t="s">
        <v>547</v>
      </c>
      <c r="G40" t="s">
        <v>487</v>
      </c>
    </row>
    <row r="41" spans="1:7">
      <c r="A41" t="s">
        <v>303</v>
      </c>
      <c r="B41" t="s">
        <v>572</v>
      </c>
      <c r="C41" t="s">
        <v>303</v>
      </c>
      <c r="D41" s="58" t="s">
        <v>572</v>
      </c>
      <c r="E41" s="58" t="s">
        <v>565</v>
      </c>
      <c r="F41" t="s">
        <v>545</v>
      </c>
      <c r="G41" t="s">
        <v>487</v>
      </c>
    </row>
    <row r="42" spans="1:7">
      <c r="A42" t="s">
        <v>622</v>
      </c>
      <c r="B42" t="s">
        <v>572</v>
      </c>
      <c r="C42" t="s">
        <v>558</v>
      </c>
      <c r="D42" s="58" t="s">
        <v>572</v>
      </c>
      <c r="E42" s="58" t="s">
        <v>565</v>
      </c>
      <c r="F42" s="58" t="s">
        <v>542</v>
      </c>
      <c r="G42" s="58" t="s">
        <v>487</v>
      </c>
    </row>
    <row r="43" spans="1:7">
      <c r="A43" t="s">
        <v>304</v>
      </c>
      <c r="B43" t="str">
        <f>VLOOKUP(C43,$L$368:$M$372,2,0)</f>
        <v>Thompson</v>
      </c>
      <c r="C43" t="s">
        <v>488</v>
      </c>
      <c r="D43" s="58" t="s">
        <v>574</v>
      </c>
      <c r="E43" s="58" t="s">
        <v>567</v>
      </c>
      <c r="F43" t="s">
        <v>540</v>
      </c>
      <c r="G43" t="s">
        <v>487</v>
      </c>
    </row>
    <row r="44" spans="1:7">
      <c r="A44" t="s">
        <v>655</v>
      </c>
      <c r="B44" t="str">
        <f>VLOOKUP(C44,$L$368:$M$372,2,0)</f>
        <v>Interlake</v>
      </c>
      <c r="C44" t="s">
        <v>497</v>
      </c>
      <c r="D44" s="58" t="s">
        <v>573</v>
      </c>
      <c r="E44" s="58" t="s">
        <v>580</v>
      </c>
      <c r="F44" s="58" t="s">
        <v>773</v>
      </c>
      <c r="G44" s="58" t="s">
        <v>487</v>
      </c>
    </row>
    <row r="45" spans="1:7">
      <c r="A45" t="s">
        <v>201</v>
      </c>
      <c r="B45" t="str">
        <f>VLOOKUP(C45,$L$368:$M$372,2,0)</f>
        <v>Interlake</v>
      </c>
      <c r="C45" t="s">
        <v>497</v>
      </c>
      <c r="D45" s="58" t="s">
        <v>573</v>
      </c>
      <c r="E45" s="58" t="s">
        <v>580</v>
      </c>
      <c r="F45" t="s">
        <v>545</v>
      </c>
      <c r="G45" t="s">
        <v>589</v>
      </c>
    </row>
    <row r="46" spans="1:7">
      <c r="A46" t="s">
        <v>305</v>
      </c>
      <c r="B46" t="s">
        <v>572</v>
      </c>
      <c r="C46" t="s">
        <v>552</v>
      </c>
      <c r="D46" s="58" t="s">
        <v>575</v>
      </c>
      <c r="E46" s="58" t="s">
        <v>577</v>
      </c>
      <c r="F46" t="s">
        <v>545</v>
      </c>
      <c r="G46" t="s">
        <v>487</v>
      </c>
    </row>
    <row r="47" spans="1:7">
      <c r="A47" t="s">
        <v>202</v>
      </c>
      <c r="B47" t="s">
        <v>570</v>
      </c>
      <c r="C47" t="s">
        <v>559</v>
      </c>
      <c r="D47" s="58" t="s">
        <v>573</v>
      </c>
      <c r="E47" s="58" t="s">
        <v>581</v>
      </c>
      <c r="F47" t="s">
        <v>546</v>
      </c>
      <c r="G47" t="s">
        <v>589</v>
      </c>
    </row>
    <row r="48" spans="1:7">
      <c r="A48" t="s">
        <v>203</v>
      </c>
      <c r="B48" t="str">
        <f>VLOOKUP(C48,$L$368:$M$372,2,0)</f>
        <v>Thompson</v>
      </c>
      <c r="C48" t="s">
        <v>488</v>
      </c>
      <c r="D48" s="58" t="s">
        <v>574</v>
      </c>
      <c r="E48" s="58" t="s">
        <v>566</v>
      </c>
      <c r="F48" t="s">
        <v>541</v>
      </c>
      <c r="G48" t="s">
        <v>586</v>
      </c>
    </row>
    <row r="49" spans="1:7">
      <c r="A49" t="s">
        <v>306</v>
      </c>
      <c r="B49" t="s">
        <v>570</v>
      </c>
      <c r="C49" t="s">
        <v>559</v>
      </c>
      <c r="D49" s="58" t="s">
        <v>573</v>
      </c>
      <c r="E49" s="58" t="s">
        <v>581</v>
      </c>
      <c r="F49" t="s">
        <v>545</v>
      </c>
      <c r="G49" t="s">
        <v>487</v>
      </c>
    </row>
    <row r="50" spans="1:7">
      <c r="A50" t="s">
        <v>625</v>
      </c>
      <c r="B50" t="s">
        <v>572</v>
      </c>
      <c r="C50" t="s">
        <v>558</v>
      </c>
      <c r="D50" s="58" t="s">
        <v>572</v>
      </c>
      <c r="E50" s="58" t="s">
        <v>565</v>
      </c>
      <c r="F50" s="58" t="s">
        <v>542</v>
      </c>
      <c r="G50" s="58" t="s">
        <v>487</v>
      </c>
    </row>
    <row r="51" spans="1:7">
      <c r="A51" t="s">
        <v>307</v>
      </c>
      <c r="B51" t="str">
        <f>VLOOKUP(C51,$L$368:$M$372,2,0)</f>
        <v>Parkland</v>
      </c>
      <c r="C51" t="s">
        <v>548</v>
      </c>
      <c r="D51" s="58" t="s">
        <v>548</v>
      </c>
      <c r="E51" s="58" t="s">
        <v>548</v>
      </c>
      <c r="F51" t="s">
        <v>542</v>
      </c>
      <c r="G51" t="s">
        <v>487</v>
      </c>
    </row>
    <row r="52" spans="1:7">
      <c r="A52" t="s">
        <v>204</v>
      </c>
      <c r="B52" t="s">
        <v>572</v>
      </c>
      <c r="C52" t="s">
        <v>558</v>
      </c>
      <c r="D52" s="58" t="s">
        <v>572</v>
      </c>
      <c r="E52" s="58" t="s">
        <v>565</v>
      </c>
      <c r="F52" t="s">
        <v>542</v>
      </c>
      <c r="G52" t="s">
        <v>587</v>
      </c>
    </row>
    <row r="53" spans="1:7">
      <c r="A53" t="s">
        <v>308</v>
      </c>
      <c r="B53" t="s">
        <v>572</v>
      </c>
      <c r="C53" t="s">
        <v>558</v>
      </c>
      <c r="D53" s="58" t="s">
        <v>572</v>
      </c>
      <c r="E53" s="58" t="s">
        <v>565</v>
      </c>
      <c r="F53" t="s">
        <v>545</v>
      </c>
      <c r="G53" t="s">
        <v>487</v>
      </c>
    </row>
    <row r="54" spans="1:7">
      <c r="A54" t="s">
        <v>309</v>
      </c>
      <c r="B54" t="s">
        <v>572</v>
      </c>
      <c r="C54" t="s">
        <v>552</v>
      </c>
      <c r="D54" s="58" t="s">
        <v>575</v>
      </c>
      <c r="E54" s="58" t="s">
        <v>577</v>
      </c>
      <c r="F54" t="s">
        <v>545</v>
      </c>
      <c r="G54" t="s">
        <v>487</v>
      </c>
    </row>
    <row r="55" spans="1:7">
      <c r="A55" t="s">
        <v>651</v>
      </c>
      <c r="B55" t="s">
        <v>572</v>
      </c>
      <c r="C55" t="s">
        <v>552</v>
      </c>
      <c r="D55" s="58" t="s">
        <v>563</v>
      </c>
      <c r="E55" s="58" t="s">
        <v>582</v>
      </c>
      <c r="F55" s="58" t="s">
        <v>545</v>
      </c>
      <c r="G55" s="58" t="s">
        <v>487</v>
      </c>
    </row>
    <row r="56" spans="1:7">
      <c r="A56" t="s">
        <v>310</v>
      </c>
      <c r="B56" t="s">
        <v>572</v>
      </c>
      <c r="C56" t="s">
        <v>558</v>
      </c>
      <c r="D56" s="58" t="s">
        <v>572</v>
      </c>
      <c r="E56" s="58" t="s">
        <v>565</v>
      </c>
      <c r="F56" t="s">
        <v>545</v>
      </c>
      <c r="G56" t="s">
        <v>487</v>
      </c>
    </row>
    <row r="57" spans="1:7">
      <c r="A57" t="s">
        <v>311</v>
      </c>
      <c r="B57" t="s">
        <v>572</v>
      </c>
      <c r="C57" t="s">
        <v>558</v>
      </c>
      <c r="D57" s="58" t="s">
        <v>572</v>
      </c>
      <c r="E57" s="58" t="s">
        <v>565</v>
      </c>
      <c r="F57" t="s">
        <v>545</v>
      </c>
      <c r="G57" t="s">
        <v>487</v>
      </c>
    </row>
    <row r="58" spans="1:7">
      <c r="A58" t="s">
        <v>205</v>
      </c>
      <c r="B58" t="str">
        <f>VLOOKUP(C58,$L$368:$M$372,2,0)</f>
        <v>The Pas</v>
      </c>
      <c r="C58" t="s">
        <v>493</v>
      </c>
      <c r="D58" s="58" t="s">
        <v>574</v>
      </c>
      <c r="E58" s="58" t="s">
        <v>569</v>
      </c>
      <c r="F58" t="s">
        <v>541</v>
      </c>
      <c r="G58" t="s">
        <v>583</v>
      </c>
    </row>
    <row r="59" spans="1:7">
      <c r="A59" t="s">
        <v>312</v>
      </c>
      <c r="B59" t="str">
        <f>VLOOKUP(C59,$L$368:$M$372,2,0)</f>
        <v>Thompson</v>
      </c>
      <c r="C59" t="s">
        <v>312</v>
      </c>
      <c r="D59" s="58" t="s">
        <v>574</v>
      </c>
      <c r="E59" s="58" t="s">
        <v>485</v>
      </c>
      <c r="F59" t="s">
        <v>541</v>
      </c>
      <c r="G59" t="s">
        <v>487</v>
      </c>
    </row>
    <row r="60" spans="1:7">
      <c r="A60" t="s">
        <v>674</v>
      </c>
      <c r="B60" t="s">
        <v>572</v>
      </c>
      <c r="C60" t="s">
        <v>558</v>
      </c>
      <c r="D60" s="58" t="s">
        <v>572</v>
      </c>
      <c r="E60" s="58" t="s">
        <v>565</v>
      </c>
      <c r="F60" s="58" t="s">
        <v>542</v>
      </c>
      <c r="G60" s="58" t="s">
        <v>487</v>
      </c>
    </row>
    <row r="61" spans="1:7">
      <c r="A61" t="s">
        <v>313</v>
      </c>
      <c r="B61" t="s">
        <v>572</v>
      </c>
      <c r="C61" t="s">
        <v>552</v>
      </c>
      <c r="D61" s="58" t="s">
        <v>572</v>
      </c>
      <c r="E61" s="58" t="s">
        <v>565</v>
      </c>
      <c r="F61" t="s">
        <v>545</v>
      </c>
      <c r="G61" t="s">
        <v>487</v>
      </c>
    </row>
    <row r="62" spans="1:7">
      <c r="A62" t="s">
        <v>688</v>
      </c>
      <c r="B62" t="str">
        <f>VLOOKUP(C62,$L$368:$M$372,2,0)</f>
        <v>Interlake</v>
      </c>
      <c r="C62" t="s">
        <v>497</v>
      </c>
      <c r="D62" s="58" t="s">
        <v>497</v>
      </c>
      <c r="E62" s="58" t="s">
        <v>579</v>
      </c>
      <c r="F62" s="58" t="s">
        <v>545</v>
      </c>
      <c r="G62" s="58" t="s">
        <v>487</v>
      </c>
    </row>
    <row r="63" spans="1:7">
      <c r="A63" t="s">
        <v>314</v>
      </c>
      <c r="B63" t="s">
        <v>572</v>
      </c>
      <c r="C63" t="s">
        <v>558</v>
      </c>
      <c r="D63" s="58" t="s">
        <v>572</v>
      </c>
      <c r="E63" s="58" t="s">
        <v>565</v>
      </c>
      <c r="F63" t="s">
        <v>545</v>
      </c>
      <c r="G63" t="s">
        <v>487</v>
      </c>
    </row>
    <row r="64" spans="1:7">
      <c r="A64" t="s">
        <v>315</v>
      </c>
      <c r="B64" t="str">
        <f>VLOOKUP(C64,$L$368:$M$372,2,0)</f>
        <v>The Pas</v>
      </c>
      <c r="C64" t="s">
        <v>493</v>
      </c>
      <c r="D64" s="58" t="s">
        <v>574</v>
      </c>
      <c r="E64" s="58" t="s">
        <v>569</v>
      </c>
      <c r="F64" t="s">
        <v>541</v>
      </c>
      <c r="G64" t="s">
        <v>487</v>
      </c>
    </row>
    <row r="65" spans="1:7">
      <c r="A65" t="s">
        <v>636</v>
      </c>
      <c r="B65" t="s">
        <v>572</v>
      </c>
      <c r="C65" t="s">
        <v>558</v>
      </c>
      <c r="D65" s="58" t="s">
        <v>572</v>
      </c>
      <c r="E65" s="58" t="s">
        <v>565</v>
      </c>
      <c r="F65" s="58" t="s">
        <v>545</v>
      </c>
      <c r="G65" s="58" t="s">
        <v>487</v>
      </c>
    </row>
    <row r="66" spans="1:7">
      <c r="A66" t="s">
        <v>316</v>
      </c>
      <c r="B66" t="str">
        <f>VLOOKUP(C66,$L$368:$M$372,2,0)</f>
        <v>The Pas</v>
      </c>
      <c r="C66" t="s">
        <v>493</v>
      </c>
      <c r="D66" s="58" t="s">
        <v>574</v>
      </c>
      <c r="E66" s="58" t="s">
        <v>568</v>
      </c>
      <c r="F66" t="s">
        <v>541</v>
      </c>
      <c r="G66" t="s">
        <v>487</v>
      </c>
    </row>
    <row r="67" spans="1:7">
      <c r="A67" t="s">
        <v>206</v>
      </c>
      <c r="B67" t="str">
        <f>VLOOKUP(C67,$L$368:$M$372,2,0)</f>
        <v>Parkland</v>
      </c>
      <c r="C67" t="s">
        <v>548</v>
      </c>
      <c r="D67" s="58" t="s">
        <v>548</v>
      </c>
      <c r="E67" s="58" t="s">
        <v>548</v>
      </c>
      <c r="F67" t="s">
        <v>542</v>
      </c>
      <c r="G67" t="s">
        <v>487</v>
      </c>
    </row>
    <row r="68" spans="1:7">
      <c r="A68" t="s">
        <v>317</v>
      </c>
      <c r="B68" t="str">
        <f>VLOOKUP(C68,$L$368:$M$372,2,0)</f>
        <v>Thompson</v>
      </c>
      <c r="C68" t="s">
        <v>488</v>
      </c>
      <c r="D68" s="58" t="s">
        <v>574</v>
      </c>
      <c r="E68" s="58" t="s">
        <v>485</v>
      </c>
      <c r="F68" t="s">
        <v>541</v>
      </c>
      <c r="G68" t="s">
        <v>487</v>
      </c>
    </row>
    <row r="69" spans="1:7">
      <c r="A69" t="s">
        <v>207</v>
      </c>
      <c r="B69" t="str">
        <f>VLOOKUP(C69,$L$368:$M$372,2,0)</f>
        <v>Thompson</v>
      </c>
      <c r="C69" t="s">
        <v>488</v>
      </c>
      <c r="D69" s="58" t="s">
        <v>574</v>
      </c>
      <c r="E69" s="58" t="s">
        <v>485</v>
      </c>
      <c r="F69" t="s">
        <v>541</v>
      </c>
      <c r="G69" t="s">
        <v>584</v>
      </c>
    </row>
    <row r="70" spans="1:7">
      <c r="A70" t="s">
        <v>318</v>
      </c>
      <c r="B70" t="s">
        <v>572</v>
      </c>
      <c r="C70" t="s">
        <v>552</v>
      </c>
      <c r="D70" s="58" t="s">
        <v>572</v>
      </c>
      <c r="E70" s="58" t="s">
        <v>565</v>
      </c>
      <c r="F70" t="s">
        <v>545</v>
      </c>
      <c r="G70" t="s">
        <v>487</v>
      </c>
    </row>
    <row r="71" spans="1:7">
      <c r="A71" t="s">
        <v>319</v>
      </c>
      <c r="B71" t="s">
        <v>572</v>
      </c>
      <c r="C71" t="s">
        <v>558</v>
      </c>
      <c r="D71" s="58" t="s">
        <v>563</v>
      </c>
      <c r="E71" s="58" t="s">
        <v>565</v>
      </c>
      <c r="F71" t="s">
        <v>545</v>
      </c>
      <c r="G71" t="s">
        <v>487</v>
      </c>
    </row>
    <row r="72" spans="1:7">
      <c r="A72" t="s">
        <v>208</v>
      </c>
      <c r="B72" t="s">
        <v>572</v>
      </c>
      <c r="C72" t="s">
        <v>552</v>
      </c>
      <c r="D72" s="58" t="s">
        <v>563</v>
      </c>
      <c r="E72" s="58" t="s">
        <v>582</v>
      </c>
      <c r="F72" t="s">
        <v>545</v>
      </c>
      <c r="G72" t="s">
        <v>587</v>
      </c>
    </row>
    <row r="73" spans="1:7">
      <c r="A73" t="s">
        <v>209</v>
      </c>
      <c r="B73" t="s">
        <v>572</v>
      </c>
      <c r="C73" t="s">
        <v>552</v>
      </c>
      <c r="D73" s="58" t="s">
        <v>563</v>
      </c>
      <c r="E73" s="58" t="s">
        <v>582</v>
      </c>
      <c r="F73" t="s">
        <v>545</v>
      </c>
      <c r="G73" t="s">
        <v>584</v>
      </c>
    </row>
    <row r="74" spans="1:7">
      <c r="A74" t="s">
        <v>210</v>
      </c>
      <c r="B74" t="str">
        <f>VLOOKUP(C74,$L$368:$M$372,2,0)</f>
        <v>Interlake</v>
      </c>
      <c r="C74" t="s">
        <v>497</v>
      </c>
      <c r="D74" s="58" t="s">
        <v>497</v>
      </c>
      <c r="E74" s="58" t="s">
        <v>578</v>
      </c>
      <c r="F74" t="s">
        <v>542</v>
      </c>
      <c r="G74" t="s">
        <v>487</v>
      </c>
    </row>
    <row r="75" spans="1:7">
      <c r="A75" t="s">
        <v>639</v>
      </c>
      <c r="B75" t="s">
        <v>572</v>
      </c>
      <c r="C75" t="s">
        <v>558</v>
      </c>
      <c r="D75" s="58" t="s">
        <v>572</v>
      </c>
      <c r="E75" s="58" t="s">
        <v>565</v>
      </c>
      <c r="F75" s="58" t="s">
        <v>542</v>
      </c>
      <c r="G75" s="58" t="s">
        <v>487</v>
      </c>
    </row>
    <row r="76" spans="1:7">
      <c r="A76" t="s">
        <v>320</v>
      </c>
      <c r="B76" t="str">
        <f>VLOOKUP(C76,$L$368:$M$372,2,0)</f>
        <v>Parkland</v>
      </c>
      <c r="C76" t="s">
        <v>548</v>
      </c>
      <c r="D76" s="58" t="s">
        <v>548</v>
      </c>
      <c r="E76" s="58" t="s">
        <v>548</v>
      </c>
      <c r="F76" t="s">
        <v>542</v>
      </c>
      <c r="G76" t="s">
        <v>487</v>
      </c>
    </row>
    <row r="77" spans="1:7">
      <c r="A77" t="s">
        <v>211</v>
      </c>
      <c r="B77" t="str">
        <f>VLOOKUP(C77,$L$368:$M$372,2,0)</f>
        <v>Interlake</v>
      </c>
      <c r="C77" t="s">
        <v>497</v>
      </c>
      <c r="D77" s="58" t="s">
        <v>497</v>
      </c>
      <c r="E77" s="58" t="s">
        <v>579</v>
      </c>
      <c r="F77" t="s">
        <v>541</v>
      </c>
      <c r="G77" t="s">
        <v>590</v>
      </c>
    </row>
    <row r="78" spans="1:7">
      <c r="A78" t="s">
        <v>212</v>
      </c>
      <c r="B78" t="str">
        <f>VLOOKUP(C78,$L$368:$M$372,2,0)</f>
        <v>Interlake</v>
      </c>
      <c r="C78" t="s">
        <v>497</v>
      </c>
      <c r="D78" s="58" t="s">
        <v>497</v>
      </c>
      <c r="E78" s="58" t="s">
        <v>579</v>
      </c>
      <c r="F78" t="s">
        <v>541</v>
      </c>
      <c r="G78" t="s">
        <v>584</v>
      </c>
    </row>
    <row r="79" spans="1:7">
      <c r="A79" t="s">
        <v>213</v>
      </c>
      <c r="B79" t="str">
        <f>VLOOKUP(C79,$L$368:$M$372,2,0)</f>
        <v>Parkland</v>
      </c>
      <c r="C79" t="s">
        <v>548</v>
      </c>
      <c r="D79" s="58" t="s">
        <v>548</v>
      </c>
      <c r="E79" s="58" t="s">
        <v>569</v>
      </c>
      <c r="F79" t="s">
        <v>541</v>
      </c>
      <c r="G79" t="s">
        <v>487</v>
      </c>
    </row>
    <row r="80" spans="1:7">
      <c r="A80" t="s">
        <v>607</v>
      </c>
      <c r="B80" t="s">
        <v>570</v>
      </c>
      <c r="C80" t="s">
        <v>559</v>
      </c>
      <c r="D80" s="58" t="s">
        <v>573</v>
      </c>
      <c r="E80" s="58" t="s">
        <v>581</v>
      </c>
      <c r="F80" s="58" t="s">
        <v>545</v>
      </c>
      <c r="G80" s="58" t="s">
        <v>487</v>
      </c>
    </row>
    <row r="81" spans="1:7">
      <c r="A81" t="s">
        <v>321</v>
      </c>
      <c r="B81" t="s">
        <v>572</v>
      </c>
      <c r="C81" t="s">
        <v>558</v>
      </c>
      <c r="D81" s="58" t="s">
        <v>572</v>
      </c>
      <c r="E81" s="58" t="s">
        <v>565</v>
      </c>
      <c r="F81" t="s">
        <v>542</v>
      </c>
      <c r="G81" t="s">
        <v>487</v>
      </c>
    </row>
    <row r="82" spans="1:7">
      <c r="A82" t="s">
        <v>560</v>
      </c>
      <c r="B82" t="s">
        <v>570</v>
      </c>
      <c r="C82" t="s">
        <v>557</v>
      </c>
      <c r="D82" s="58" t="s">
        <v>573</v>
      </c>
      <c r="E82" s="58" t="s">
        <v>571</v>
      </c>
      <c r="F82" t="s">
        <v>545</v>
      </c>
      <c r="G82" t="s">
        <v>487</v>
      </c>
    </row>
    <row r="83" spans="1:7">
      <c r="A83" t="s">
        <v>322</v>
      </c>
      <c r="B83" t="s">
        <v>572</v>
      </c>
      <c r="C83" t="s">
        <v>558</v>
      </c>
      <c r="D83" s="58" t="s">
        <v>572</v>
      </c>
      <c r="E83" s="58" t="s">
        <v>565</v>
      </c>
      <c r="F83" t="s">
        <v>545</v>
      </c>
      <c r="G83" t="s">
        <v>487</v>
      </c>
    </row>
    <row r="84" spans="1:7">
      <c r="A84" t="s">
        <v>323</v>
      </c>
      <c r="B84" t="s">
        <v>570</v>
      </c>
      <c r="C84" t="s">
        <v>559</v>
      </c>
      <c r="D84" s="58" t="s">
        <v>573</v>
      </c>
      <c r="E84" s="58" t="s">
        <v>581</v>
      </c>
      <c r="F84" t="s">
        <v>545</v>
      </c>
      <c r="G84" t="s">
        <v>487</v>
      </c>
    </row>
    <row r="85" spans="1:7">
      <c r="A85" t="s">
        <v>324</v>
      </c>
      <c r="B85" t="str">
        <f>VLOOKUP(C85,$L$368:$M$372,2,0)</f>
        <v>Parkland</v>
      </c>
      <c r="C85" t="s">
        <v>548</v>
      </c>
      <c r="D85" s="58" t="s">
        <v>548</v>
      </c>
      <c r="E85" s="58" t="s">
        <v>548</v>
      </c>
      <c r="F85" t="s">
        <v>542</v>
      </c>
      <c r="G85" t="s">
        <v>487</v>
      </c>
    </row>
    <row r="86" spans="1:7">
      <c r="A86" t="s">
        <v>325</v>
      </c>
      <c r="B86" t="s">
        <v>570</v>
      </c>
      <c r="C86" t="s">
        <v>557</v>
      </c>
      <c r="D86" s="58" t="s">
        <v>573</v>
      </c>
      <c r="E86" s="58" t="s">
        <v>571</v>
      </c>
      <c r="F86" t="s">
        <v>545</v>
      </c>
      <c r="G86" t="s">
        <v>487</v>
      </c>
    </row>
    <row r="87" spans="1:7">
      <c r="A87" t="s">
        <v>615</v>
      </c>
      <c r="B87" t="s">
        <v>572</v>
      </c>
      <c r="C87" t="s">
        <v>552</v>
      </c>
      <c r="D87" s="58" t="s">
        <v>575</v>
      </c>
      <c r="E87" s="58" t="s">
        <v>577</v>
      </c>
      <c r="F87" s="58" t="s">
        <v>545</v>
      </c>
      <c r="G87" s="58" t="s">
        <v>487</v>
      </c>
    </row>
    <row r="88" spans="1:7">
      <c r="A88" t="s">
        <v>658</v>
      </c>
      <c r="B88" t="str">
        <f>VLOOKUP(C88,$L$368:$M$372,2,0)</f>
        <v>Interlake</v>
      </c>
      <c r="C88" t="s">
        <v>497</v>
      </c>
      <c r="D88" s="58" t="s">
        <v>497</v>
      </c>
      <c r="E88" s="58" t="s">
        <v>578</v>
      </c>
      <c r="F88" s="58" t="s">
        <v>545</v>
      </c>
      <c r="G88" s="58" t="s">
        <v>487</v>
      </c>
    </row>
    <row r="89" spans="1:7">
      <c r="A89" t="s">
        <v>656</v>
      </c>
      <c r="B89" t="str">
        <f>VLOOKUP(C89,$L$368:$M$372,2,0)</f>
        <v>Interlake</v>
      </c>
      <c r="C89" t="s">
        <v>497</v>
      </c>
      <c r="D89" s="58" t="s">
        <v>573</v>
      </c>
      <c r="E89" s="58" t="s">
        <v>580</v>
      </c>
      <c r="F89" s="58" t="s">
        <v>545</v>
      </c>
      <c r="G89" s="58" t="s">
        <v>487</v>
      </c>
    </row>
    <row r="90" spans="1:7">
      <c r="A90" t="s">
        <v>326</v>
      </c>
      <c r="B90" t="str">
        <f>VLOOKUP(C90,$L$368:$M$372,2,0)</f>
        <v>Interlake</v>
      </c>
      <c r="C90" t="s">
        <v>497</v>
      </c>
      <c r="D90" s="58" t="s">
        <v>497</v>
      </c>
      <c r="E90" s="58" t="s">
        <v>580</v>
      </c>
      <c r="F90" t="s">
        <v>545</v>
      </c>
      <c r="G90" t="s">
        <v>487</v>
      </c>
    </row>
    <row r="91" spans="1:7">
      <c r="A91" t="s">
        <v>327</v>
      </c>
      <c r="B91" t="str">
        <f>VLOOKUP(C91,$L$368:$M$372,2,0)</f>
        <v>The Pas</v>
      </c>
      <c r="C91" t="s">
        <v>493</v>
      </c>
      <c r="D91" s="58" t="s">
        <v>574</v>
      </c>
      <c r="E91" s="58" t="s">
        <v>569</v>
      </c>
      <c r="F91" t="s">
        <v>541</v>
      </c>
      <c r="G91" t="s">
        <v>487</v>
      </c>
    </row>
    <row r="92" spans="1:7">
      <c r="A92" t="s">
        <v>214</v>
      </c>
      <c r="B92" t="str">
        <f>VLOOKUP(C92,$L$368:$M$372,2,0)</f>
        <v>Parkland</v>
      </c>
      <c r="C92" t="s">
        <v>548</v>
      </c>
      <c r="D92" s="58" t="s">
        <v>548</v>
      </c>
      <c r="E92" s="58" t="s">
        <v>548</v>
      </c>
      <c r="F92" t="s">
        <v>542</v>
      </c>
      <c r="G92" t="s">
        <v>588</v>
      </c>
    </row>
    <row r="93" spans="1:7">
      <c r="A93" t="s">
        <v>624</v>
      </c>
      <c r="B93" t="s">
        <v>572</v>
      </c>
      <c r="C93" t="s">
        <v>558</v>
      </c>
      <c r="D93" s="58" t="s">
        <v>572</v>
      </c>
      <c r="E93" s="58" t="s">
        <v>565</v>
      </c>
      <c r="F93" s="58" t="s">
        <v>542</v>
      </c>
      <c r="G93" s="58" t="s">
        <v>487</v>
      </c>
    </row>
    <row r="94" spans="1:7">
      <c r="A94" t="s">
        <v>328</v>
      </c>
      <c r="B94" t="s">
        <v>572</v>
      </c>
      <c r="C94" t="s">
        <v>552</v>
      </c>
      <c r="D94" s="58" t="s">
        <v>563</v>
      </c>
      <c r="E94" s="58" t="s">
        <v>582</v>
      </c>
      <c r="F94" t="s">
        <v>545</v>
      </c>
      <c r="G94" t="s">
        <v>487</v>
      </c>
    </row>
    <row r="95" spans="1:7">
      <c r="A95" t="s">
        <v>329</v>
      </c>
      <c r="B95" t="s">
        <v>572</v>
      </c>
      <c r="C95" t="s">
        <v>558</v>
      </c>
      <c r="D95" s="58" t="s">
        <v>572</v>
      </c>
      <c r="E95" s="58" t="s">
        <v>565</v>
      </c>
      <c r="F95" t="s">
        <v>542</v>
      </c>
      <c r="G95" t="s">
        <v>487</v>
      </c>
    </row>
    <row r="96" spans="1:7">
      <c r="A96" t="s">
        <v>330</v>
      </c>
      <c r="B96" t="s">
        <v>572</v>
      </c>
      <c r="C96" t="s">
        <v>558</v>
      </c>
      <c r="D96" s="58" t="s">
        <v>572</v>
      </c>
      <c r="E96" s="58" t="s">
        <v>565</v>
      </c>
      <c r="F96" t="s">
        <v>542</v>
      </c>
      <c r="G96" t="s">
        <v>487</v>
      </c>
    </row>
    <row r="97" spans="1:7">
      <c r="A97" t="s">
        <v>669</v>
      </c>
      <c r="B97" t="s">
        <v>572</v>
      </c>
      <c r="C97" t="s">
        <v>558</v>
      </c>
      <c r="D97" s="58" t="s">
        <v>572</v>
      </c>
      <c r="E97" s="58" t="s">
        <v>565</v>
      </c>
      <c r="F97" s="58" t="s">
        <v>542</v>
      </c>
      <c r="G97" s="58" t="s">
        <v>487</v>
      </c>
    </row>
    <row r="98" spans="1:7">
      <c r="A98" t="s">
        <v>331</v>
      </c>
      <c r="B98" t="s">
        <v>572</v>
      </c>
      <c r="C98" t="s">
        <v>552</v>
      </c>
      <c r="D98" s="58" t="s">
        <v>575</v>
      </c>
      <c r="E98" s="58" t="s">
        <v>577</v>
      </c>
      <c r="F98" t="s">
        <v>545</v>
      </c>
      <c r="G98" t="s">
        <v>487</v>
      </c>
    </row>
    <row r="99" spans="1:7">
      <c r="A99" t="s">
        <v>332</v>
      </c>
      <c r="B99" t="s">
        <v>570</v>
      </c>
      <c r="C99" t="s">
        <v>557</v>
      </c>
      <c r="D99" s="58" t="s">
        <v>573</v>
      </c>
      <c r="E99" s="58" t="s">
        <v>571</v>
      </c>
      <c r="F99" t="s">
        <v>545</v>
      </c>
      <c r="G99" t="s">
        <v>487</v>
      </c>
    </row>
    <row r="100" spans="1:7">
      <c r="A100" t="s">
        <v>333</v>
      </c>
      <c r="B100" t="s">
        <v>572</v>
      </c>
      <c r="C100" t="s">
        <v>558</v>
      </c>
      <c r="D100" s="58" t="s">
        <v>572</v>
      </c>
      <c r="E100" s="58" t="s">
        <v>565</v>
      </c>
      <c r="F100" t="s">
        <v>542</v>
      </c>
      <c r="G100" t="s">
        <v>487</v>
      </c>
    </row>
    <row r="101" spans="1:7">
      <c r="A101" t="s">
        <v>638</v>
      </c>
      <c r="B101" t="s">
        <v>572</v>
      </c>
      <c r="C101" t="s">
        <v>558</v>
      </c>
      <c r="D101" s="58" t="s">
        <v>572</v>
      </c>
      <c r="E101" s="58" t="s">
        <v>565</v>
      </c>
      <c r="F101" s="58" t="s">
        <v>542</v>
      </c>
      <c r="G101" s="58" t="s">
        <v>487</v>
      </c>
    </row>
    <row r="102" spans="1:7">
      <c r="A102" t="s">
        <v>334</v>
      </c>
      <c r="B102" t="s">
        <v>572</v>
      </c>
      <c r="C102" t="s">
        <v>552</v>
      </c>
      <c r="D102" s="58" t="s">
        <v>575</v>
      </c>
      <c r="E102" s="58" t="s">
        <v>581</v>
      </c>
      <c r="F102" t="s">
        <v>545</v>
      </c>
      <c r="G102" t="s">
        <v>487</v>
      </c>
    </row>
    <row r="103" spans="1:7">
      <c r="A103" t="s">
        <v>335</v>
      </c>
      <c r="B103" t="s">
        <v>572</v>
      </c>
      <c r="C103" t="s">
        <v>558</v>
      </c>
      <c r="D103" s="58" t="s">
        <v>572</v>
      </c>
      <c r="E103" s="58" t="s">
        <v>565</v>
      </c>
      <c r="F103" t="s">
        <v>542</v>
      </c>
      <c r="G103" t="s">
        <v>487</v>
      </c>
    </row>
    <row r="104" spans="1:7">
      <c r="A104" t="s">
        <v>500</v>
      </c>
      <c r="B104" t="str">
        <f>VLOOKUP(C104,$L$368:$M$372,2,0)</f>
        <v>Interlake</v>
      </c>
      <c r="C104" t="s">
        <v>497</v>
      </c>
      <c r="D104" s="58" t="s">
        <v>497</v>
      </c>
      <c r="E104" s="58" t="s">
        <v>579</v>
      </c>
      <c r="F104" t="s">
        <v>542</v>
      </c>
      <c r="G104" t="s">
        <v>487</v>
      </c>
    </row>
    <row r="105" spans="1:7">
      <c r="A105" t="s">
        <v>683</v>
      </c>
      <c r="B105" t="str">
        <f>VLOOKUP(C105,$L$368:$M$372,2,0)</f>
        <v>Parkland</v>
      </c>
      <c r="C105" t="s">
        <v>548</v>
      </c>
      <c r="D105" s="58" t="s">
        <v>548</v>
      </c>
      <c r="E105" s="58" t="s">
        <v>548</v>
      </c>
      <c r="F105" t="s">
        <v>542</v>
      </c>
      <c r="G105" t="s">
        <v>487</v>
      </c>
    </row>
    <row r="106" spans="1:7">
      <c r="A106" t="s">
        <v>336</v>
      </c>
      <c r="B106" t="s">
        <v>570</v>
      </c>
      <c r="C106" t="s">
        <v>557</v>
      </c>
      <c r="D106" s="58" t="s">
        <v>573</v>
      </c>
      <c r="E106" s="58" t="s">
        <v>571</v>
      </c>
      <c r="F106" t="s">
        <v>546</v>
      </c>
      <c r="G106" t="s">
        <v>487</v>
      </c>
    </row>
    <row r="107" spans="1:7">
      <c r="A107" t="s">
        <v>499</v>
      </c>
      <c r="B107" t="str">
        <f t="shared" ref="B107:B112" si="0">VLOOKUP(C107,$L$368:$M$372,2,0)</f>
        <v>Interlake</v>
      </c>
      <c r="C107" t="s">
        <v>497</v>
      </c>
      <c r="D107" s="58" t="s">
        <v>497</v>
      </c>
      <c r="E107" s="58" t="s">
        <v>579</v>
      </c>
      <c r="F107" t="s">
        <v>541</v>
      </c>
      <c r="G107" t="s">
        <v>487</v>
      </c>
    </row>
    <row r="108" spans="1:7">
      <c r="A108" t="s">
        <v>691</v>
      </c>
      <c r="B108" t="str">
        <f t="shared" si="0"/>
        <v>Interlake</v>
      </c>
      <c r="C108" t="s">
        <v>497</v>
      </c>
      <c r="D108" s="58" t="s">
        <v>497</v>
      </c>
      <c r="E108" s="58" t="s">
        <v>578</v>
      </c>
      <c r="F108" s="58" t="s">
        <v>542</v>
      </c>
      <c r="G108" s="58" t="s">
        <v>487</v>
      </c>
    </row>
    <row r="109" spans="1:7">
      <c r="A109" t="s">
        <v>215</v>
      </c>
      <c r="B109" t="str">
        <f t="shared" si="0"/>
        <v>Interlake</v>
      </c>
      <c r="C109" t="s">
        <v>497</v>
      </c>
      <c r="D109" s="58" t="s">
        <v>497</v>
      </c>
      <c r="E109" s="58" t="s">
        <v>578</v>
      </c>
      <c r="F109" t="s">
        <v>542</v>
      </c>
      <c r="G109" t="s">
        <v>487</v>
      </c>
    </row>
    <row r="110" spans="1:7">
      <c r="A110" t="s">
        <v>337</v>
      </c>
      <c r="B110" t="str">
        <f t="shared" si="0"/>
        <v>Interlake</v>
      </c>
      <c r="C110" t="s">
        <v>497</v>
      </c>
      <c r="D110" s="58" t="s">
        <v>497</v>
      </c>
      <c r="E110" s="58" t="s">
        <v>578</v>
      </c>
      <c r="F110" t="s">
        <v>542</v>
      </c>
      <c r="G110" t="s">
        <v>487</v>
      </c>
    </row>
    <row r="111" spans="1:7">
      <c r="A111" t="s">
        <v>216</v>
      </c>
      <c r="B111" t="str">
        <f t="shared" si="0"/>
        <v>Interlake</v>
      </c>
      <c r="C111" t="s">
        <v>497</v>
      </c>
      <c r="D111" s="58" t="s">
        <v>497</v>
      </c>
      <c r="E111" s="58" t="s">
        <v>578</v>
      </c>
      <c r="F111" t="s">
        <v>542</v>
      </c>
      <c r="G111" t="s">
        <v>584</v>
      </c>
    </row>
    <row r="112" spans="1:7">
      <c r="A112" t="s">
        <v>338</v>
      </c>
      <c r="B112" t="str">
        <f t="shared" si="0"/>
        <v>The Pas</v>
      </c>
      <c r="C112" t="s">
        <v>493</v>
      </c>
      <c r="D112" s="58" t="s">
        <v>574</v>
      </c>
      <c r="E112" s="58" t="s">
        <v>568</v>
      </c>
      <c r="F112" t="s">
        <v>541</v>
      </c>
      <c r="G112" t="s">
        <v>487</v>
      </c>
    </row>
    <row r="113" spans="1:7">
      <c r="A113" t="s">
        <v>339</v>
      </c>
      <c r="B113" t="s">
        <v>572</v>
      </c>
      <c r="C113" t="s">
        <v>558</v>
      </c>
      <c r="D113" s="58" t="s">
        <v>572</v>
      </c>
      <c r="E113" s="58" t="s">
        <v>565</v>
      </c>
      <c r="F113" t="s">
        <v>542</v>
      </c>
      <c r="G113" t="s">
        <v>487</v>
      </c>
    </row>
    <row r="114" spans="1:7">
      <c r="A114" t="s">
        <v>340</v>
      </c>
      <c r="B114" t="s">
        <v>570</v>
      </c>
      <c r="C114" t="s">
        <v>557</v>
      </c>
      <c r="D114" s="58" t="s">
        <v>573</v>
      </c>
      <c r="E114" s="58" t="s">
        <v>571</v>
      </c>
      <c r="F114" t="s">
        <v>545</v>
      </c>
      <c r="G114" t="s">
        <v>487</v>
      </c>
    </row>
    <row r="115" spans="1:7">
      <c r="A115" t="s">
        <v>217</v>
      </c>
      <c r="B115" t="str">
        <f>VLOOKUP(C115,$L$368:$M$372,2,0)</f>
        <v>Thompson</v>
      </c>
      <c r="C115" t="s">
        <v>488</v>
      </c>
      <c r="D115" s="58" t="s">
        <v>574</v>
      </c>
      <c r="E115" s="58" t="s">
        <v>485</v>
      </c>
      <c r="F115" t="s">
        <v>541</v>
      </c>
      <c r="G115" t="s">
        <v>586</v>
      </c>
    </row>
    <row r="116" spans="1:7">
      <c r="A116" t="s">
        <v>341</v>
      </c>
      <c r="B116" t="s">
        <v>572</v>
      </c>
      <c r="C116" t="s">
        <v>558</v>
      </c>
      <c r="D116" s="58" t="s">
        <v>572</v>
      </c>
      <c r="E116" s="58" t="s">
        <v>565</v>
      </c>
      <c r="F116" t="s">
        <v>542</v>
      </c>
      <c r="G116" t="s">
        <v>487</v>
      </c>
    </row>
    <row r="117" spans="1:7">
      <c r="A117" t="s">
        <v>606</v>
      </c>
      <c r="B117" t="s">
        <v>572</v>
      </c>
      <c r="C117" t="s">
        <v>558</v>
      </c>
      <c r="D117" s="58" t="s">
        <v>572</v>
      </c>
      <c r="E117" s="58" t="s">
        <v>565</v>
      </c>
      <c r="F117" s="58" t="s">
        <v>542</v>
      </c>
      <c r="G117" s="58" t="s">
        <v>487</v>
      </c>
    </row>
    <row r="118" spans="1:7">
      <c r="A118" t="s">
        <v>342</v>
      </c>
      <c r="B118" t="str">
        <f>VLOOKUP(C118,$L$368:$M$372,2,0)</f>
        <v>Interlake</v>
      </c>
      <c r="C118" t="s">
        <v>497</v>
      </c>
      <c r="D118" s="58" t="s">
        <v>497</v>
      </c>
      <c r="E118" s="58" t="s">
        <v>578</v>
      </c>
      <c r="F118" t="s">
        <v>545</v>
      </c>
      <c r="G118" t="s">
        <v>487</v>
      </c>
    </row>
    <row r="119" spans="1:7">
      <c r="A119" t="s">
        <v>343</v>
      </c>
      <c r="B119" t="s">
        <v>570</v>
      </c>
      <c r="C119" t="s">
        <v>559</v>
      </c>
      <c r="D119" s="58" t="s">
        <v>573</v>
      </c>
      <c r="E119" s="58" t="s">
        <v>581</v>
      </c>
      <c r="F119" t="s">
        <v>545</v>
      </c>
      <c r="G119" t="s">
        <v>487</v>
      </c>
    </row>
    <row r="120" spans="1:7">
      <c r="A120" t="s">
        <v>344</v>
      </c>
      <c r="B120" t="s">
        <v>572</v>
      </c>
      <c r="C120" t="s">
        <v>552</v>
      </c>
      <c r="D120" s="58" t="s">
        <v>563</v>
      </c>
      <c r="E120" s="58" t="s">
        <v>581</v>
      </c>
      <c r="F120" t="s">
        <v>545</v>
      </c>
      <c r="G120" t="s">
        <v>487</v>
      </c>
    </row>
    <row r="121" spans="1:7">
      <c r="A121" t="s">
        <v>756</v>
      </c>
      <c r="B121" t="s">
        <v>572</v>
      </c>
      <c r="C121" t="s">
        <v>558</v>
      </c>
      <c r="D121" s="58" t="s">
        <v>572</v>
      </c>
      <c r="E121" s="58" t="s">
        <v>565</v>
      </c>
      <c r="F121" t="s">
        <v>542</v>
      </c>
      <c r="G121" t="s">
        <v>588</v>
      </c>
    </row>
    <row r="122" spans="1:7">
      <c r="A122" t="s">
        <v>219</v>
      </c>
      <c r="B122" t="str">
        <f>VLOOKUP(C122,$L$368:$M$372,2,0)</f>
        <v>Thompson</v>
      </c>
      <c r="C122" t="s">
        <v>488</v>
      </c>
      <c r="D122" s="58" t="s">
        <v>574</v>
      </c>
      <c r="E122" s="58" t="s">
        <v>566</v>
      </c>
      <c r="F122" t="s">
        <v>541</v>
      </c>
      <c r="G122" t="s">
        <v>585</v>
      </c>
    </row>
    <row r="123" spans="1:7">
      <c r="A123" t="s">
        <v>345</v>
      </c>
      <c r="B123" t="s">
        <v>570</v>
      </c>
      <c r="C123" t="s">
        <v>559</v>
      </c>
      <c r="D123" s="58" t="s">
        <v>573</v>
      </c>
      <c r="E123" s="58" t="s">
        <v>581</v>
      </c>
      <c r="F123" t="s">
        <v>545</v>
      </c>
      <c r="G123" t="s">
        <v>487</v>
      </c>
    </row>
    <row r="124" spans="1:7">
      <c r="A124" t="s">
        <v>346</v>
      </c>
      <c r="B124" t="s">
        <v>570</v>
      </c>
      <c r="C124" t="s">
        <v>557</v>
      </c>
      <c r="D124" s="58" t="s">
        <v>573</v>
      </c>
      <c r="E124" s="58" t="s">
        <v>571</v>
      </c>
      <c r="F124" t="s">
        <v>545</v>
      </c>
      <c r="G124" t="s">
        <v>487</v>
      </c>
    </row>
    <row r="125" spans="1:7">
      <c r="A125" t="s">
        <v>347</v>
      </c>
      <c r="B125" t="str">
        <f>VLOOKUP(C125,$L$368:$M$372,2,0)</f>
        <v>Parkland</v>
      </c>
      <c r="C125" t="s">
        <v>548</v>
      </c>
      <c r="D125" s="58" t="s">
        <v>548</v>
      </c>
      <c r="E125" s="58" t="s">
        <v>548</v>
      </c>
      <c r="F125" t="s">
        <v>542</v>
      </c>
      <c r="G125" t="s">
        <v>487</v>
      </c>
    </row>
    <row r="126" spans="1:7">
      <c r="A126" t="s">
        <v>348</v>
      </c>
      <c r="B126" t="str">
        <f>VLOOKUP(C126,$L$368:$M$372,2,0)</f>
        <v>Thompson</v>
      </c>
      <c r="C126" t="s">
        <v>488</v>
      </c>
      <c r="D126" s="58" t="s">
        <v>574</v>
      </c>
      <c r="E126" s="58" t="s">
        <v>485</v>
      </c>
      <c r="F126" t="s">
        <v>541</v>
      </c>
      <c r="G126" t="s">
        <v>487</v>
      </c>
    </row>
    <row r="127" spans="1:7">
      <c r="A127" t="s">
        <v>349</v>
      </c>
      <c r="B127" t="str">
        <f>VLOOKUP(C127,$L$368:$M$372,2,0)</f>
        <v>Interlake</v>
      </c>
      <c r="C127" t="s">
        <v>497</v>
      </c>
      <c r="D127" s="58" t="s">
        <v>497</v>
      </c>
      <c r="E127" s="58" t="s">
        <v>578</v>
      </c>
      <c r="F127" t="s">
        <v>545</v>
      </c>
      <c r="G127" t="s">
        <v>487</v>
      </c>
    </row>
    <row r="128" spans="1:7">
      <c r="A128" t="s">
        <v>350</v>
      </c>
      <c r="B128" t="s">
        <v>572</v>
      </c>
      <c r="C128" t="s">
        <v>552</v>
      </c>
      <c r="D128" s="58" t="s">
        <v>563</v>
      </c>
      <c r="E128" s="58" t="s">
        <v>577</v>
      </c>
      <c r="F128" t="s">
        <v>545</v>
      </c>
      <c r="G128" t="s">
        <v>487</v>
      </c>
    </row>
    <row r="129" spans="1:7">
      <c r="A129" t="s">
        <v>351</v>
      </c>
      <c r="B129" t="s">
        <v>572</v>
      </c>
      <c r="C129" t="s">
        <v>558</v>
      </c>
      <c r="D129" s="58" t="s">
        <v>572</v>
      </c>
      <c r="E129" s="58" t="s">
        <v>565</v>
      </c>
      <c r="F129" t="s">
        <v>545</v>
      </c>
      <c r="G129" t="s">
        <v>487</v>
      </c>
    </row>
    <row r="130" spans="1:7">
      <c r="A130" t="s">
        <v>648</v>
      </c>
      <c r="B130" t="str">
        <f>VLOOKUP(C130,$L$368:$M$372,2,0)</f>
        <v>Parkland</v>
      </c>
      <c r="C130" t="s">
        <v>548</v>
      </c>
      <c r="D130" s="58" t="s">
        <v>548</v>
      </c>
      <c r="E130" s="58" t="s">
        <v>577</v>
      </c>
      <c r="F130" s="58" t="s">
        <v>542</v>
      </c>
      <c r="G130" s="58" t="s">
        <v>487</v>
      </c>
    </row>
    <row r="131" spans="1:7">
      <c r="A131" t="s">
        <v>634</v>
      </c>
      <c r="B131" t="s">
        <v>572</v>
      </c>
      <c r="C131" t="s">
        <v>558</v>
      </c>
      <c r="D131" s="58" t="s">
        <v>572</v>
      </c>
      <c r="E131" s="58" t="s">
        <v>565</v>
      </c>
      <c r="F131" t="s">
        <v>542</v>
      </c>
      <c r="G131" t="s">
        <v>487</v>
      </c>
    </row>
    <row r="132" spans="1:7">
      <c r="A132" t="s">
        <v>492</v>
      </c>
      <c r="B132" t="str">
        <f t="shared" ref="B132:B138" si="1">VLOOKUP(C132,$L$368:$M$372,2,0)</f>
        <v>Thompson</v>
      </c>
      <c r="C132" t="s">
        <v>488</v>
      </c>
      <c r="D132" s="58" t="s">
        <v>574</v>
      </c>
      <c r="E132" s="58" t="s">
        <v>566</v>
      </c>
      <c r="F132" t="s">
        <v>541</v>
      </c>
      <c r="G132" t="s">
        <v>586</v>
      </c>
    </row>
    <row r="133" spans="1:7">
      <c r="A133" t="s">
        <v>352</v>
      </c>
      <c r="B133" t="str">
        <f t="shared" si="1"/>
        <v>Thompson</v>
      </c>
      <c r="C133" t="s">
        <v>488</v>
      </c>
      <c r="D133" s="58" t="s">
        <v>574</v>
      </c>
      <c r="E133" s="58" t="s">
        <v>566</v>
      </c>
      <c r="F133" t="s">
        <v>541</v>
      </c>
      <c r="G133" t="s">
        <v>487</v>
      </c>
    </row>
    <row r="134" spans="1:7">
      <c r="A134" t="s">
        <v>353</v>
      </c>
      <c r="B134" t="str">
        <f t="shared" si="1"/>
        <v>Thompson</v>
      </c>
      <c r="C134" t="s">
        <v>488</v>
      </c>
      <c r="D134" s="58" t="s">
        <v>574</v>
      </c>
      <c r="E134" s="58" t="s">
        <v>566</v>
      </c>
      <c r="F134" t="s">
        <v>541</v>
      </c>
      <c r="G134" t="s">
        <v>487</v>
      </c>
    </row>
    <row r="135" spans="1:7">
      <c r="A135" t="s">
        <v>690</v>
      </c>
      <c r="B135" t="str">
        <f t="shared" si="1"/>
        <v>Interlake</v>
      </c>
      <c r="C135" t="s">
        <v>497</v>
      </c>
      <c r="D135" s="58" t="s">
        <v>497</v>
      </c>
      <c r="E135" s="58" t="s">
        <v>579</v>
      </c>
      <c r="F135" s="58" t="s">
        <v>542</v>
      </c>
      <c r="G135" s="58" t="s">
        <v>487</v>
      </c>
    </row>
    <row r="136" spans="1:7">
      <c r="A136" t="s">
        <v>354</v>
      </c>
      <c r="B136" t="str">
        <f t="shared" si="1"/>
        <v>The Pas</v>
      </c>
      <c r="C136" t="s">
        <v>493</v>
      </c>
      <c r="D136" s="58" t="s">
        <v>574</v>
      </c>
      <c r="E136" s="58" t="s">
        <v>569</v>
      </c>
      <c r="F136" t="s">
        <v>541</v>
      </c>
      <c r="G136" t="s">
        <v>487</v>
      </c>
    </row>
    <row r="137" spans="1:7">
      <c r="A137" t="s">
        <v>355</v>
      </c>
      <c r="B137" t="str">
        <f t="shared" si="1"/>
        <v>Parkland</v>
      </c>
      <c r="C137" t="s">
        <v>548</v>
      </c>
      <c r="D137" s="58" t="s">
        <v>548</v>
      </c>
      <c r="E137" s="58" t="s">
        <v>548</v>
      </c>
      <c r="F137" t="s">
        <v>542</v>
      </c>
      <c r="G137" t="s">
        <v>487</v>
      </c>
    </row>
    <row r="138" spans="1:7">
      <c r="A138" t="s">
        <v>220</v>
      </c>
      <c r="B138" t="str">
        <f t="shared" si="1"/>
        <v>Thompson</v>
      </c>
      <c r="C138" t="s">
        <v>488</v>
      </c>
      <c r="D138" s="58" t="s">
        <v>574</v>
      </c>
      <c r="E138" s="58" t="s">
        <v>567</v>
      </c>
      <c r="F138" t="s">
        <v>541</v>
      </c>
      <c r="G138" t="s">
        <v>487</v>
      </c>
    </row>
    <row r="139" spans="1:7">
      <c r="A139" t="s">
        <v>356</v>
      </c>
      <c r="B139" t="s">
        <v>572</v>
      </c>
      <c r="C139" t="s">
        <v>552</v>
      </c>
      <c r="D139" s="58" t="s">
        <v>575</v>
      </c>
      <c r="E139" s="58" t="s">
        <v>581</v>
      </c>
      <c r="F139" t="s">
        <v>545</v>
      </c>
      <c r="G139" t="s">
        <v>487</v>
      </c>
    </row>
    <row r="140" spans="1:7">
      <c r="A140" t="s">
        <v>649</v>
      </c>
      <c r="B140" t="s">
        <v>572</v>
      </c>
      <c r="C140" t="s">
        <v>552</v>
      </c>
      <c r="D140" s="58" t="s">
        <v>563</v>
      </c>
      <c r="E140" s="58" t="s">
        <v>577</v>
      </c>
      <c r="F140" s="58" t="s">
        <v>545</v>
      </c>
      <c r="G140" s="58" t="s">
        <v>487</v>
      </c>
    </row>
    <row r="141" spans="1:7">
      <c r="A141" t="s">
        <v>534</v>
      </c>
      <c r="B141" t="str">
        <f>VLOOKUP(C141,$L$368:$M$372,2,0)</f>
        <v>Interlake</v>
      </c>
      <c r="C141" t="s">
        <v>497</v>
      </c>
      <c r="D141" s="58" t="s">
        <v>497</v>
      </c>
      <c r="E141" s="58" t="s">
        <v>578</v>
      </c>
      <c r="F141" t="s">
        <v>545</v>
      </c>
      <c r="G141" t="s">
        <v>487</v>
      </c>
    </row>
    <row r="142" spans="1:7">
      <c r="A142" t="s">
        <v>357</v>
      </c>
      <c r="B142" t="s">
        <v>570</v>
      </c>
      <c r="C142" t="s">
        <v>559</v>
      </c>
      <c r="D142" s="58" t="s">
        <v>573</v>
      </c>
      <c r="E142" s="58" t="s">
        <v>581</v>
      </c>
      <c r="F142" t="s">
        <v>545</v>
      </c>
      <c r="G142" t="s">
        <v>487</v>
      </c>
    </row>
    <row r="143" spans="1:7">
      <c r="A143" t="s">
        <v>358</v>
      </c>
      <c r="B143" t="str">
        <f>VLOOKUP(C143,$L$368:$M$372,2,0)</f>
        <v>Interlake</v>
      </c>
      <c r="C143" t="s">
        <v>497</v>
      </c>
      <c r="D143" s="58" t="s">
        <v>497</v>
      </c>
      <c r="E143" s="58" t="s">
        <v>578</v>
      </c>
      <c r="F143" t="s">
        <v>545</v>
      </c>
      <c r="G143" t="s">
        <v>487</v>
      </c>
    </row>
    <row r="144" spans="1:7">
      <c r="A144" t="s">
        <v>496</v>
      </c>
      <c r="B144" t="str">
        <f>VLOOKUP(C144,$L$368:$M$372,2,0)</f>
        <v>Interlake</v>
      </c>
      <c r="C144" t="s">
        <v>497</v>
      </c>
      <c r="D144" s="58" t="s">
        <v>497</v>
      </c>
      <c r="E144" s="58" t="s">
        <v>579</v>
      </c>
      <c r="F144" t="s">
        <v>541</v>
      </c>
      <c r="G144" t="s">
        <v>487</v>
      </c>
    </row>
    <row r="145" spans="1:7">
      <c r="A145" t="s">
        <v>359</v>
      </c>
      <c r="B145" t="s">
        <v>570</v>
      </c>
      <c r="C145" t="s">
        <v>557</v>
      </c>
      <c r="D145" s="58" t="s">
        <v>573</v>
      </c>
      <c r="E145" s="58" t="s">
        <v>571</v>
      </c>
      <c r="F145" t="s">
        <v>545</v>
      </c>
      <c r="G145" t="s">
        <v>487</v>
      </c>
    </row>
    <row r="146" spans="1:7">
      <c r="A146" t="s">
        <v>360</v>
      </c>
      <c r="B146" t="s">
        <v>572</v>
      </c>
      <c r="C146" t="s">
        <v>558</v>
      </c>
      <c r="D146" s="58" t="s">
        <v>572</v>
      </c>
      <c r="E146" s="58" t="s">
        <v>565</v>
      </c>
      <c r="F146" t="s">
        <v>542</v>
      </c>
      <c r="G146" t="s">
        <v>487</v>
      </c>
    </row>
    <row r="147" spans="1:7">
      <c r="A147" t="s">
        <v>608</v>
      </c>
      <c r="B147" t="s">
        <v>570</v>
      </c>
      <c r="C147" t="s">
        <v>559</v>
      </c>
      <c r="D147" s="58" t="s">
        <v>573</v>
      </c>
      <c r="E147" s="58" t="s">
        <v>581</v>
      </c>
      <c r="F147" t="s">
        <v>545</v>
      </c>
      <c r="G147" t="s">
        <v>487</v>
      </c>
    </row>
    <row r="148" spans="1:7">
      <c r="A148" t="s">
        <v>671</v>
      </c>
      <c r="B148" t="s">
        <v>572</v>
      </c>
      <c r="C148" t="s">
        <v>558</v>
      </c>
      <c r="D148" s="58" t="s">
        <v>572</v>
      </c>
      <c r="E148" s="58" t="s">
        <v>565</v>
      </c>
      <c r="F148" s="58" t="s">
        <v>542</v>
      </c>
      <c r="G148" s="58" t="s">
        <v>487</v>
      </c>
    </row>
    <row r="149" spans="1:7">
      <c r="A149" t="s">
        <v>361</v>
      </c>
      <c r="B149" t="s">
        <v>572</v>
      </c>
      <c r="C149" t="s">
        <v>558</v>
      </c>
      <c r="D149" s="58" t="s">
        <v>572</v>
      </c>
      <c r="E149" s="58" t="s">
        <v>565</v>
      </c>
      <c r="F149" t="s">
        <v>542</v>
      </c>
      <c r="G149" t="s">
        <v>487</v>
      </c>
    </row>
    <row r="150" spans="1:7">
      <c r="A150" t="s">
        <v>221</v>
      </c>
      <c r="B150" t="str">
        <f>VLOOKUP(C150,$L$368:$M$372,2,0)</f>
        <v>Interlake</v>
      </c>
      <c r="C150" t="s">
        <v>497</v>
      </c>
      <c r="D150" s="58" t="s">
        <v>497</v>
      </c>
      <c r="E150" s="58" t="s">
        <v>578</v>
      </c>
      <c r="F150" t="s">
        <v>542</v>
      </c>
      <c r="G150" t="s">
        <v>487</v>
      </c>
    </row>
    <row r="151" spans="1:7">
      <c r="A151" t="s">
        <v>653</v>
      </c>
      <c r="B151" t="s">
        <v>572</v>
      </c>
      <c r="C151" t="s">
        <v>552</v>
      </c>
      <c r="D151" s="58" t="s">
        <v>563</v>
      </c>
      <c r="E151" s="58" t="s">
        <v>582</v>
      </c>
      <c r="F151" s="58" t="s">
        <v>545</v>
      </c>
      <c r="G151" s="58" t="s">
        <v>487</v>
      </c>
    </row>
    <row r="152" spans="1:7">
      <c r="A152" t="s">
        <v>535</v>
      </c>
      <c r="B152" t="str">
        <f>VLOOKUP(C152,$L$368:$M$372,2,0)</f>
        <v>Interlake</v>
      </c>
      <c r="C152" t="s">
        <v>497</v>
      </c>
      <c r="D152" s="58" t="s">
        <v>497</v>
      </c>
      <c r="E152" s="58" t="s">
        <v>578</v>
      </c>
      <c r="F152" t="s">
        <v>542</v>
      </c>
      <c r="G152" t="s">
        <v>487</v>
      </c>
    </row>
    <row r="153" spans="1:7">
      <c r="A153" t="s">
        <v>222</v>
      </c>
      <c r="B153" t="str">
        <f>VLOOKUP(C153,$L$368:$M$372,2,0)</f>
        <v>The Pas</v>
      </c>
      <c r="C153" t="s">
        <v>493</v>
      </c>
      <c r="D153" s="58" t="s">
        <v>574</v>
      </c>
      <c r="E153" s="58" t="s">
        <v>568</v>
      </c>
      <c r="F153" t="s">
        <v>541</v>
      </c>
      <c r="G153" t="s">
        <v>487</v>
      </c>
    </row>
    <row r="154" spans="1:7">
      <c r="A154" t="s">
        <v>549</v>
      </c>
      <c r="B154" t="str">
        <f>VLOOKUP(C154,$L$368:$M$372,2,0)</f>
        <v>Parkland</v>
      </c>
      <c r="C154" t="s">
        <v>548</v>
      </c>
      <c r="D154" s="58" t="s">
        <v>548</v>
      </c>
      <c r="E154" s="58" t="s">
        <v>548</v>
      </c>
      <c r="F154" t="s">
        <v>542</v>
      </c>
      <c r="G154" t="s">
        <v>487</v>
      </c>
    </row>
    <row r="155" spans="1:7">
      <c r="A155" t="s">
        <v>362</v>
      </c>
      <c r="B155" t="s">
        <v>572</v>
      </c>
      <c r="C155" t="s">
        <v>552</v>
      </c>
      <c r="D155" s="58" t="s">
        <v>563</v>
      </c>
      <c r="E155" s="58" t="s">
        <v>577</v>
      </c>
      <c r="F155" t="s">
        <v>545</v>
      </c>
      <c r="G155" t="s">
        <v>487</v>
      </c>
    </row>
    <row r="156" spans="1:7">
      <c r="A156" t="s">
        <v>536</v>
      </c>
      <c r="B156" t="str">
        <f>VLOOKUP(C156,$L$368:$M$372,2,0)</f>
        <v>Interlake</v>
      </c>
      <c r="C156" t="s">
        <v>497</v>
      </c>
      <c r="D156" s="58" t="s">
        <v>497</v>
      </c>
      <c r="E156" s="58" t="s">
        <v>578</v>
      </c>
      <c r="F156" t="s">
        <v>542</v>
      </c>
      <c r="G156" t="s">
        <v>487</v>
      </c>
    </row>
    <row r="157" spans="1:7">
      <c r="A157" t="s">
        <v>363</v>
      </c>
      <c r="B157" t="s">
        <v>572</v>
      </c>
      <c r="C157" t="s">
        <v>558</v>
      </c>
      <c r="D157" s="58" t="s">
        <v>572</v>
      </c>
      <c r="E157" s="58" t="s">
        <v>577</v>
      </c>
      <c r="F157" t="s">
        <v>545</v>
      </c>
      <c r="G157" t="s">
        <v>487</v>
      </c>
    </row>
    <row r="158" spans="1:7">
      <c r="A158" t="s">
        <v>223</v>
      </c>
      <c r="B158" t="s">
        <v>570</v>
      </c>
      <c r="C158" t="s">
        <v>557</v>
      </c>
      <c r="D158" s="58" t="s">
        <v>573</v>
      </c>
      <c r="E158" s="58" t="s">
        <v>570</v>
      </c>
      <c r="F158" t="s">
        <v>541</v>
      </c>
      <c r="G158" t="s">
        <v>589</v>
      </c>
    </row>
    <row r="159" spans="1:7">
      <c r="A159" t="s">
        <v>224</v>
      </c>
      <c r="B159" t="str">
        <f>VLOOKUP(C159,$L$368:$M$372,2,0)</f>
        <v>Interlake</v>
      </c>
      <c r="C159" t="s">
        <v>497</v>
      </c>
      <c r="D159" s="58" t="s">
        <v>497</v>
      </c>
      <c r="E159" s="58" t="s">
        <v>579</v>
      </c>
      <c r="F159" t="s">
        <v>541</v>
      </c>
      <c r="G159" t="s">
        <v>487</v>
      </c>
    </row>
    <row r="160" spans="1:7">
      <c r="A160" t="s">
        <v>364</v>
      </c>
      <c r="B160" t="s">
        <v>570</v>
      </c>
      <c r="C160" t="s">
        <v>559</v>
      </c>
      <c r="D160" s="58" t="s">
        <v>573</v>
      </c>
      <c r="E160" s="58" t="s">
        <v>581</v>
      </c>
      <c r="F160" t="s">
        <v>545</v>
      </c>
      <c r="G160" t="s">
        <v>487</v>
      </c>
    </row>
    <row r="161" spans="1:11">
      <c r="A161" t="s">
        <v>365</v>
      </c>
      <c r="B161" t="str">
        <f>VLOOKUP(C161,$L$368:$M$372,2,0)</f>
        <v>Thompson</v>
      </c>
      <c r="C161" t="s">
        <v>488</v>
      </c>
      <c r="D161" s="58" t="s">
        <v>574</v>
      </c>
      <c r="E161" s="58" t="s">
        <v>485</v>
      </c>
      <c r="F161" t="s">
        <v>541</v>
      </c>
      <c r="G161" t="s">
        <v>487</v>
      </c>
    </row>
    <row r="162" spans="1:11">
      <c r="A162" t="s">
        <v>366</v>
      </c>
      <c r="B162" t="str">
        <f>VLOOKUP(C162,$L$368:$M$372,2,0)</f>
        <v>Thompson</v>
      </c>
      <c r="C162" t="s">
        <v>488</v>
      </c>
      <c r="D162" s="58" t="s">
        <v>574</v>
      </c>
      <c r="E162" s="58" t="s">
        <v>566</v>
      </c>
      <c r="F162" t="s">
        <v>541</v>
      </c>
      <c r="G162" t="s">
        <v>487</v>
      </c>
    </row>
    <row r="163" spans="1:11">
      <c r="A163" t="s">
        <v>225</v>
      </c>
      <c r="B163" t="s">
        <v>572</v>
      </c>
      <c r="C163" t="s">
        <v>558</v>
      </c>
      <c r="D163" s="58" t="s">
        <v>572</v>
      </c>
      <c r="E163" s="58" t="s">
        <v>565</v>
      </c>
      <c r="F163" t="s">
        <v>542</v>
      </c>
      <c r="G163" t="s">
        <v>588</v>
      </c>
    </row>
    <row r="164" spans="1:11">
      <c r="A164" t="s">
        <v>495</v>
      </c>
      <c r="B164" t="str">
        <f>VLOOKUP(C164,$L$368:$M$372,2,0)</f>
        <v>Thompson</v>
      </c>
      <c r="C164" t="s">
        <v>488</v>
      </c>
      <c r="D164" s="58" t="s">
        <v>574</v>
      </c>
      <c r="E164" s="58" t="s">
        <v>485</v>
      </c>
      <c r="F164" t="s">
        <v>541</v>
      </c>
      <c r="G164" t="s">
        <v>487</v>
      </c>
    </row>
    <row r="165" spans="1:11">
      <c r="A165" t="s">
        <v>367</v>
      </c>
      <c r="B165" t="s">
        <v>572</v>
      </c>
      <c r="C165" t="s">
        <v>558</v>
      </c>
      <c r="D165" s="58" t="s">
        <v>572</v>
      </c>
      <c r="E165" s="58" t="s">
        <v>565</v>
      </c>
      <c r="F165" t="s">
        <v>542</v>
      </c>
      <c r="G165" t="s">
        <v>487</v>
      </c>
    </row>
    <row r="166" spans="1:11">
      <c r="A166" t="s">
        <v>562</v>
      </c>
      <c r="B166" t="str">
        <f>VLOOKUP(C166,$L$368:$M$372,2,0)</f>
        <v>Parkland</v>
      </c>
      <c r="C166" t="s">
        <v>548</v>
      </c>
      <c r="D166" s="58" t="s">
        <v>548</v>
      </c>
      <c r="E166" s="58" t="s">
        <v>548</v>
      </c>
      <c r="F166" t="s">
        <v>547</v>
      </c>
      <c r="G166" t="s">
        <v>487</v>
      </c>
    </row>
    <row r="167" spans="1:11">
      <c r="A167" t="s">
        <v>368</v>
      </c>
      <c r="B167" t="s">
        <v>572</v>
      </c>
      <c r="C167" t="s">
        <v>558</v>
      </c>
      <c r="D167" s="58" t="s">
        <v>572</v>
      </c>
      <c r="E167" s="58" t="s">
        <v>565</v>
      </c>
      <c r="F167" t="s">
        <v>542</v>
      </c>
      <c r="G167" t="s">
        <v>487</v>
      </c>
    </row>
    <row r="168" spans="1:11">
      <c r="A168" t="s">
        <v>369</v>
      </c>
      <c r="B168" t="s">
        <v>572</v>
      </c>
      <c r="C168" t="s">
        <v>558</v>
      </c>
      <c r="D168" s="58" t="s">
        <v>572</v>
      </c>
      <c r="E168" s="58" t="s">
        <v>565</v>
      </c>
      <c r="F168" t="s">
        <v>545</v>
      </c>
      <c r="G168" t="s">
        <v>487</v>
      </c>
      <c r="H168" s="105"/>
      <c r="I168" s="105"/>
      <c r="J168" s="105"/>
      <c r="K168" s="105"/>
    </row>
    <row r="169" spans="1:11">
      <c r="A169" t="s">
        <v>226</v>
      </c>
      <c r="B169" t="str">
        <f>VLOOKUP(C169,$L$368:$M$372,2,0)</f>
        <v>Interlake</v>
      </c>
      <c r="C169" t="s">
        <v>497</v>
      </c>
      <c r="D169" s="58" t="s">
        <v>497</v>
      </c>
      <c r="E169" s="58" t="s">
        <v>578</v>
      </c>
      <c r="F169" t="s">
        <v>542</v>
      </c>
      <c r="G169" t="s">
        <v>590</v>
      </c>
      <c r="H169" s="115"/>
      <c r="I169" s="115"/>
      <c r="J169" s="115"/>
      <c r="K169" s="115"/>
    </row>
    <row r="170" spans="1:11">
      <c r="A170" t="s">
        <v>370</v>
      </c>
      <c r="B170" t="s">
        <v>570</v>
      </c>
      <c r="C170" t="s">
        <v>559</v>
      </c>
      <c r="D170" s="58" t="s">
        <v>573</v>
      </c>
      <c r="E170" s="58" t="s">
        <v>581</v>
      </c>
      <c r="F170" t="s">
        <v>545</v>
      </c>
      <c r="G170" t="s">
        <v>487</v>
      </c>
      <c r="H170" s="105"/>
      <c r="I170" s="105"/>
      <c r="J170" s="105"/>
      <c r="K170" s="105"/>
    </row>
    <row r="171" spans="1:11">
      <c r="A171" t="s">
        <v>371</v>
      </c>
      <c r="B171" t="s">
        <v>570</v>
      </c>
      <c r="C171" t="s">
        <v>559</v>
      </c>
      <c r="D171" s="58" t="s">
        <v>573</v>
      </c>
      <c r="E171" s="58" t="s">
        <v>571</v>
      </c>
      <c r="F171" t="s">
        <v>545</v>
      </c>
      <c r="G171" t="s">
        <v>487</v>
      </c>
      <c r="H171" s="105"/>
      <c r="I171" s="105"/>
      <c r="J171" s="105"/>
      <c r="K171" s="105"/>
    </row>
    <row r="172" spans="1:11">
      <c r="A172" t="s">
        <v>372</v>
      </c>
      <c r="B172" t="s">
        <v>572</v>
      </c>
      <c r="C172" t="s">
        <v>552</v>
      </c>
      <c r="D172" s="58" t="s">
        <v>572</v>
      </c>
      <c r="E172" s="58" t="s">
        <v>565</v>
      </c>
      <c r="F172" t="s">
        <v>545</v>
      </c>
      <c r="G172" t="s">
        <v>487</v>
      </c>
      <c r="H172" s="105"/>
      <c r="I172" s="105"/>
      <c r="J172" s="105"/>
      <c r="K172" s="105"/>
    </row>
    <row r="173" spans="1:11">
      <c r="A173" t="s">
        <v>555</v>
      </c>
      <c r="B173" t="s">
        <v>572</v>
      </c>
      <c r="C173" t="s">
        <v>552</v>
      </c>
      <c r="D173" s="58" t="s">
        <v>575</v>
      </c>
      <c r="E173" s="58" t="s">
        <v>581</v>
      </c>
      <c r="F173" t="s">
        <v>545</v>
      </c>
      <c r="G173" t="s">
        <v>487</v>
      </c>
      <c r="H173" s="105"/>
      <c r="I173" s="105"/>
      <c r="J173" s="105"/>
      <c r="K173" s="105"/>
    </row>
    <row r="174" spans="1:11">
      <c r="A174" t="s">
        <v>373</v>
      </c>
      <c r="B174" t="str">
        <f>VLOOKUP(C174,$L$368:$M$372,2,0)</f>
        <v>Thompson</v>
      </c>
      <c r="C174" t="s">
        <v>488</v>
      </c>
      <c r="D174" s="58" t="s">
        <v>574</v>
      </c>
      <c r="E174" s="58" t="s">
        <v>567</v>
      </c>
      <c r="F174" t="s">
        <v>540</v>
      </c>
      <c r="G174" t="s">
        <v>487</v>
      </c>
      <c r="H174" s="105"/>
      <c r="I174" s="105"/>
      <c r="J174" s="105"/>
      <c r="K174" s="105"/>
    </row>
    <row r="175" spans="1:11">
      <c r="A175" t="s">
        <v>374</v>
      </c>
      <c r="B175" t="s">
        <v>570</v>
      </c>
      <c r="C175" t="s">
        <v>557</v>
      </c>
      <c r="D175" s="58" t="s">
        <v>573</v>
      </c>
      <c r="E175" s="58" t="s">
        <v>571</v>
      </c>
      <c r="F175" t="s">
        <v>545</v>
      </c>
      <c r="G175" t="s">
        <v>487</v>
      </c>
      <c r="H175" s="105"/>
      <c r="I175" s="105"/>
      <c r="J175" s="105"/>
      <c r="K175" s="105"/>
    </row>
    <row r="176" spans="1:11">
      <c r="A176" t="s">
        <v>227</v>
      </c>
      <c r="B176" t="str">
        <f>VLOOKUP(C176,$L$368:$M$372,2,0)</f>
        <v>Interlake</v>
      </c>
      <c r="C176" t="s">
        <v>497</v>
      </c>
      <c r="D176" s="58" t="s">
        <v>497</v>
      </c>
      <c r="E176" s="58" t="s">
        <v>579</v>
      </c>
      <c r="F176" t="s">
        <v>542</v>
      </c>
      <c r="G176" t="s">
        <v>590</v>
      </c>
      <c r="H176" s="105"/>
      <c r="I176" s="105"/>
      <c r="J176" s="105"/>
      <c r="K176" s="105"/>
    </row>
    <row r="177" spans="1:11">
      <c r="A177" t="s">
        <v>228</v>
      </c>
      <c r="B177" t="str">
        <f>VLOOKUP(C177,$L$368:$M$372,2,0)</f>
        <v>Interlake</v>
      </c>
      <c r="C177" t="s">
        <v>497</v>
      </c>
      <c r="D177" s="58" t="s">
        <v>497</v>
      </c>
      <c r="E177" s="58" t="s">
        <v>579</v>
      </c>
      <c r="F177" t="s">
        <v>541</v>
      </c>
      <c r="G177" t="s">
        <v>590</v>
      </c>
      <c r="H177" s="105"/>
      <c r="I177" s="105"/>
      <c r="J177" s="105"/>
      <c r="K177" s="105"/>
    </row>
    <row r="178" spans="1:11">
      <c r="A178" t="s">
        <v>647</v>
      </c>
      <c r="B178" t="s">
        <v>572</v>
      </c>
      <c r="C178" t="s">
        <v>552</v>
      </c>
      <c r="D178" s="58" t="s">
        <v>563</v>
      </c>
      <c r="E178" s="58" t="s">
        <v>577</v>
      </c>
      <c r="F178" s="58" t="s">
        <v>545</v>
      </c>
      <c r="G178" s="58" t="s">
        <v>487</v>
      </c>
      <c r="H178" s="105"/>
      <c r="I178" s="105"/>
      <c r="J178" s="105"/>
      <c r="K178" s="105"/>
    </row>
    <row r="179" spans="1:11">
      <c r="A179" t="s">
        <v>375</v>
      </c>
      <c r="B179" t="s">
        <v>570</v>
      </c>
      <c r="C179" t="s">
        <v>559</v>
      </c>
      <c r="D179" s="58" t="s">
        <v>573</v>
      </c>
      <c r="E179" s="58" t="s">
        <v>581</v>
      </c>
      <c r="F179" t="s">
        <v>545</v>
      </c>
      <c r="G179" t="s">
        <v>487</v>
      </c>
      <c r="H179" s="105"/>
      <c r="I179" s="105"/>
      <c r="J179" s="105"/>
      <c r="K179" s="105"/>
    </row>
    <row r="180" spans="1:11">
      <c r="A180" t="s">
        <v>663</v>
      </c>
      <c r="B180" t="s">
        <v>572</v>
      </c>
      <c r="C180" t="s">
        <v>558</v>
      </c>
      <c r="D180" s="58" t="s">
        <v>572</v>
      </c>
      <c r="E180" s="58" t="s">
        <v>565</v>
      </c>
      <c r="F180" s="58" t="s">
        <v>542</v>
      </c>
      <c r="G180" s="58" t="s">
        <v>487</v>
      </c>
      <c r="H180" s="105"/>
      <c r="I180" s="105"/>
      <c r="J180" s="105"/>
      <c r="K180" s="105"/>
    </row>
    <row r="181" spans="1:11">
      <c r="A181" t="s">
        <v>645</v>
      </c>
      <c r="B181" t="s">
        <v>572</v>
      </c>
      <c r="C181" t="s">
        <v>558</v>
      </c>
      <c r="D181" s="58" t="s">
        <v>572</v>
      </c>
      <c r="E181" s="58" t="s">
        <v>577</v>
      </c>
      <c r="F181" s="58" t="s">
        <v>542</v>
      </c>
      <c r="G181" s="58" t="s">
        <v>487</v>
      </c>
      <c r="H181" s="105"/>
      <c r="I181" s="105"/>
      <c r="J181" s="105"/>
      <c r="K181" s="105"/>
    </row>
    <row r="182" spans="1:11">
      <c r="A182" t="s">
        <v>576</v>
      </c>
      <c r="B182" t="str">
        <f>VLOOKUP(C182,$L$368:$M$372,2,0)</f>
        <v>Parkland</v>
      </c>
      <c r="C182" t="s">
        <v>548</v>
      </c>
      <c r="D182" s="58" t="s">
        <v>548</v>
      </c>
      <c r="E182" s="58" t="s">
        <v>548</v>
      </c>
      <c r="F182" s="58" t="s">
        <v>542</v>
      </c>
      <c r="G182" t="s">
        <v>487</v>
      </c>
      <c r="H182" s="105"/>
      <c r="I182" s="105"/>
      <c r="J182" s="105"/>
      <c r="K182" s="105"/>
    </row>
    <row r="183" spans="1:11">
      <c r="A183" t="s">
        <v>550</v>
      </c>
      <c r="B183" t="str">
        <f>VLOOKUP(C183,$L$368:$M$372,2,0)</f>
        <v>Parkland</v>
      </c>
      <c r="C183" t="s">
        <v>548</v>
      </c>
      <c r="D183" s="58" t="s">
        <v>548</v>
      </c>
      <c r="E183" s="58" t="s">
        <v>548</v>
      </c>
      <c r="F183" t="s">
        <v>542</v>
      </c>
      <c r="G183" t="s">
        <v>487</v>
      </c>
      <c r="H183" s="105"/>
      <c r="I183" s="105"/>
      <c r="J183" s="105"/>
      <c r="K183" s="105"/>
    </row>
    <row r="184" spans="1:11">
      <c r="A184" t="s">
        <v>376</v>
      </c>
      <c r="B184" t="str">
        <f>VLOOKUP(C184,$L$368:$M$372,2,0)</f>
        <v>Thompson</v>
      </c>
      <c r="C184" t="s">
        <v>488</v>
      </c>
      <c r="D184" s="58" t="s">
        <v>574</v>
      </c>
      <c r="E184" s="58" t="s">
        <v>567</v>
      </c>
      <c r="F184" t="s">
        <v>541</v>
      </c>
      <c r="G184" t="s">
        <v>487</v>
      </c>
      <c r="H184" s="105"/>
      <c r="I184" s="105"/>
      <c r="J184" s="105"/>
      <c r="K184" s="105"/>
    </row>
    <row r="185" spans="1:11">
      <c r="A185" t="s">
        <v>377</v>
      </c>
      <c r="B185" t="str">
        <f>VLOOKUP(C185,$L$368:$M$372,2,0)</f>
        <v>Interlake</v>
      </c>
      <c r="C185" t="s">
        <v>497</v>
      </c>
      <c r="D185" s="58" t="s">
        <v>573</v>
      </c>
      <c r="E185" s="58" t="s">
        <v>580</v>
      </c>
      <c r="F185" t="s">
        <v>545</v>
      </c>
      <c r="G185" t="s">
        <v>487</v>
      </c>
      <c r="H185" s="105"/>
      <c r="I185" s="105"/>
      <c r="J185" s="105"/>
      <c r="K185" s="105"/>
    </row>
    <row r="186" spans="1:11">
      <c r="A186" t="s">
        <v>378</v>
      </c>
      <c r="B186" t="s">
        <v>570</v>
      </c>
      <c r="C186" t="s">
        <v>557</v>
      </c>
      <c r="D186" s="58" t="s">
        <v>573</v>
      </c>
      <c r="E186" s="58" t="s">
        <v>570</v>
      </c>
      <c r="F186" t="s">
        <v>541</v>
      </c>
      <c r="G186" t="s">
        <v>487</v>
      </c>
      <c r="H186" s="105"/>
      <c r="I186" s="105"/>
      <c r="J186" s="105"/>
      <c r="K186" s="105"/>
    </row>
    <row r="187" spans="1:11">
      <c r="A187" t="s">
        <v>229</v>
      </c>
      <c r="B187" t="s">
        <v>570</v>
      </c>
      <c r="C187" t="s">
        <v>557</v>
      </c>
      <c r="D187" s="58" t="s">
        <v>573</v>
      </c>
      <c r="E187" s="58" t="s">
        <v>570</v>
      </c>
      <c r="F187" t="s">
        <v>541</v>
      </c>
      <c r="G187" t="s">
        <v>589</v>
      </c>
      <c r="H187" s="105"/>
      <c r="I187" s="105"/>
      <c r="J187" s="105"/>
      <c r="K187" s="105"/>
    </row>
    <row r="188" spans="1:11">
      <c r="A188" t="s">
        <v>230</v>
      </c>
      <c r="B188" t="str">
        <f>VLOOKUP(C188,$L$368:$M$372,2,0)</f>
        <v>Interlake</v>
      </c>
      <c r="C188" t="s">
        <v>497</v>
      </c>
      <c r="D188" s="58" t="s">
        <v>497</v>
      </c>
      <c r="E188" s="58" t="s">
        <v>579</v>
      </c>
      <c r="F188" t="s">
        <v>541</v>
      </c>
      <c r="G188" t="s">
        <v>590</v>
      </c>
      <c r="H188" s="105"/>
      <c r="I188" s="105"/>
      <c r="J188" s="105"/>
      <c r="K188" s="105"/>
    </row>
    <row r="189" spans="1:11">
      <c r="A189" t="s">
        <v>379</v>
      </c>
      <c r="B189" t="str">
        <f>VLOOKUP(C189,$L$368:$M$372,2,0)</f>
        <v>Interlake</v>
      </c>
      <c r="C189" t="s">
        <v>497</v>
      </c>
      <c r="D189" s="58" t="s">
        <v>497</v>
      </c>
      <c r="E189" s="58" t="s">
        <v>580</v>
      </c>
      <c r="F189" t="s">
        <v>545</v>
      </c>
      <c r="G189" t="s">
        <v>487</v>
      </c>
      <c r="H189" s="105"/>
      <c r="I189" s="105"/>
      <c r="J189" s="105"/>
      <c r="K189" s="105"/>
    </row>
    <row r="190" spans="1:11">
      <c r="A190" t="s">
        <v>712</v>
      </c>
      <c r="B190" t="s">
        <v>572</v>
      </c>
      <c r="C190" t="s">
        <v>552</v>
      </c>
      <c r="D190" s="58" t="s">
        <v>563</v>
      </c>
      <c r="E190" s="58" t="s">
        <v>582</v>
      </c>
      <c r="F190" t="s">
        <v>545</v>
      </c>
      <c r="G190" t="s">
        <v>587</v>
      </c>
      <c r="H190" s="105"/>
      <c r="I190" s="105"/>
      <c r="J190" s="105"/>
      <c r="K190" s="105"/>
    </row>
    <row r="191" spans="1:11">
      <c r="A191" t="s">
        <v>231</v>
      </c>
      <c r="B191" t="s">
        <v>570</v>
      </c>
      <c r="C191" t="s">
        <v>557</v>
      </c>
      <c r="D191" s="58" t="s">
        <v>573</v>
      </c>
      <c r="E191" s="58" t="s">
        <v>570</v>
      </c>
      <c r="F191" t="s">
        <v>541</v>
      </c>
      <c r="G191" t="s">
        <v>487</v>
      </c>
      <c r="H191" s="105"/>
      <c r="I191" s="105"/>
      <c r="J191" s="105"/>
      <c r="K191" s="105"/>
    </row>
    <row r="192" spans="1:11">
      <c r="A192" t="s">
        <v>380</v>
      </c>
      <c r="B192" t="s">
        <v>570</v>
      </c>
      <c r="C192" t="s">
        <v>559</v>
      </c>
      <c r="D192" s="58" t="s">
        <v>573</v>
      </c>
      <c r="E192" s="58" t="s">
        <v>581</v>
      </c>
      <c r="F192" t="s">
        <v>545</v>
      </c>
      <c r="G192" t="s">
        <v>487</v>
      </c>
      <c r="H192" s="105"/>
      <c r="I192" s="105"/>
      <c r="J192" s="105"/>
      <c r="K192" s="105"/>
    </row>
    <row r="193" spans="1:11">
      <c r="A193" t="s">
        <v>618</v>
      </c>
      <c r="B193" t="s">
        <v>572</v>
      </c>
      <c r="C193" t="s">
        <v>552</v>
      </c>
      <c r="D193" s="58" t="s">
        <v>575</v>
      </c>
      <c r="E193" s="58" t="s">
        <v>577</v>
      </c>
      <c r="F193" s="58" t="s">
        <v>545</v>
      </c>
      <c r="G193" s="58" t="s">
        <v>487</v>
      </c>
      <c r="H193" s="105"/>
      <c r="I193" s="105"/>
      <c r="J193" s="105"/>
      <c r="K193" s="105"/>
    </row>
    <row r="194" spans="1:11">
      <c r="A194" t="s">
        <v>617</v>
      </c>
      <c r="B194" t="s">
        <v>572</v>
      </c>
      <c r="C194" t="s">
        <v>552</v>
      </c>
      <c r="D194" s="58" t="s">
        <v>575</v>
      </c>
      <c r="E194" s="58" t="s">
        <v>577</v>
      </c>
      <c r="F194" s="58" t="s">
        <v>545</v>
      </c>
      <c r="G194" s="58" t="s">
        <v>487</v>
      </c>
      <c r="H194" s="105"/>
      <c r="I194" s="105"/>
      <c r="J194" s="105"/>
      <c r="K194" s="105"/>
    </row>
    <row r="195" spans="1:11">
      <c r="A195" t="s">
        <v>381</v>
      </c>
      <c r="B195" t="str">
        <f>VLOOKUP(C195,$L$368:$M$372,2,0)</f>
        <v>Interlake</v>
      </c>
      <c r="C195" t="s">
        <v>497</v>
      </c>
      <c r="D195" s="58" t="s">
        <v>497</v>
      </c>
      <c r="E195" s="58" t="s">
        <v>579</v>
      </c>
      <c r="F195" t="s">
        <v>545</v>
      </c>
      <c r="G195" t="s">
        <v>487</v>
      </c>
      <c r="H195" s="105"/>
      <c r="I195" s="105"/>
      <c r="J195" s="105"/>
      <c r="K195" s="105"/>
    </row>
    <row r="196" spans="1:11">
      <c r="A196" t="s">
        <v>709</v>
      </c>
      <c r="B196" t="str">
        <f>VLOOKUP(C196,$L$368:$M$372,2,0)</f>
        <v>Thompson</v>
      </c>
      <c r="C196" t="s">
        <v>488</v>
      </c>
      <c r="D196" s="58" t="s">
        <v>574</v>
      </c>
      <c r="E196" s="58" t="s">
        <v>567</v>
      </c>
      <c r="F196" t="s">
        <v>541</v>
      </c>
      <c r="G196" t="s">
        <v>487</v>
      </c>
      <c r="H196" s="105"/>
      <c r="I196" s="105"/>
      <c r="J196" s="105"/>
      <c r="K196" s="105"/>
    </row>
    <row r="197" spans="1:11">
      <c r="A197" t="s">
        <v>650</v>
      </c>
      <c r="B197" t="s">
        <v>572</v>
      </c>
      <c r="C197" t="s">
        <v>552</v>
      </c>
      <c r="D197" s="58" t="s">
        <v>563</v>
      </c>
      <c r="E197" s="58" t="s">
        <v>582</v>
      </c>
      <c r="F197" s="58" t="s">
        <v>545</v>
      </c>
      <c r="G197" s="58" t="s">
        <v>487</v>
      </c>
      <c r="H197" s="105"/>
      <c r="I197" s="105"/>
      <c r="J197" s="105"/>
      <c r="K197" s="105"/>
    </row>
    <row r="198" spans="1:11">
      <c r="A198" t="s">
        <v>644</v>
      </c>
      <c r="B198" t="s">
        <v>572</v>
      </c>
      <c r="C198" t="s">
        <v>552</v>
      </c>
      <c r="D198" s="58" t="s">
        <v>563</v>
      </c>
      <c r="E198" s="58" t="s">
        <v>577</v>
      </c>
      <c r="F198" t="s">
        <v>545</v>
      </c>
      <c r="G198" t="s">
        <v>487</v>
      </c>
      <c r="H198" s="105"/>
      <c r="I198" s="105"/>
      <c r="J198" s="105"/>
      <c r="K198" s="105"/>
    </row>
    <row r="199" spans="1:11">
      <c r="A199" t="s">
        <v>232</v>
      </c>
      <c r="B199" t="str">
        <f>VLOOKUP(C199,$L$368:$M$372,2,0)</f>
        <v>Parkland</v>
      </c>
      <c r="C199" t="s">
        <v>548</v>
      </c>
      <c r="D199" s="58" t="s">
        <v>548</v>
      </c>
      <c r="E199" s="58" t="s">
        <v>548</v>
      </c>
      <c r="F199" t="s">
        <v>542</v>
      </c>
      <c r="G199" t="s">
        <v>487</v>
      </c>
      <c r="H199" s="105"/>
      <c r="I199" s="105"/>
      <c r="J199" s="105"/>
      <c r="K199" s="105"/>
    </row>
    <row r="200" spans="1:11">
      <c r="A200" t="s">
        <v>233</v>
      </c>
      <c r="B200" t="s">
        <v>570</v>
      </c>
      <c r="C200" t="s">
        <v>557</v>
      </c>
      <c r="D200" s="58" t="s">
        <v>573</v>
      </c>
      <c r="E200" s="58" t="s">
        <v>571</v>
      </c>
      <c r="F200" t="s">
        <v>541</v>
      </c>
      <c r="G200" t="s">
        <v>487</v>
      </c>
      <c r="H200" s="105"/>
      <c r="I200" s="105"/>
      <c r="J200" s="105"/>
      <c r="K200" s="105"/>
    </row>
    <row r="201" spans="1:11">
      <c r="A201" t="s">
        <v>667</v>
      </c>
      <c r="B201" t="s">
        <v>572</v>
      </c>
      <c r="C201" t="s">
        <v>558</v>
      </c>
      <c r="D201" s="58" t="s">
        <v>572</v>
      </c>
      <c r="E201" s="58" t="s">
        <v>565</v>
      </c>
      <c r="F201" s="58" t="s">
        <v>542</v>
      </c>
      <c r="G201" s="58" t="s">
        <v>487</v>
      </c>
      <c r="H201" s="105"/>
      <c r="I201" s="105"/>
      <c r="J201" s="105"/>
      <c r="K201" s="105"/>
    </row>
    <row r="202" spans="1:11">
      <c r="A202" t="s">
        <v>382</v>
      </c>
      <c r="B202" t="s">
        <v>572</v>
      </c>
      <c r="C202" t="s">
        <v>552</v>
      </c>
      <c r="D202" s="58" t="s">
        <v>572</v>
      </c>
      <c r="E202" s="58" t="s">
        <v>577</v>
      </c>
      <c r="F202" t="s">
        <v>545</v>
      </c>
      <c r="G202" t="s">
        <v>487</v>
      </c>
      <c r="H202" s="105"/>
      <c r="I202" s="105"/>
      <c r="J202" s="105"/>
      <c r="K202" s="105"/>
    </row>
    <row r="203" spans="1:11">
      <c r="A203" t="s">
        <v>234</v>
      </c>
      <c r="B203" t="str">
        <f t="shared" ref="B203:B209" si="2">VLOOKUP(C203,$L$368:$M$372,2,0)</f>
        <v>Thompson</v>
      </c>
      <c r="C203" t="s">
        <v>488</v>
      </c>
      <c r="D203" s="58" t="s">
        <v>574</v>
      </c>
      <c r="E203" s="58" t="s">
        <v>566</v>
      </c>
      <c r="F203" t="s">
        <v>541</v>
      </c>
      <c r="G203" t="s">
        <v>586</v>
      </c>
      <c r="H203" s="105"/>
      <c r="I203" s="105"/>
      <c r="J203" s="105"/>
      <c r="K203" s="105"/>
    </row>
    <row r="204" spans="1:11">
      <c r="A204" t="s">
        <v>235</v>
      </c>
      <c r="B204" t="str">
        <f t="shared" si="2"/>
        <v>Thompson</v>
      </c>
      <c r="C204" t="s">
        <v>488</v>
      </c>
      <c r="D204" s="58" t="s">
        <v>574</v>
      </c>
      <c r="E204" s="58" t="s">
        <v>567</v>
      </c>
      <c r="F204" t="s">
        <v>541</v>
      </c>
      <c r="G204" t="s">
        <v>583</v>
      </c>
      <c r="H204" s="105"/>
      <c r="I204" s="105"/>
      <c r="J204" s="105"/>
      <c r="K204" s="105"/>
    </row>
    <row r="205" spans="1:11">
      <c r="A205" t="s">
        <v>236</v>
      </c>
      <c r="B205" t="str">
        <f t="shared" si="2"/>
        <v>Interlake</v>
      </c>
      <c r="C205" t="s">
        <v>497</v>
      </c>
      <c r="D205" s="58" t="s">
        <v>497</v>
      </c>
      <c r="E205" s="58" t="s">
        <v>578</v>
      </c>
      <c r="F205" t="s">
        <v>542</v>
      </c>
      <c r="G205" t="s">
        <v>487</v>
      </c>
      <c r="H205" s="105"/>
      <c r="I205" s="105"/>
      <c r="J205" s="105"/>
      <c r="K205" s="105"/>
    </row>
    <row r="206" spans="1:11">
      <c r="A206" t="s">
        <v>237</v>
      </c>
      <c r="B206" t="str">
        <f t="shared" si="2"/>
        <v>The Pas</v>
      </c>
      <c r="C206" t="s">
        <v>493</v>
      </c>
      <c r="D206" s="58" t="s">
        <v>574</v>
      </c>
      <c r="E206" s="58" t="s">
        <v>567</v>
      </c>
      <c r="F206" t="s">
        <v>543</v>
      </c>
      <c r="G206" t="s">
        <v>583</v>
      </c>
      <c r="H206" s="105"/>
      <c r="I206" s="105"/>
      <c r="J206" s="105"/>
      <c r="K206" s="105"/>
    </row>
    <row r="207" spans="1:11">
      <c r="A207" t="s">
        <v>383</v>
      </c>
      <c r="B207" t="str">
        <f t="shared" si="2"/>
        <v>Interlake</v>
      </c>
      <c r="C207" t="s">
        <v>497</v>
      </c>
      <c r="D207" s="58" t="s">
        <v>497</v>
      </c>
      <c r="E207" s="58" t="s">
        <v>580</v>
      </c>
      <c r="F207" t="s">
        <v>545</v>
      </c>
      <c r="G207" t="s">
        <v>487</v>
      </c>
      <c r="H207" s="105"/>
      <c r="I207" s="105"/>
      <c r="J207" s="105"/>
      <c r="K207" s="105"/>
    </row>
    <row r="208" spans="1:11">
      <c r="A208" t="s">
        <v>384</v>
      </c>
      <c r="B208" t="str">
        <f t="shared" si="2"/>
        <v>Parkland</v>
      </c>
      <c r="C208" t="s">
        <v>548</v>
      </c>
      <c r="D208" s="58" t="s">
        <v>548</v>
      </c>
      <c r="E208" s="58" t="s">
        <v>548</v>
      </c>
      <c r="F208" t="s">
        <v>542</v>
      </c>
      <c r="G208" t="s">
        <v>487</v>
      </c>
      <c r="H208" s="105"/>
      <c r="I208" s="105"/>
      <c r="J208" s="105"/>
      <c r="K208" s="105"/>
    </row>
    <row r="209" spans="1:11">
      <c r="A209" t="s">
        <v>238</v>
      </c>
      <c r="B209" t="str">
        <f t="shared" si="2"/>
        <v>Parkland</v>
      </c>
      <c r="C209" t="s">
        <v>548</v>
      </c>
      <c r="D209" s="58" t="s">
        <v>548</v>
      </c>
      <c r="E209" s="58" t="s">
        <v>548</v>
      </c>
      <c r="F209" t="s">
        <v>542</v>
      </c>
      <c r="G209" t="s">
        <v>487</v>
      </c>
      <c r="H209" s="105"/>
      <c r="I209" s="105"/>
      <c r="J209" s="105"/>
      <c r="K209" s="105"/>
    </row>
    <row r="210" spans="1:11">
      <c r="A210" t="s">
        <v>385</v>
      </c>
      <c r="B210" t="s">
        <v>572</v>
      </c>
      <c r="C210" t="s">
        <v>558</v>
      </c>
      <c r="D210" s="58" t="s">
        <v>572</v>
      </c>
      <c r="E210" s="58" t="s">
        <v>565</v>
      </c>
      <c r="F210" t="s">
        <v>542</v>
      </c>
      <c r="G210" t="s">
        <v>487</v>
      </c>
      <c r="H210" s="105"/>
      <c r="I210" s="105"/>
      <c r="J210" s="105"/>
      <c r="K210" s="105"/>
    </row>
    <row r="211" spans="1:11">
      <c r="A211" t="s">
        <v>386</v>
      </c>
      <c r="B211" t="s">
        <v>572</v>
      </c>
      <c r="C211" t="s">
        <v>552</v>
      </c>
      <c r="D211" s="58" t="s">
        <v>575</v>
      </c>
      <c r="E211" s="58" t="s">
        <v>577</v>
      </c>
      <c r="F211" t="s">
        <v>545</v>
      </c>
      <c r="G211" t="s">
        <v>487</v>
      </c>
      <c r="H211" s="105"/>
      <c r="I211" s="105"/>
      <c r="J211" s="105"/>
      <c r="K211" s="105"/>
    </row>
    <row r="212" spans="1:11">
      <c r="A212" t="s">
        <v>387</v>
      </c>
      <c r="B212" t="str">
        <f>VLOOKUP(C212,$L$368:$M$372,2,0)</f>
        <v>Parkland</v>
      </c>
      <c r="C212" t="s">
        <v>548</v>
      </c>
      <c r="D212" s="58" t="s">
        <v>548</v>
      </c>
      <c r="E212" s="58" t="s">
        <v>548</v>
      </c>
      <c r="F212" t="s">
        <v>547</v>
      </c>
      <c r="G212" t="s">
        <v>487</v>
      </c>
      <c r="H212" s="105"/>
      <c r="I212" s="105"/>
      <c r="J212" s="105"/>
      <c r="K212" s="105"/>
    </row>
    <row r="213" spans="1:11">
      <c r="A213" t="s">
        <v>388</v>
      </c>
      <c r="B213" t="s">
        <v>572</v>
      </c>
      <c r="C213" t="s">
        <v>558</v>
      </c>
      <c r="D213" s="58" t="s">
        <v>572</v>
      </c>
      <c r="E213" s="58" t="s">
        <v>565</v>
      </c>
      <c r="F213" t="s">
        <v>542</v>
      </c>
      <c r="G213" t="s">
        <v>487</v>
      </c>
      <c r="H213" s="105"/>
      <c r="I213" s="105"/>
      <c r="J213" s="105"/>
      <c r="K213" s="105"/>
    </row>
    <row r="214" spans="1:11">
      <c r="A214" t="s">
        <v>672</v>
      </c>
      <c r="B214" t="s">
        <v>572</v>
      </c>
      <c r="C214" t="s">
        <v>558</v>
      </c>
      <c r="D214" s="58" t="s">
        <v>572</v>
      </c>
      <c r="E214" s="58" t="s">
        <v>565</v>
      </c>
      <c r="F214" s="58" t="s">
        <v>542</v>
      </c>
      <c r="G214" s="58" t="s">
        <v>487</v>
      </c>
      <c r="H214" s="105"/>
      <c r="I214" s="105"/>
      <c r="J214" s="105"/>
      <c r="K214" s="105"/>
    </row>
    <row r="215" spans="1:11">
      <c r="A215" t="s">
        <v>494</v>
      </c>
      <c r="B215" t="str">
        <f>VLOOKUP(C215,$L$368:$M$372,2,0)</f>
        <v>The Pas</v>
      </c>
      <c r="C215" t="s">
        <v>493</v>
      </c>
      <c r="D215" s="58" t="s">
        <v>574</v>
      </c>
      <c r="E215" s="58" t="s">
        <v>569</v>
      </c>
      <c r="F215" t="s">
        <v>541</v>
      </c>
      <c r="G215" t="s">
        <v>583</v>
      </c>
      <c r="H215" s="105"/>
      <c r="I215" s="105"/>
      <c r="J215" s="105"/>
      <c r="K215" s="105"/>
    </row>
    <row r="216" spans="1:11">
      <c r="A216" t="s">
        <v>611</v>
      </c>
      <c r="B216" t="s">
        <v>570</v>
      </c>
      <c r="C216" t="s">
        <v>559</v>
      </c>
      <c r="D216" s="58" t="s">
        <v>573</v>
      </c>
      <c r="E216" s="58" t="s">
        <v>581</v>
      </c>
      <c r="F216" s="58" t="s">
        <v>545</v>
      </c>
      <c r="G216" s="58" t="s">
        <v>487</v>
      </c>
      <c r="H216" s="105"/>
      <c r="I216" s="105"/>
      <c r="J216" s="105"/>
      <c r="K216" s="105"/>
    </row>
    <row r="217" spans="1:11">
      <c r="A217" t="s">
        <v>537</v>
      </c>
      <c r="B217" t="str">
        <f>VLOOKUP(C217,$L$368:$M$372,2,0)</f>
        <v>Interlake</v>
      </c>
      <c r="C217" t="s">
        <v>497</v>
      </c>
      <c r="D217" s="58" t="s">
        <v>497</v>
      </c>
      <c r="E217" s="58" t="s">
        <v>579</v>
      </c>
      <c r="F217" t="s">
        <v>542</v>
      </c>
      <c r="G217" t="s">
        <v>487</v>
      </c>
      <c r="H217" s="105"/>
      <c r="I217" s="105"/>
      <c r="J217" s="105"/>
      <c r="K217" s="105"/>
    </row>
    <row r="218" spans="1:11">
      <c r="A218" t="s">
        <v>389</v>
      </c>
      <c r="B218" t="s">
        <v>486</v>
      </c>
      <c r="C218" t="s">
        <v>493</v>
      </c>
      <c r="D218" s="58" t="s">
        <v>574</v>
      </c>
      <c r="E218" s="58" t="s">
        <v>569</v>
      </c>
      <c r="F218" t="s">
        <v>541</v>
      </c>
      <c r="G218" t="s">
        <v>487</v>
      </c>
      <c r="H218" s="105"/>
      <c r="I218" s="105"/>
      <c r="J218" s="105"/>
      <c r="K218" s="105"/>
    </row>
    <row r="219" spans="1:11">
      <c r="A219" t="s">
        <v>390</v>
      </c>
      <c r="B219" t="s">
        <v>572</v>
      </c>
      <c r="C219" t="s">
        <v>552</v>
      </c>
      <c r="D219" s="58" t="s">
        <v>575</v>
      </c>
      <c r="E219" s="58" t="s">
        <v>577</v>
      </c>
      <c r="F219" t="s">
        <v>545</v>
      </c>
      <c r="G219" t="s">
        <v>487</v>
      </c>
      <c r="H219" s="105"/>
      <c r="I219" s="105"/>
      <c r="J219" s="105"/>
      <c r="K219" s="105"/>
    </row>
    <row r="220" spans="1:11">
      <c r="A220" t="s">
        <v>391</v>
      </c>
      <c r="B220" t="s">
        <v>572</v>
      </c>
      <c r="C220" t="s">
        <v>552</v>
      </c>
      <c r="D220" s="58" t="s">
        <v>575</v>
      </c>
      <c r="E220" s="58" t="s">
        <v>581</v>
      </c>
      <c r="F220" t="s">
        <v>545</v>
      </c>
      <c r="G220" t="s">
        <v>487</v>
      </c>
      <c r="H220" s="105"/>
      <c r="I220" s="105"/>
      <c r="J220" s="105"/>
      <c r="K220" s="105"/>
    </row>
    <row r="221" spans="1:11">
      <c r="A221" t="s">
        <v>620</v>
      </c>
      <c r="B221" t="s">
        <v>572</v>
      </c>
      <c r="C221" t="s">
        <v>558</v>
      </c>
      <c r="D221" s="58" t="s">
        <v>572</v>
      </c>
      <c r="E221" s="58" t="s">
        <v>565</v>
      </c>
      <c r="F221" s="58" t="s">
        <v>542</v>
      </c>
      <c r="G221" s="58" t="s">
        <v>487</v>
      </c>
      <c r="H221" s="105"/>
      <c r="I221" s="105"/>
      <c r="J221" s="105"/>
      <c r="K221" s="105"/>
    </row>
    <row r="222" spans="1:11">
      <c r="A222" t="s">
        <v>239</v>
      </c>
      <c r="B222" t="str">
        <f t="shared" ref="B222:B227" si="3">VLOOKUP(C222,$L$368:$M$372,2,0)</f>
        <v>The Pas</v>
      </c>
      <c r="C222" t="s">
        <v>493</v>
      </c>
      <c r="D222" s="58" t="s">
        <v>574</v>
      </c>
      <c r="E222" s="58" t="s">
        <v>569</v>
      </c>
      <c r="F222" t="s">
        <v>541</v>
      </c>
      <c r="G222" t="s">
        <v>583</v>
      </c>
      <c r="H222" s="105"/>
      <c r="I222" s="105"/>
      <c r="J222" s="105"/>
      <c r="K222" s="105"/>
    </row>
    <row r="223" spans="1:11">
      <c r="A223" t="s">
        <v>684</v>
      </c>
      <c r="B223" t="str">
        <f t="shared" si="3"/>
        <v>Parkland</v>
      </c>
      <c r="C223" t="s">
        <v>548</v>
      </c>
      <c r="D223" s="58" t="s">
        <v>548</v>
      </c>
      <c r="E223" s="58" t="s">
        <v>548</v>
      </c>
      <c r="F223" s="58" t="s">
        <v>542</v>
      </c>
      <c r="G223" s="58" t="s">
        <v>487</v>
      </c>
      <c r="H223" s="105"/>
      <c r="I223" s="105"/>
      <c r="J223" s="105"/>
      <c r="K223" s="105"/>
    </row>
    <row r="224" spans="1:11">
      <c r="A224" t="s">
        <v>538</v>
      </c>
      <c r="B224" t="str">
        <f t="shared" si="3"/>
        <v>Interlake</v>
      </c>
      <c r="C224" t="s">
        <v>497</v>
      </c>
      <c r="D224" s="58" t="s">
        <v>497</v>
      </c>
      <c r="E224" s="58" t="s">
        <v>579</v>
      </c>
      <c r="F224" t="s">
        <v>542</v>
      </c>
      <c r="G224" t="s">
        <v>487</v>
      </c>
      <c r="H224" s="105"/>
      <c r="I224" s="105"/>
      <c r="J224" s="105"/>
      <c r="K224" s="105"/>
    </row>
    <row r="225" spans="1:11">
      <c r="A225" t="s">
        <v>704</v>
      </c>
      <c r="B225" t="str">
        <f t="shared" si="3"/>
        <v>Thompson</v>
      </c>
      <c r="C225" t="s">
        <v>488</v>
      </c>
      <c r="D225" s="58" t="s">
        <v>574</v>
      </c>
      <c r="E225" s="58" t="s">
        <v>485</v>
      </c>
      <c r="F225" s="58" t="s">
        <v>541</v>
      </c>
      <c r="G225" s="58" t="s">
        <v>487</v>
      </c>
      <c r="H225" s="105"/>
      <c r="I225" s="105"/>
      <c r="J225" s="105"/>
      <c r="K225" s="105"/>
    </row>
    <row r="226" spans="1:11">
      <c r="A226" t="s">
        <v>392</v>
      </c>
      <c r="B226" t="str">
        <f t="shared" si="3"/>
        <v>Interlake</v>
      </c>
      <c r="C226" t="s">
        <v>497</v>
      </c>
      <c r="D226" s="58" t="s">
        <v>497</v>
      </c>
      <c r="E226" s="58" t="s">
        <v>578</v>
      </c>
      <c r="F226" t="s">
        <v>545</v>
      </c>
      <c r="G226" t="s">
        <v>487</v>
      </c>
      <c r="H226" s="105"/>
      <c r="I226" s="105"/>
      <c r="J226" s="105"/>
      <c r="K226" s="105"/>
    </row>
    <row r="227" spans="1:11">
      <c r="A227" t="s">
        <v>240</v>
      </c>
      <c r="B227" t="str">
        <f t="shared" si="3"/>
        <v>Parkland</v>
      </c>
      <c r="C227" t="s">
        <v>548</v>
      </c>
      <c r="D227" s="58" t="s">
        <v>548</v>
      </c>
      <c r="E227" s="58" t="s">
        <v>569</v>
      </c>
      <c r="F227" t="s">
        <v>547</v>
      </c>
      <c r="G227" t="s">
        <v>487</v>
      </c>
      <c r="H227" s="105"/>
      <c r="I227" s="105"/>
      <c r="J227" s="105"/>
      <c r="K227" s="105"/>
    </row>
    <row r="228" spans="1:11">
      <c r="A228" t="s">
        <v>393</v>
      </c>
      <c r="B228" t="s">
        <v>572</v>
      </c>
      <c r="C228" t="s">
        <v>558</v>
      </c>
      <c r="D228" s="58" t="s">
        <v>572</v>
      </c>
      <c r="E228" s="58" t="s">
        <v>565</v>
      </c>
      <c r="F228" t="s">
        <v>545</v>
      </c>
      <c r="G228" t="s">
        <v>487</v>
      </c>
      <c r="H228" s="105"/>
      <c r="I228" s="105"/>
      <c r="J228" s="105"/>
      <c r="K228" s="105"/>
    </row>
    <row r="229" spans="1:11">
      <c r="A229" t="s">
        <v>394</v>
      </c>
      <c r="B229" t="s">
        <v>572</v>
      </c>
      <c r="C229" t="s">
        <v>558</v>
      </c>
      <c r="D229" s="58" t="s">
        <v>572</v>
      </c>
      <c r="E229" s="58" t="s">
        <v>565</v>
      </c>
      <c r="F229" t="s">
        <v>542</v>
      </c>
      <c r="G229" t="s">
        <v>487</v>
      </c>
      <c r="H229" s="105"/>
      <c r="I229" s="105"/>
      <c r="J229" s="105"/>
      <c r="K229" s="105"/>
    </row>
    <row r="230" spans="1:11">
      <c r="A230" t="s">
        <v>395</v>
      </c>
      <c r="B230" t="s">
        <v>570</v>
      </c>
      <c r="C230" t="s">
        <v>559</v>
      </c>
      <c r="D230" s="58" t="s">
        <v>573</v>
      </c>
      <c r="E230" s="58" t="s">
        <v>581</v>
      </c>
      <c r="F230" t="s">
        <v>545</v>
      </c>
      <c r="G230" t="s">
        <v>487</v>
      </c>
      <c r="H230" s="105"/>
      <c r="I230" s="105"/>
      <c r="J230" s="105"/>
      <c r="K230" s="105"/>
    </row>
    <row r="231" spans="1:11">
      <c r="A231" t="s">
        <v>396</v>
      </c>
      <c r="B231" t="str">
        <f>VLOOKUP(C231,$L$368:$M$372,2,0)</f>
        <v>Thompson</v>
      </c>
      <c r="C231" t="s">
        <v>488</v>
      </c>
      <c r="D231" s="58" t="s">
        <v>574</v>
      </c>
      <c r="E231" s="58" t="s">
        <v>485</v>
      </c>
      <c r="F231" t="s">
        <v>541</v>
      </c>
      <c r="G231" t="s">
        <v>487</v>
      </c>
      <c r="H231" s="105"/>
      <c r="I231" s="105"/>
      <c r="J231" s="105"/>
      <c r="K231" s="105"/>
    </row>
    <row r="232" spans="1:11">
      <c r="A232" t="s">
        <v>241</v>
      </c>
      <c r="B232" t="str">
        <f>VLOOKUP(C232,$L$368:$M$372,2,0)</f>
        <v>Thompson</v>
      </c>
      <c r="C232" t="s">
        <v>488</v>
      </c>
      <c r="D232" s="58" t="s">
        <v>574</v>
      </c>
      <c r="E232" s="58" t="s">
        <v>485</v>
      </c>
      <c r="F232" t="s">
        <v>541</v>
      </c>
      <c r="G232" t="s">
        <v>584</v>
      </c>
      <c r="H232" s="105"/>
      <c r="I232" s="105"/>
      <c r="J232" s="105"/>
      <c r="K232" s="105"/>
    </row>
    <row r="233" spans="1:11">
      <c r="A233" t="s">
        <v>397</v>
      </c>
      <c r="B233" t="s">
        <v>570</v>
      </c>
      <c r="C233" t="s">
        <v>559</v>
      </c>
      <c r="D233" s="58" t="s">
        <v>573</v>
      </c>
      <c r="E233" s="58" t="s">
        <v>581</v>
      </c>
      <c r="F233" t="s">
        <v>545</v>
      </c>
      <c r="G233" t="s">
        <v>487</v>
      </c>
      <c r="H233" s="105"/>
      <c r="I233" s="105"/>
      <c r="J233" s="105"/>
      <c r="K233" s="105"/>
    </row>
    <row r="234" spans="1:11">
      <c r="A234" t="s">
        <v>242</v>
      </c>
      <c r="B234" t="str">
        <f>VLOOKUP(C234,$L$368:$M$372,2,0)</f>
        <v>Thompson</v>
      </c>
      <c r="C234" t="s">
        <v>488</v>
      </c>
      <c r="D234" s="58" t="s">
        <v>574</v>
      </c>
      <c r="E234" s="58" t="s">
        <v>567</v>
      </c>
      <c r="F234" t="s">
        <v>540</v>
      </c>
      <c r="G234" t="s">
        <v>586</v>
      </c>
      <c r="H234" s="105"/>
      <c r="I234" s="105"/>
      <c r="J234" s="105"/>
      <c r="K234" s="105"/>
    </row>
    <row r="235" spans="1:11">
      <c r="A235" t="s">
        <v>398</v>
      </c>
      <c r="B235" t="str">
        <f>VLOOKUP(C235,$L$368:$M$372,2,0)</f>
        <v>Thompson</v>
      </c>
      <c r="C235" t="s">
        <v>488</v>
      </c>
      <c r="D235" s="58" t="s">
        <v>574</v>
      </c>
      <c r="E235" s="58" t="s">
        <v>485</v>
      </c>
      <c r="F235" t="s">
        <v>541</v>
      </c>
      <c r="G235" t="s">
        <v>487</v>
      </c>
      <c r="H235" s="105"/>
      <c r="I235" s="105"/>
      <c r="J235" s="105"/>
      <c r="K235" s="105"/>
    </row>
    <row r="236" spans="1:11">
      <c r="A236" t="s">
        <v>243</v>
      </c>
      <c r="B236" t="str">
        <f>VLOOKUP(C236,$L$368:$M$372,2,0)</f>
        <v>Thompson</v>
      </c>
      <c r="C236" t="s">
        <v>488</v>
      </c>
      <c r="D236" s="58" t="s">
        <v>574</v>
      </c>
      <c r="E236" s="58" t="s">
        <v>485</v>
      </c>
      <c r="F236" t="s">
        <v>541</v>
      </c>
      <c r="G236" t="s">
        <v>584</v>
      </c>
      <c r="H236" s="105"/>
      <c r="I236" s="105"/>
      <c r="J236" s="105"/>
      <c r="K236" s="105"/>
    </row>
    <row r="237" spans="1:11">
      <c r="A237" t="s">
        <v>641</v>
      </c>
      <c r="B237" t="s">
        <v>572</v>
      </c>
      <c r="C237" t="s">
        <v>552</v>
      </c>
      <c r="D237" s="58" t="s">
        <v>575</v>
      </c>
      <c r="E237" s="58" t="s">
        <v>577</v>
      </c>
      <c r="F237" t="s">
        <v>545</v>
      </c>
      <c r="G237" t="s">
        <v>487</v>
      </c>
      <c r="H237" s="105"/>
      <c r="I237" s="105"/>
      <c r="J237" s="105"/>
      <c r="K237" s="105"/>
    </row>
    <row r="238" spans="1:11">
      <c r="A238" t="s">
        <v>399</v>
      </c>
      <c r="B238" t="s">
        <v>570</v>
      </c>
      <c r="C238" t="s">
        <v>557</v>
      </c>
      <c r="D238" s="58" t="s">
        <v>573</v>
      </c>
      <c r="E238" s="58" t="s">
        <v>571</v>
      </c>
      <c r="F238" t="s">
        <v>545</v>
      </c>
      <c r="G238" t="s">
        <v>487</v>
      </c>
      <c r="H238" s="105"/>
      <c r="I238" s="105"/>
      <c r="J238" s="105"/>
      <c r="K238" s="105"/>
    </row>
    <row r="239" spans="1:11">
      <c r="A239" t="s">
        <v>400</v>
      </c>
      <c r="B239" t="s">
        <v>572</v>
      </c>
      <c r="C239" t="s">
        <v>558</v>
      </c>
      <c r="D239" s="58" t="s">
        <v>572</v>
      </c>
      <c r="E239" s="58" t="s">
        <v>565</v>
      </c>
      <c r="F239" t="s">
        <v>542</v>
      </c>
      <c r="G239" t="s">
        <v>487</v>
      </c>
      <c r="H239" s="105"/>
      <c r="I239" s="105"/>
      <c r="J239" s="105"/>
      <c r="K239" s="105"/>
    </row>
    <row r="240" spans="1:11">
      <c r="A240" t="s">
        <v>401</v>
      </c>
      <c r="B240" t="s">
        <v>572</v>
      </c>
      <c r="C240" t="s">
        <v>558</v>
      </c>
      <c r="D240" s="58" t="s">
        <v>572</v>
      </c>
      <c r="E240" s="58" t="s">
        <v>565</v>
      </c>
      <c r="F240" t="s">
        <v>542</v>
      </c>
      <c r="G240" t="s">
        <v>487</v>
      </c>
      <c r="H240" s="105"/>
      <c r="I240" s="105"/>
      <c r="J240" s="105"/>
      <c r="K240" s="105"/>
    </row>
    <row r="241" spans="1:11">
      <c r="A241" t="s">
        <v>402</v>
      </c>
      <c r="B241" t="s">
        <v>572</v>
      </c>
      <c r="C241" t="s">
        <v>552</v>
      </c>
      <c r="D241" s="58" t="s">
        <v>563</v>
      </c>
      <c r="E241" s="58" t="s">
        <v>582</v>
      </c>
      <c r="F241" t="s">
        <v>545</v>
      </c>
      <c r="G241" t="s">
        <v>487</v>
      </c>
      <c r="H241" s="105"/>
      <c r="I241" s="105"/>
      <c r="J241" s="105"/>
      <c r="K241" s="105"/>
    </row>
    <row r="242" spans="1:11">
      <c r="A242" t="s">
        <v>244</v>
      </c>
      <c r="B242" t="str">
        <f>VLOOKUP(C242,$L$368:$M$372,2,0)</f>
        <v>Parkland</v>
      </c>
      <c r="C242" t="s">
        <v>548</v>
      </c>
      <c r="D242" s="58" t="s">
        <v>548</v>
      </c>
      <c r="E242" s="58" t="s">
        <v>548</v>
      </c>
      <c r="F242" t="s">
        <v>542</v>
      </c>
      <c r="G242" t="s">
        <v>588</v>
      </c>
      <c r="H242" s="105"/>
      <c r="I242" s="105"/>
      <c r="J242" s="105"/>
      <c r="K242" s="105"/>
    </row>
    <row r="243" spans="1:11">
      <c r="A243" t="s">
        <v>489</v>
      </c>
      <c r="B243" t="str">
        <f>VLOOKUP(C243,$L$368:$M$372,2,0)</f>
        <v>Thompson</v>
      </c>
      <c r="C243" t="s">
        <v>488</v>
      </c>
      <c r="D243" s="58" t="s">
        <v>574</v>
      </c>
      <c r="E243" s="58" t="s">
        <v>567</v>
      </c>
      <c r="F243" t="s">
        <v>541</v>
      </c>
      <c r="G243" t="s">
        <v>487</v>
      </c>
      <c r="H243" s="105"/>
      <c r="I243" s="105"/>
      <c r="J243" s="105"/>
      <c r="K243" s="105"/>
    </row>
    <row r="244" spans="1:11">
      <c r="A244" t="s">
        <v>403</v>
      </c>
      <c r="B244" t="s">
        <v>572</v>
      </c>
      <c r="C244" t="s">
        <v>558</v>
      </c>
      <c r="D244" s="58" t="s">
        <v>572</v>
      </c>
      <c r="E244" s="58" t="s">
        <v>548</v>
      </c>
      <c r="F244" t="s">
        <v>542</v>
      </c>
      <c r="G244" t="s">
        <v>487</v>
      </c>
      <c r="H244" s="105"/>
      <c r="I244" s="105"/>
      <c r="J244" s="105"/>
      <c r="K244" s="105"/>
    </row>
    <row r="245" spans="1:11">
      <c r="A245" t="s">
        <v>404</v>
      </c>
      <c r="B245" t="s">
        <v>572</v>
      </c>
      <c r="C245" t="s">
        <v>558</v>
      </c>
      <c r="D245" s="58" t="s">
        <v>572</v>
      </c>
      <c r="E245" s="58" t="s">
        <v>548</v>
      </c>
      <c r="F245" t="s">
        <v>542</v>
      </c>
      <c r="G245" t="s">
        <v>487</v>
      </c>
      <c r="H245" s="105"/>
      <c r="I245" s="105"/>
      <c r="J245" s="105"/>
      <c r="K245" s="105"/>
    </row>
    <row r="246" spans="1:11">
      <c r="A246" t="s">
        <v>245</v>
      </c>
      <c r="B246" t="str">
        <f>VLOOKUP(C246,$L$368:$M$372,2,0)</f>
        <v>The Pas</v>
      </c>
      <c r="C246" t="s">
        <v>493</v>
      </c>
      <c r="D246" s="58" t="s">
        <v>574</v>
      </c>
      <c r="E246" s="58" t="s">
        <v>569</v>
      </c>
      <c r="F246" t="s">
        <v>541</v>
      </c>
      <c r="G246" t="s">
        <v>583</v>
      </c>
      <c r="H246" s="105"/>
      <c r="I246" s="105"/>
      <c r="J246" s="105"/>
      <c r="K246" s="105"/>
    </row>
    <row r="247" spans="1:11">
      <c r="A247" t="s">
        <v>490</v>
      </c>
      <c r="B247" t="str">
        <f>VLOOKUP(C247,$L$368:$M$372,2,0)</f>
        <v>Thompson</v>
      </c>
      <c r="C247" t="s">
        <v>488</v>
      </c>
      <c r="D247" s="58" t="s">
        <v>574</v>
      </c>
      <c r="E247" s="58" t="s">
        <v>567</v>
      </c>
      <c r="F247" t="s">
        <v>541</v>
      </c>
      <c r="G247" t="s">
        <v>487</v>
      </c>
      <c r="H247" s="105"/>
      <c r="I247" s="105"/>
      <c r="J247" s="105"/>
      <c r="K247" s="105"/>
    </row>
    <row r="248" spans="1:11">
      <c r="A248" t="s">
        <v>405</v>
      </c>
      <c r="B248" t="str">
        <f>VLOOKUP(C248,$L$368:$M$372,2,0)</f>
        <v>Thompson</v>
      </c>
      <c r="C248" t="s">
        <v>488</v>
      </c>
      <c r="D248" s="58" t="s">
        <v>574</v>
      </c>
      <c r="E248" s="58" t="s">
        <v>566</v>
      </c>
      <c r="F248" t="s">
        <v>541</v>
      </c>
      <c r="G248" t="s">
        <v>487</v>
      </c>
      <c r="H248" s="105"/>
      <c r="I248" s="105"/>
      <c r="J248" s="105"/>
      <c r="K248" s="105"/>
    </row>
    <row r="249" spans="1:11">
      <c r="A249" t="s">
        <v>246</v>
      </c>
      <c r="B249" t="s">
        <v>570</v>
      </c>
      <c r="C249" t="s">
        <v>557</v>
      </c>
      <c r="D249" s="58" t="s">
        <v>573</v>
      </c>
      <c r="E249" s="58" t="s">
        <v>570</v>
      </c>
      <c r="F249" t="s">
        <v>541</v>
      </c>
      <c r="G249" t="s">
        <v>589</v>
      </c>
      <c r="H249" s="105"/>
      <c r="I249" s="105"/>
      <c r="J249" s="105"/>
      <c r="K249" s="105"/>
    </row>
    <row r="250" spans="1:11">
      <c r="A250" t="s">
        <v>247</v>
      </c>
      <c r="B250" t="str">
        <f>VLOOKUP(C250,$L$368:$M$372,2,0)</f>
        <v>Interlake</v>
      </c>
      <c r="C250" t="s">
        <v>497</v>
      </c>
      <c r="D250" s="58" t="s">
        <v>497</v>
      </c>
      <c r="E250" s="58" t="s">
        <v>578</v>
      </c>
      <c r="F250" t="s">
        <v>542</v>
      </c>
      <c r="G250" t="s">
        <v>590</v>
      </c>
      <c r="H250" s="105"/>
      <c r="I250" s="105"/>
      <c r="J250" s="105"/>
      <c r="K250" s="105"/>
    </row>
    <row r="251" spans="1:11">
      <c r="A251" t="s">
        <v>248</v>
      </c>
      <c r="B251" t="str">
        <f>VLOOKUP(C251,$L$368:$M$372,2,0)</f>
        <v>Parkland</v>
      </c>
      <c r="C251" t="s">
        <v>548</v>
      </c>
      <c r="D251" s="58" t="s">
        <v>548</v>
      </c>
      <c r="E251" s="58" t="s">
        <v>569</v>
      </c>
      <c r="F251" t="s">
        <v>547</v>
      </c>
      <c r="G251" t="s">
        <v>487</v>
      </c>
      <c r="H251" s="105"/>
      <c r="I251" s="105"/>
      <c r="J251" s="105"/>
      <c r="K251" s="105"/>
    </row>
    <row r="252" spans="1:11">
      <c r="A252" t="s">
        <v>406</v>
      </c>
      <c r="B252" t="s">
        <v>572</v>
      </c>
      <c r="C252" t="s">
        <v>558</v>
      </c>
      <c r="D252" s="58" t="s">
        <v>572</v>
      </c>
      <c r="E252" s="58" t="s">
        <v>565</v>
      </c>
      <c r="F252" t="s">
        <v>542</v>
      </c>
      <c r="G252" t="s">
        <v>487</v>
      </c>
      <c r="H252" s="105"/>
      <c r="I252" s="105"/>
      <c r="J252" s="105"/>
      <c r="K252" s="105"/>
    </row>
    <row r="253" spans="1:11">
      <c r="A253" t="s">
        <v>407</v>
      </c>
      <c r="B253" t="str">
        <f>VLOOKUP(C253,$L$368:$M$372,2,0)</f>
        <v>Thompson</v>
      </c>
      <c r="C253" t="s">
        <v>488</v>
      </c>
      <c r="D253" s="58" t="s">
        <v>574</v>
      </c>
      <c r="E253" s="58" t="s">
        <v>485</v>
      </c>
      <c r="F253" t="s">
        <v>541</v>
      </c>
      <c r="G253" t="s">
        <v>487</v>
      </c>
      <c r="H253" s="105"/>
      <c r="I253" s="105"/>
      <c r="J253" s="105"/>
      <c r="K253" s="105"/>
    </row>
    <row r="254" spans="1:11">
      <c r="A254" t="s">
        <v>408</v>
      </c>
      <c r="B254" t="s">
        <v>572</v>
      </c>
      <c r="C254" t="s">
        <v>552</v>
      </c>
      <c r="D254" s="58" t="s">
        <v>572</v>
      </c>
      <c r="E254" s="58" t="s">
        <v>565</v>
      </c>
      <c r="F254" t="s">
        <v>545</v>
      </c>
      <c r="G254" t="s">
        <v>487</v>
      </c>
      <c r="H254" s="105"/>
      <c r="I254" s="105"/>
      <c r="J254" s="105"/>
      <c r="K254" s="105"/>
    </row>
    <row r="255" spans="1:11">
      <c r="A255" t="s">
        <v>409</v>
      </c>
      <c r="B255" t="s">
        <v>570</v>
      </c>
      <c r="C255" t="s">
        <v>557</v>
      </c>
      <c r="D255" s="58" t="s">
        <v>573</v>
      </c>
      <c r="E255" s="58" t="s">
        <v>571</v>
      </c>
      <c r="F255" t="s">
        <v>546</v>
      </c>
      <c r="G255" t="s">
        <v>487</v>
      </c>
      <c r="H255" s="105"/>
      <c r="I255" s="105"/>
      <c r="J255" s="105"/>
      <c r="K255" s="105"/>
    </row>
    <row r="256" spans="1:11">
      <c r="A256" t="s">
        <v>249</v>
      </c>
      <c r="B256" t="str">
        <f>VLOOKUP(C256,$L$368:$M$372,2,0)</f>
        <v>Interlake</v>
      </c>
      <c r="C256" t="s">
        <v>497</v>
      </c>
      <c r="D256" s="58" t="s">
        <v>497</v>
      </c>
      <c r="E256" s="58" t="s">
        <v>579</v>
      </c>
      <c r="F256" t="s">
        <v>541</v>
      </c>
      <c r="G256" t="s">
        <v>590</v>
      </c>
      <c r="H256" s="105"/>
      <c r="I256" s="105"/>
      <c r="J256" s="105"/>
      <c r="K256" s="105"/>
    </row>
    <row r="257" spans="1:11">
      <c r="A257" t="s">
        <v>250</v>
      </c>
      <c r="B257" t="str">
        <f>VLOOKUP(C257,$L$368:$M$372,2,0)</f>
        <v>Parkland</v>
      </c>
      <c r="C257" t="s">
        <v>548</v>
      </c>
      <c r="D257" s="58" t="s">
        <v>548</v>
      </c>
      <c r="E257" s="58" t="s">
        <v>548</v>
      </c>
      <c r="F257" t="s">
        <v>542</v>
      </c>
      <c r="G257" t="s">
        <v>588</v>
      </c>
      <c r="H257" s="105"/>
      <c r="I257" s="105"/>
      <c r="J257" s="105"/>
      <c r="K257" s="105"/>
    </row>
    <row r="258" spans="1:11">
      <c r="A258" t="s">
        <v>251</v>
      </c>
      <c r="B258" t="str">
        <f>VLOOKUP(C258,$L$368:$M$372,2,0)</f>
        <v>Interlake</v>
      </c>
      <c r="C258" t="s">
        <v>497</v>
      </c>
      <c r="D258" s="58" t="s">
        <v>497</v>
      </c>
      <c r="E258" s="58" t="s">
        <v>578</v>
      </c>
      <c r="F258" t="s">
        <v>542</v>
      </c>
      <c r="G258" t="s">
        <v>487</v>
      </c>
      <c r="H258" s="105"/>
      <c r="I258" s="105"/>
      <c r="J258" s="105"/>
      <c r="K258" s="105"/>
    </row>
    <row r="259" spans="1:11">
      <c r="A259" t="s">
        <v>410</v>
      </c>
      <c r="B259" t="s">
        <v>570</v>
      </c>
      <c r="C259" t="s">
        <v>557</v>
      </c>
      <c r="D259" s="58" t="s">
        <v>573</v>
      </c>
      <c r="E259" s="58" t="s">
        <v>571</v>
      </c>
      <c r="F259" t="s">
        <v>545</v>
      </c>
      <c r="G259" t="s">
        <v>487</v>
      </c>
      <c r="H259" s="105"/>
      <c r="I259" s="105"/>
      <c r="J259" s="105"/>
      <c r="K259" s="105"/>
    </row>
    <row r="260" spans="1:11">
      <c r="A260" t="s">
        <v>411</v>
      </c>
      <c r="B260" t="s">
        <v>570</v>
      </c>
      <c r="C260" t="s">
        <v>559</v>
      </c>
      <c r="D260" s="58" t="s">
        <v>573</v>
      </c>
      <c r="E260" s="58" t="s">
        <v>581</v>
      </c>
      <c r="F260" t="s">
        <v>545</v>
      </c>
      <c r="G260" t="s">
        <v>487</v>
      </c>
      <c r="H260" s="105"/>
      <c r="I260" s="105"/>
      <c r="J260" s="105"/>
      <c r="K260" s="105"/>
    </row>
    <row r="261" spans="1:11">
      <c r="A261" t="s">
        <v>412</v>
      </c>
      <c r="B261" t="s">
        <v>572</v>
      </c>
      <c r="C261" t="s">
        <v>558</v>
      </c>
      <c r="D261" s="58" t="s">
        <v>572</v>
      </c>
      <c r="E261" s="58" t="s">
        <v>565</v>
      </c>
      <c r="F261" t="s">
        <v>542</v>
      </c>
      <c r="G261" t="s">
        <v>487</v>
      </c>
      <c r="H261" s="105"/>
      <c r="I261" s="105"/>
      <c r="J261" s="105"/>
      <c r="K261" s="105"/>
    </row>
    <row r="262" spans="1:11">
      <c r="A262" t="s">
        <v>413</v>
      </c>
      <c r="B262" t="s">
        <v>572</v>
      </c>
      <c r="C262" t="s">
        <v>552</v>
      </c>
      <c r="D262" s="58" t="s">
        <v>575</v>
      </c>
      <c r="E262" s="58" t="s">
        <v>581</v>
      </c>
      <c r="F262" t="s">
        <v>545</v>
      </c>
      <c r="G262" t="s">
        <v>487</v>
      </c>
      <c r="H262" s="105"/>
      <c r="I262" s="105"/>
      <c r="J262" s="105"/>
      <c r="K262" s="105"/>
    </row>
    <row r="263" spans="1:11">
      <c r="A263" t="s">
        <v>252</v>
      </c>
      <c r="B263" t="s">
        <v>570</v>
      </c>
      <c r="C263" t="s">
        <v>557</v>
      </c>
      <c r="D263" s="58" t="s">
        <v>573</v>
      </c>
      <c r="E263" s="58" t="s">
        <v>570</v>
      </c>
      <c r="F263" t="s">
        <v>541</v>
      </c>
      <c r="G263" t="s">
        <v>589</v>
      </c>
      <c r="H263" s="105"/>
      <c r="I263" s="105"/>
      <c r="J263" s="105"/>
      <c r="K263" s="105"/>
    </row>
    <row r="264" spans="1:11">
      <c r="A264" t="s">
        <v>414</v>
      </c>
      <c r="B264" t="s">
        <v>572</v>
      </c>
      <c r="C264" t="s">
        <v>552</v>
      </c>
      <c r="D264" s="58" t="s">
        <v>563</v>
      </c>
      <c r="E264" s="58" t="s">
        <v>582</v>
      </c>
      <c r="F264" t="s">
        <v>545</v>
      </c>
      <c r="G264" t="s">
        <v>487</v>
      </c>
      <c r="H264" s="105"/>
      <c r="I264" s="105"/>
      <c r="J264" s="105"/>
      <c r="K264" s="105"/>
    </row>
    <row r="265" spans="1:11">
      <c r="A265" t="s">
        <v>253</v>
      </c>
      <c r="B265" t="str">
        <f>VLOOKUP(C265,$L$368:$M$372,2,0)</f>
        <v>Parkland</v>
      </c>
      <c r="C265" t="s">
        <v>548</v>
      </c>
      <c r="D265" s="58" t="s">
        <v>548</v>
      </c>
      <c r="E265" s="58" t="s">
        <v>569</v>
      </c>
      <c r="F265" t="s">
        <v>547</v>
      </c>
      <c r="G265" t="s">
        <v>487</v>
      </c>
      <c r="H265" s="105"/>
      <c r="I265" s="105"/>
      <c r="J265" s="105"/>
      <c r="K265" s="105"/>
    </row>
    <row r="266" spans="1:11">
      <c r="A266" t="s">
        <v>415</v>
      </c>
      <c r="B266" t="s">
        <v>570</v>
      </c>
      <c r="C266" t="s">
        <v>557</v>
      </c>
      <c r="D266" s="58" t="s">
        <v>573</v>
      </c>
      <c r="E266" s="58" t="s">
        <v>571</v>
      </c>
      <c r="F266" t="s">
        <v>545</v>
      </c>
      <c r="G266" t="s">
        <v>487</v>
      </c>
      <c r="H266" s="105"/>
      <c r="I266" s="105"/>
      <c r="J266" s="105"/>
      <c r="K266" s="105"/>
    </row>
    <row r="267" spans="1:11">
      <c r="A267" t="s">
        <v>254</v>
      </c>
      <c r="B267" t="s">
        <v>570</v>
      </c>
      <c r="C267" t="s">
        <v>557</v>
      </c>
      <c r="D267" s="58" t="s">
        <v>573</v>
      </c>
      <c r="E267" s="58" t="s">
        <v>570</v>
      </c>
      <c r="F267" t="s">
        <v>541</v>
      </c>
      <c r="G267" t="s">
        <v>487</v>
      </c>
      <c r="H267" s="105"/>
      <c r="I267" s="105"/>
      <c r="J267" s="105"/>
      <c r="K267" s="105"/>
    </row>
    <row r="268" spans="1:11">
      <c r="A268" t="s">
        <v>416</v>
      </c>
      <c r="B268" t="str">
        <f>VLOOKUP(C268,$L$368:$M$372,2,0)</f>
        <v>The Pas</v>
      </c>
      <c r="C268" t="s">
        <v>493</v>
      </c>
      <c r="D268" s="58" t="s">
        <v>574</v>
      </c>
      <c r="E268" s="58" t="s">
        <v>567</v>
      </c>
      <c r="F268" t="s">
        <v>543</v>
      </c>
      <c r="G268" t="s">
        <v>487</v>
      </c>
      <c r="H268" s="105"/>
      <c r="I268" s="105"/>
      <c r="J268" s="105"/>
      <c r="K268" s="105"/>
    </row>
    <row r="269" spans="1:11">
      <c r="A269" t="s">
        <v>417</v>
      </c>
      <c r="B269" t="s">
        <v>572</v>
      </c>
      <c r="C269" t="s">
        <v>558</v>
      </c>
      <c r="D269" s="58" t="s">
        <v>572</v>
      </c>
      <c r="E269" s="58" t="s">
        <v>565</v>
      </c>
      <c r="F269" t="s">
        <v>542</v>
      </c>
      <c r="G269" t="s">
        <v>487</v>
      </c>
      <c r="H269" s="105"/>
      <c r="I269" s="105"/>
      <c r="J269" s="105"/>
      <c r="K269" s="105"/>
    </row>
    <row r="270" spans="1:11">
      <c r="A270" t="s">
        <v>255</v>
      </c>
      <c r="B270" t="str">
        <f>VLOOKUP(C270,$L$368:$M$372,2,0)</f>
        <v>Parkland</v>
      </c>
      <c r="C270" t="s">
        <v>548</v>
      </c>
      <c r="D270" s="58" t="s">
        <v>548</v>
      </c>
      <c r="E270" s="58" t="s">
        <v>569</v>
      </c>
      <c r="F270" t="s">
        <v>541</v>
      </c>
      <c r="G270" t="s">
        <v>487</v>
      </c>
      <c r="H270" s="105"/>
      <c r="I270" s="105"/>
      <c r="J270" s="105"/>
      <c r="K270" s="105"/>
    </row>
    <row r="271" spans="1:11">
      <c r="A271" t="s">
        <v>256</v>
      </c>
      <c r="B271" t="str">
        <f>VLOOKUP(C271,$L$368:$M$372,2,0)</f>
        <v>Interlake</v>
      </c>
      <c r="C271" t="s">
        <v>497</v>
      </c>
      <c r="D271" s="58" t="s">
        <v>497</v>
      </c>
      <c r="E271" s="58" t="s">
        <v>578</v>
      </c>
      <c r="F271" t="s">
        <v>542</v>
      </c>
      <c r="G271" t="s">
        <v>487</v>
      </c>
      <c r="H271" s="105"/>
      <c r="I271" s="105"/>
      <c r="J271" s="105"/>
      <c r="K271" s="105"/>
    </row>
    <row r="272" spans="1:11">
      <c r="A272" t="s">
        <v>418</v>
      </c>
      <c r="B272" t="str">
        <f>VLOOKUP(C272,$L$368:$M$372,2,0)</f>
        <v>Thompson</v>
      </c>
      <c r="C272" t="s">
        <v>488</v>
      </c>
      <c r="D272" s="58" t="s">
        <v>574</v>
      </c>
      <c r="E272" s="58" t="s">
        <v>566</v>
      </c>
      <c r="F272" t="s">
        <v>541</v>
      </c>
      <c r="G272" t="s">
        <v>487</v>
      </c>
      <c r="H272" s="105"/>
      <c r="I272" s="105"/>
      <c r="J272" s="105"/>
      <c r="K272" s="105"/>
    </row>
    <row r="273" spans="1:11">
      <c r="A273" t="s">
        <v>257</v>
      </c>
      <c r="B273" t="str">
        <f>VLOOKUP(C273,$L$368:$M$372,2,0)</f>
        <v>Thompson</v>
      </c>
      <c r="C273" t="s">
        <v>488</v>
      </c>
      <c r="D273" s="58" t="s">
        <v>574</v>
      </c>
      <c r="E273" s="58" t="s">
        <v>566</v>
      </c>
      <c r="F273" t="s">
        <v>541</v>
      </c>
      <c r="G273" t="s">
        <v>585</v>
      </c>
      <c r="H273" s="105"/>
      <c r="I273" s="105"/>
      <c r="J273" s="105"/>
      <c r="K273" s="105"/>
    </row>
    <row r="274" spans="1:11">
      <c r="A274" t="s">
        <v>419</v>
      </c>
      <c r="B274" t="s">
        <v>572</v>
      </c>
      <c r="C274" t="s">
        <v>552</v>
      </c>
      <c r="D274" s="58" t="s">
        <v>575</v>
      </c>
      <c r="E274" s="58" t="s">
        <v>577</v>
      </c>
      <c r="F274" t="s">
        <v>545</v>
      </c>
      <c r="G274" t="s">
        <v>487</v>
      </c>
      <c r="H274" s="105"/>
      <c r="I274" s="105"/>
      <c r="J274" s="105"/>
      <c r="K274" s="105"/>
    </row>
    <row r="275" spans="1:11">
      <c r="A275" t="s">
        <v>420</v>
      </c>
      <c r="B275" t="s">
        <v>572</v>
      </c>
      <c r="C275" t="s">
        <v>558</v>
      </c>
      <c r="D275" s="58" t="s">
        <v>572</v>
      </c>
      <c r="E275" s="58" t="s">
        <v>577</v>
      </c>
      <c r="F275" t="s">
        <v>542</v>
      </c>
      <c r="G275" t="s">
        <v>487</v>
      </c>
      <c r="H275" s="105"/>
      <c r="I275" s="105"/>
      <c r="J275" s="105"/>
      <c r="K275" s="105"/>
    </row>
    <row r="276" spans="1:11">
      <c r="A276" t="s">
        <v>421</v>
      </c>
      <c r="B276" t="s">
        <v>570</v>
      </c>
      <c r="C276" t="s">
        <v>559</v>
      </c>
      <c r="D276" s="58" t="s">
        <v>573</v>
      </c>
      <c r="E276" s="58" t="s">
        <v>571</v>
      </c>
      <c r="F276" t="s">
        <v>545</v>
      </c>
      <c r="G276" t="s">
        <v>487</v>
      </c>
      <c r="H276" s="105"/>
      <c r="I276" s="105"/>
      <c r="J276" s="105"/>
      <c r="K276" s="105"/>
    </row>
    <row r="277" spans="1:11">
      <c r="A277" t="s">
        <v>422</v>
      </c>
      <c r="B277" t="s">
        <v>570</v>
      </c>
      <c r="C277" t="s">
        <v>557</v>
      </c>
      <c r="D277" s="58" t="s">
        <v>573</v>
      </c>
      <c r="E277" s="58" t="s">
        <v>571</v>
      </c>
      <c r="F277" t="s">
        <v>545</v>
      </c>
      <c r="G277" t="s">
        <v>487</v>
      </c>
      <c r="H277" s="105"/>
      <c r="I277" s="105"/>
      <c r="J277" s="105"/>
      <c r="K277" s="105"/>
    </row>
    <row r="278" spans="1:11">
      <c r="A278" t="s">
        <v>423</v>
      </c>
      <c r="B278" t="s">
        <v>572</v>
      </c>
      <c r="C278" t="s">
        <v>558</v>
      </c>
      <c r="D278" s="58" t="s">
        <v>572</v>
      </c>
      <c r="E278" s="58" t="s">
        <v>565</v>
      </c>
      <c r="F278" t="s">
        <v>542</v>
      </c>
      <c r="G278" t="s">
        <v>487</v>
      </c>
      <c r="H278" s="105"/>
      <c r="I278" s="105"/>
      <c r="J278" s="105"/>
      <c r="K278" s="105"/>
    </row>
    <row r="279" spans="1:11">
      <c r="A279" t="s">
        <v>424</v>
      </c>
      <c r="B279" t="str">
        <f>VLOOKUP(C279,$L$368:$M$372,2,0)</f>
        <v>Interlake</v>
      </c>
      <c r="C279" t="s">
        <v>497</v>
      </c>
      <c r="D279" s="58" t="s">
        <v>497</v>
      </c>
      <c r="E279" s="58" t="s">
        <v>578</v>
      </c>
      <c r="F279" t="s">
        <v>542</v>
      </c>
      <c r="G279" t="s">
        <v>487</v>
      </c>
      <c r="H279" s="105"/>
      <c r="I279" s="105"/>
      <c r="J279" s="105"/>
      <c r="K279" s="105"/>
    </row>
    <row r="280" spans="1:11">
      <c r="A280" t="s">
        <v>425</v>
      </c>
      <c r="B280" t="str">
        <f>VLOOKUP(C280,$L$368:$M$372,2,0)</f>
        <v>Parkland</v>
      </c>
      <c r="C280" t="s">
        <v>548</v>
      </c>
      <c r="D280" s="58" t="s">
        <v>548</v>
      </c>
      <c r="E280" s="58" t="s">
        <v>548</v>
      </c>
      <c r="F280" t="s">
        <v>547</v>
      </c>
      <c r="G280" t="s">
        <v>487</v>
      </c>
      <c r="H280" s="105"/>
      <c r="I280" s="105"/>
      <c r="J280" s="105"/>
      <c r="K280" s="105"/>
    </row>
    <row r="281" spans="1:11">
      <c r="A281" t="s">
        <v>258</v>
      </c>
      <c r="B281" t="str">
        <f>VLOOKUP(C281,$L$368:$M$372,2,0)</f>
        <v>Parkland</v>
      </c>
      <c r="C281" t="s">
        <v>548</v>
      </c>
      <c r="D281" s="58" t="s">
        <v>548</v>
      </c>
      <c r="E281" s="58" t="s">
        <v>548</v>
      </c>
      <c r="F281" t="s">
        <v>542</v>
      </c>
      <c r="G281" t="s">
        <v>487</v>
      </c>
      <c r="H281" s="105"/>
      <c r="I281" s="105"/>
      <c r="J281" s="105"/>
      <c r="K281" s="105"/>
    </row>
    <row r="282" spans="1:11">
      <c r="A282" t="s">
        <v>259</v>
      </c>
      <c r="B282" t="s">
        <v>572</v>
      </c>
      <c r="C282" t="s">
        <v>558</v>
      </c>
      <c r="D282" s="58" t="s">
        <v>572</v>
      </c>
      <c r="E282" s="58" t="s">
        <v>565</v>
      </c>
      <c r="F282" t="s">
        <v>542</v>
      </c>
      <c r="G282" t="s">
        <v>588</v>
      </c>
      <c r="H282" s="105"/>
      <c r="I282" s="105"/>
      <c r="J282" s="105"/>
      <c r="K282" s="105"/>
    </row>
    <row r="283" spans="1:11">
      <c r="A283" t="s">
        <v>260</v>
      </c>
      <c r="B283" t="s">
        <v>572</v>
      </c>
      <c r="C283" t="s">
        <v>552</v>
      </c>
      <c r="D283" s="58" t="s">
        <v>575</v>
      </c>
      <c r="E283" s="58" t="s">
        <v>581</v>
      </c>
      <c r="F283" t="s">
        <v>545</v>
      </c>
      <c r="G283" t="s">
        <v>587</v>
      </c>
      <c r="H283" s="105"/>
      <c r="I283" s="105"/>
      <c r="J283" s="105"/>
      <c r="K283" s="105"/>
    </row>
    <row r="284" spans="1:11">
      <c r="A284" t="s">
        <v>553</v>
      </c>
      <c r="B284" t="s">
        <v>572</v>
      </c>
      <c r="C284" t="s">
        <v>552</v>
      </c>
      <c r="D284" s="58" t="s">
        <v>563</v>
      </c>
      <c r="E284" s="58" t="s">
        <v>581</v>
      </c>
      <c r="F284" t="s">
        <v>545</v>
      </c>
      <c r="G284" t="s">
        <v>487</v>
      </c>
      <c r="H284" s="105"/>
      <c r="I284" s="105"/>
      <c r="J284" s="105"/>
      <c r="K284" s="105"/>
    </row>
    <row r="285" spans="1:11">
      <c r="A285" t="s">
        <v>426</v>
      </c>
      <c r="B285" t="s">
        <v>572</v>
      </c>
      <c r="C285" t="s">
        <v>558</v>
      </c>
      <c r="D285" s="58" t="s">
        <v>572</v>
      </c>
      <c r="E285" s="58" t="s">
        <v>548</v>
      </c>
      <c r="F285" t="s">
        <v>542</v>
      </c>
      <c r="G285" t="s">
        <v>487</v>
      </c>
      <c r="H285" s="105"/>
      <c r="I285" s="105"/>
      <c r="J285" s="105"/>
      <c r="K285" s="105"/>
    </row>
    <row r="286" spans="1:11">
      <c r="A286" t="s">
        <v>677</v>
      </c>
      <c r="B286" t="s">
        <v>572</v>
      </c>
      <c r="C286" t="s">
        <v>558</v>
      </c>
      <c r="D286" s="58" t="s">
        <v>572</v>
      </c>
      <c r="E286" s="58" t="s">
        <v>548</v>
      </c>
      <c r="F286" t="s">
        <v>542</v>
      </c>
      <c r="G286" t="s">
        <v>487</v>
      </c>
      <c r="H286" s="105"/>
      <c r="I286" s="105"/>
      <c r="J286" s="105"/>
      <c r="K286" s="105"/>
    </row>
    <row r="287" spans="1:11">
      <c r="A287" t="s">
        <v>427</v>
      </c>
      <c r="B287" t="s">
        <v>570</v>
      </c>
      <c r="C287" t="s">
        <v>559</v>
      </c>
      <c r="D287" s="58" t="s">
        <v>573</v>
      </c>
      <c r="E287" s="58" t="s">
        <v>581</v>
      </c>
      <c r="F287" t="s">
        <v>545</v>
      </c>
      <c r="G287" t="s">
        <v>487</v>
      </c>
      <c r="H287" s="105"/>
      <c r="I287" s="105"/>
      <c r="J287" s="105"/>
      <c r="K287" s="105"/>
    </row>
    <row r="288" spans="1:11">
      <c r="A288" t="s">
        <v>657</v>
      </c>
      <c r="B288" t="str">
        <f>VLOOKUP(C288,$L$368:$M$372,2,0)</f>
        <v>Interlake</v>
      </c>
      <c r="C288" t="s">
        <v>497</v>
      </c>
      <c r="D288" s="58" t="s">
        <v>497</v>
      </c>
      <c r="E288" s="58" t="s">
        <v>580</v>
      </c>
      <c r="F288" s="58" t="s">
        <v>545</v>
      </c>
      <c r="G288" s="58" t="s">
        <v>487</v>
      </c>
      <c r="H288" s="105"/>
      <c r="I288" s="105"/>
      <c r="J288" s="105"/>
      <c r="K288" s="105"/>
    </row>
    <row r="289" spans="1:11">
      <c r="A289" t="s">
        <v>428</v>
      </c>
      <c r="B289" t="s">
        <v>570</v>
      </c>
      <c r="C289" t="s">
        <v>559</v>
      </c>
      <c r="D289" s="58" t="s">
        <v>573</v>
      </c>
      <c r="E289" s="58" t="s">
        <v>571</v>
      </c>
      <c r="F289" t="s">
        <v>545</v>
      </c>
      <c r="G289" t="s">
        <v>487</v>
      </c>
      <c r="H289" s="105"/>
      <c r="I289" s="105"/>
      <c r="J289" s="105"/>
      <c r="K289" s="105"/>
    </row>
    <row r="290" spans="1:11">
      <c r="A290" t="s">
        <v>429</v>
      </c>
      <c r="B290" t="s">
        <v>572</v>
      </c>
      <c r="C290" t="s">
        <v>552</v>
      </c>
      <c r="D290" s="58" t="s">
        <v>575</v>
      </c>
      <c r="E290" s="58" t="s">
        <v>577</v>
      </c>
      <c r="F290" t="s">
        <v>545</v>
      </c>
      <c r="G290" t="s">
        <v>487</v>
      </c>
      <c r="H290" s="105"/>
      <c r="I290" s="105"/>
      <c r="J290" s="105"/>
      <c r="K290" s="105"/>
    </row>
    <row r="291" spans="1:11">
      <c r="A291" t="s">
        <v>430</v>
      </c>
      <c r="B291" t="s">
        <v>570</v>
      </c>
      <c r="C291" t="s">
        <v>557</v>
      </c>
      <c r="D291" s="58" t="s">
        <v>573</v>
      </c>
      <c r="E291" s="58" t="s">
        <v>571</v>
      </c>
      <c r="F291" t="s">
        <v>545</v>
      </c>
      <c r="G291" t="s">
        <v>487</v>
      </c>
      <c r="H291" s="105"/>
      <c r="I291" s="105"/>
      <c r="J291" s="105"/>
      <c r="K291" s="105"/>
    </row>
    <row r="292" spans="1:11">
      <c r="A292" t="s">
        <v>431</v>
      </c>
      <c r="B292" t="s">
        <v>572</v>
      </c>
      <c r="C292" t="s">
        <v>552</v>
      </c>
      <c r="D292" s="58" t="s">
        <v>575</v>
      </c>
      <c r="E292" s="58" t="s">
        <v>581</v>
      </c>
      <c r="F292" t="s">
        <v>545</v>
      </c>
      <c r="G292" t="s">
        <v>487</v>
      </c>
      <c r="H292" s="105"/>
      <c r="I292" s="105"/>
      <c r="J292" s="105"/>
      <c r="K292" s="105"/>
    </row>
    <row r="293" spans="1:11">
      <c r="A293" t="s">
        <v>432</v>
      </c>
      <c r="B293" t="str">
        <f>VLOOKUP(C293,$L$368:$M$372,2,0)</f>
        <v>Interlake</v>
      </c>
      <c r="C293" t="s">
        <v>497</v>
      </c>
      <c r="D293" s="58" t="s">
        <v>497</v>
      </c>
      <c r="E293" s="58" t="s">
        <v>579</v>
      </c>
      <c r="F293" t="s">
        <v>545</v>
      </c>
      <c r="G293" t="s">
        <v>487</v>
      </c>
      <c r="H293" s="105"/>
      <c r="I293" s="105"/>
      <c r="J293" s="105"/>
      <c r="K293" s="105"/>
    </row>
    <row r="294" spans="1:11">
      <c r="A294" t="s">
        <v>556</v>
      </c>
      <c r="B294" t="s">
        <v>572</v>
      </c>
      <c r="C294" t="s">
        <v>552</v>
      </c>
      <c r="D294" s="58" t="s">
        <v>572</v>
      </c>
      <c r="E294" s="58" t="s">
        <v>577</v>
      </c>
      <c r="F294" t="s">
        <v>545</v>
      </c>
      <c r="G294" t="s">
        <v>487</v>
      </c>
      <c r="H294" s="105"/>
      <c r="I294" s="105"/>
      <c r="J294" s="105"/>
      <c r="K294" s="105"/>
    </row>
    <row r="295" spans="1:11">
      <c r="A295" t="s">
        <v>433</v>
      </c>
      <c r="B295" t="s">
        <v>570</v>
      </c>
      <c r="C295" t="s">
        <v>559</v>
      </c>
      <c r="D295" s="58" t="s">
        <v>573</v>
      </c>
      <c r="E295" s="58" t="s">
        <v>581</v>
      </c>
      <c r="F295" t="s">
        <v>545</v>
      </c>
      <c r="G295" t="s">
        <v>487</v>
      </c>
      <c r="H295" s="105"/>
      <c r="I295" s="105"/>
      <c r="J295" s="105"/>
      <c r="K295" s="105"/>
    </row>
    <row r="296" spans="1:11">
      <c r="A296" t="s">
        <v>498</v>
      </c>
      <c r="B296" t="str">
        <f>VLOOKUP(C296,$L$368:$M$372,2,0)</f>
        <v>Interlake</v>
      </c>
      <c r="C296" t="s">
        <v>497</v>
      </c>
      <c r="D296" s="58" t="s">
        <v>497</v>
      </c>
      <c r="E296" s="58" t="s">
        <v>579</v>
      </c>
      <c r="F296" t="s">
        <v>541</v>
      </c>
      <c r="G296" t="s">
        <v>487</v>
      </c>
      <c r="H296" s="105"/>
      <c r="I296" s="105"/>
      <c r="J296" s="105"/>
      <c r="K296" s="105"/>
    </row>
    <row r="297" spans="1:11">
      <c r="A297" t="s">
        <v>434</v>
      </c>
      <c r="B297" t="s">
        <v>570</v>
      </c>
      <c r="C297" t="s">
        <v>559</v>
      </c>
      <c r="D297" s="58" t="s">
        <v>573</v>
      </c>
      <c r="E297" s="58" t="s">
        <v>581</v>
      </c>
      <c r="F297" t="s">
        <v>545</v>
      </c>
      <c r="G297" t="s">
        <v>487</v>
      </c>
      <c r="H297" s="105"/>
      <c r="I297" s="105"/>
      <c r="J297" s="105"/>
      <c r="K297" s="105"/>
    </row>
    <row r="298" spans="1:11">
      <c r="A298" t="s">
        <v>435</v>
      </c>
      <c r="B298" t="str">
        <f>VLOOKUP(C298,$L$368:$M$372,2,0)</f>
        <v>Parkland</v>
      </c>
      <c r="C298" t="s">
        <v>548</v>
      </c>
      <c r="D298" s="58" t="s">
        <v>548</v>
      </c>
      <c r="E298" s="58" t="s">
        <v>548</v>
      </c>
      <c r="F298" t="s">
        <v>542</v>
      </c>
      <c r="G298" t="s">
        <v>487</v>
      </c>
      <c r="H298" s="105"/>
      <c r="I298" s="105"/>
      <c r="J298" s="105"/>
      <c r="K298" s="105"/>
    </row>
    <row r="299" spans="1:11">
      <c r="A299" t="s">
        <v>436</v>
      </c>
      <c r="B299" t="str">
        <f>VLOOKUP(C299,$L$368:$M$372,2,0)</f>
        <v>Thompson</v>
      </c>
      <c r="C299" t="s">
        <v>488</v>
      </c>
      <c r="D299" s="58" t="s">
        <v>574</v>
      </c>
      <c r="E299" s="58" t="s">
        <v>566</v>
      </c>
      <c r="F299" t="s">
        <v>541</v>
      </c>
      <c r="G299" t="s">
        <v>487</v>
      </c>
      <c r="H299" s="105"/>
      <c r="I299" s="105"/>
      <c r="J299" s="105"/>
      <c r="K299" s="105"/>
    </row>
    <row r="300" spans="1:11">
      <c r="A300" t="s">
        <v>261</v>
      </c>
      <c r="B300" t="str">
        <f>VLOOKUP(C300,$L$368:$M$372,2,0)</f>
        <v>Thompson</v>
      </c>
      <c r="C300" t="s">
        <v>488</v>
      </c>
      <c r="D300" s="58" t="s">
        <v>574</v>
      </c>
      <c r="E300" s="58" t="s">
        <v>566</v>
      </c>
      <c r="F300" t="s">
        <v>541</v>
      </c>
      <c r="G300" t="s">
        <v>585</v>
      </c>
      <c r="H300" s="105"/>
      <c r="I300" s="105"/>
      <c r="J300" s="105"/>
      <c r="K300" s="105"/>
    </row>
    <row r="301" spans="1:11">
      <c r="A301" t="s">
        <v>437</v>
      </c>
      <c r="B301" t="s">
        <v>572</v>
      </c>
      <c r="C301" t="s">
        <v>558</v>
      </c>
      <c r="D301" s="58" t="s">
        <v>572</v>
      </c>
      <c r="E301" s="58" t="s">
        <v>565</v>
      </c>
      <c r="F301" t="s">
        <v>542</v>
      </c>
      <c r="G301" t="s">
        <v>487</v>
      </c>
      <c r="H301" s="105"/>
      <c r="I301" s="105"/>
      <c r="J301" s="105"/>
      <c r="K301" s="105"/>
    </row>
    <row r="302" spans="1:11">
      <c r="A302" t="s">
        <v>262</v>
      </c>
      <c r="B302" t="s">
        <v>570</v>
      </c>
      <c r="C302" t="s">
        <v>557</v>
      </c>
      <c r="D302" s="58" t="s">
        <v>573</v>
      </c>
      <c r="E302" s="58" t="s">
        <v>571</v>
      </c>
      <c r="F302" t="s">
        <v>545</v>
      </c>
      <c r="G302" t="s">
        <v>584</v>
      </c>
      <c r="H302" s="105"/>
      <c r="I302" s="105"/>
      <c r="J302" s="105"/>
      <c r="K302" s="105"/>
    </row>
    <row r="303" spans="1:11">
      <c r="A303" t="s">
        <v>263</v>
      </c>
      <c r="B303" t="str">
        <f>VLOOKUP(C303,$L$368:$M$372,2,0)</f>
        <v>Parkland</v>
      </c>
      <c r="C303" t="s">
        <v>548</v>
      </c>
      <c r="D303" s="58" t="s">
        <v>548</v>
      </c>
      <c r="E303" s="58" t="s">
        <v>548</v>
      </c>
      <c r="F303" t="s">
        <v>542</v>
      </c>
      <c r="G303" t="s">
        <v>487</v>
      </c>
      <c r="H303" s="105"/>
      <c r="I303" s="105"/>
      <c r="J303" s="105"/>
      <c r="K303" s="105"/>
    </row>
    <row r="304" spans="1:11">
      <c r="A304" t="s">
        <v>438</v>
      </c>
      <c r="B304" t="s">
        <v>572</v>
      </c>
      <c r="C304" t="s">
        <v>552</v>
      </c>
      <c r="D304" s="58" t="s">
        <v>563</v>
      </c>
      <c r="E304" s="58" t="s">
        <v>577</v>
      </c>
      <c r="F304" t="s">
        <v>545</v>
      </c>
      <c r="G304" t="s">
        <v>487</v>
      </c>
      <c r="H304" s="105"/>
      <c r="I304" s="105"/>
      <c r="J304" s="105"/>
      <c r="K304" s="105"/>
    </row>
    <row r="305" spans="1:11">
      <c r="A305" t="s">
        <v>264</v>
      </c>
      <c r="B305" t="s">
        <v>572</v>
      </c>
      <c r="C305" t="s">
        <v>552</v>
      </c>
      <c r="D305" s="58" t="s">
        <v>563</v>
      </c>
      <c r="E305" s="58" t="s">
        <v>577</v>
      </c>
      <c r="F305" t="s">
        <v>545</v>
      </c>
      <c r="G305" t="s">
        <v>587</v>
      </c>
      <c r="H305" s="105"/>
      <c r="I305" s="105"/>
      <c r="J305" s="105"/>
      <c r="K305" s="105"/>
    </row>
    <row r="306" spans="1:11">
      <c r="A306" t="s">
        <v>439</v>
      </c>
      <c r="B306" t="s">
        <v>572</v>
      </c>
      <c r="C306" t="s">
        <v>558</v>
      </c>
      <c r="D306" s="58" t="s">
        <v>572</v>
      </c>
      <c r="E306" s="58" t="s">
        <v>565</v>
      </c>
      <c r="F306" t="s">
        <v>542</v>
      </c>
      <c r="G306" t="s">
        <v>487</v>
      </c>
      <c r="H306" s="105"/>
      <c r="I306" s="105"/>
      <c r="J306" s="105"/>
      <c r="K306" s="105"/>
    </row>
    <row r="307" spans="1:11">
      <c r="A307" t="s">
        <v>440</v>
      </c>
      <c r="B307" t="s">
        <v>572</v>
      </c>
      <c r="C307" t="s">
        <v>552</v>
      </c>
      <c r="D307" s="58" t="s">
        <v>575</v>
      </c>
      <c r="E307" s="58" t="s">
        <v>581</v>
      </c>
      <c r="F307" t="s">
        <v>545</v>
      </c>
      <c r="G307" t="s">
        <v>487</v>
      </c>
      <c r="H307" s="105"/>
      <c r="I307" s="105"/>
      <c r="J307" s="105"/>
      <c r="K307" s="105"/>
    </row>
    <row r="308" spans="1:11">
      <c r="A308" t="s">
        <v>265</v>
      </c>
      <c r="B308" t="str">
        <f>VLOOKUP(C308,$L$368:$M$372,2,0)</f>
        <v>Parkland</v>
      </c>
      <c r="C308" t="s">
        <v>548</v>
      </c>
      <c r="D308" s="58" t="s">
        <v>548</v>
      </c>
      <c r="E308" s="58" t="s">
        <v>569</v>
      </c>
      <c r="F308" t="s">
        <v>547</v>
      </c>
      <c r="G308" t="s">
        <v>583</v>
      </c>
      <c r="H308" s="105"/>
      <c r="I308" s="105"/>
      <c r="J308" s="105"/>
      <c r="K308" s="105"/>
    </row>
    <row r="309" spans="1:11">
      <c r="A309" t="s">
        <v>266</v>
      </c>
      <c r="B309" t="str">
        <f>VLOOKUP(C309,$L$368:$M$372,2,0)</f>
        <v>Thompson</v>
      </c>
      <c r="C309" t="s">
        <v>488</v>
      </c>
      <c r="D309" s="58" t="s">
        <v>574</v>
      </c>
      <c r="E309" s="58" t="s">
        <v>567</v>
      </c>
      <c r="F309" t="s">
        <v>541</v>
      </c>
      <c r="G309" t="s">
        <v>586</v>
      </c>
      <c r="H309" s="105"/>
      <c r="I309" s="105"/>
      <c r="J309" s="105"/>
      <c r="K309" s="105"/>
    </row>
    <row r="310" spans="1:11">
      <c r="A310" t="s">
        <v>441</v>
      </c>
      <c r="B310" t="str">
        <f>VLOOKUP(C310,$L$368:$M$372,2,0)</f>
        <v>Interlake</v>
      </c>
      <c r="C310" t="s">
        <v>497</v>
      </c>
      <c r="D310" s="58" t="s">
        <v>497</v>
      </c>
      <c r="E310" s="58" t="s">
        <v>580</v>
      </c>
      <c r="F310" t="s">
        <v>545</v>
      </c>
      <c r="G310" t="s">
        <v>487</v>
      </c>
      <c r="H310" s="105"/>
      <c r="I310" s="105"/>
      <c r="J310" s="105"/>
      <c r="K310" s="105"/>
    </row>
    <row r="311" spans="1:11">
      <c r="A311" t="s">
        <v>442</v>
      </c>
      <c r="B311" t="s">
        <v>570</v>
      </c>
      <c r="C311" t="s">
        <v>557</v>
      </c>
      <c r="D311" s="58" t="s">
        <v>573</v>
      </c>
      <c r="E311" s="58" t="s">
        <v>571</v>
      </c>
      <c r="F311" t="s">
        <v>546</v>
      </c>
      <c r="G311" t="s">
        <v>487</v>
      </c>
      <c r="H311" s="105"/>
      <c r="I311" s="105"/>
      <c r="J311" s="105"/>
      <c r="K311" s="105"/>
    </row>
    <row r="312" spans="1:11">
      <c r="A312" t="s">
        <v>267</v>
      </c>
      <c r="B312" t="s">
        <v>570</v>
      </c>
      <c r="C312" t="s">
        <v>557</v>
      </c>
      <c r="D312" s="58" t="s">
        <v>573</v>
      </c>
      <c r="E312" s="58" t="s">
        <v>571</v>
      </c>
      <c r="F312" t="s">
        <v>541</v>
      </c>
      <c r="G312" t="s">
        <v>487</v>
      </c>
      <c r="H312" s="105"/>
      <c r="I312" s="105"/>
      <c r="J312" s="105"/>
      <c r="K312" s="105"/>
    </row>
    <row r="313" spans="1:11">
      <c r="A313" t="s">
        <v>443</v>
      </c>
      <c r="B313" t="str">
        <f>VLOOKUP(C313,$L$368:$M$372,2,0)</f>
        <v>Thompson</v>
      </c>
      <c r="C313" t="s">
        <v>488</v>
      </c>
      <c r="D313" s="58" t="s">
        <v>574</v>
      </c>
      <c r="E313" s="58" t="s">
        <v>566</v>
      </c>
      <c r="F313" t="s">
        <v>541</v>
      </c>
      <c r="G313" t="s">
        <v>487</v>
      </c>
      <c r="H313" s="105"/>
      <c r="I313" s="105"/>
      <c r="J313" s="105"/>
      <c r="K313" s="105"/>
    </row>
    <row r="314" spans="1:11">
      <c r="A314" t="s">
        <v>268</v>
      </c>
      <c r="B314" t="str">
        <f>VLOOKUP(C314,$L$368:$M$372,2,0)</f>
        <v>Thompson</v>
      </c>
      <c r="C314" t="s">
        <v>488</v>
      </c>
      <c r="D314" s="58" t="s">
        <v>574</v>
      </c>
      <c r="E314" s="58" t="s">
        <v>566</v>
      </c>
      <c r="F314" t="s">
        <v>541</v>
      </c>
      <c r="G314" t="s">
        <v>586</v>
      </c>
      <c r="H314" s="105"/>
      <c r="I314" s="105"/>
      <c r="J314" s="105"/>
      <c r="K314" s="105"/>
    </row>
    <row r="315" spans="1:11">
      <c r="A315" t="s">
        <v>444</v>
      </c>
      <c r="B315" t="str">
        <f>VLOOKUP(C315,$L$368:$M$372,2,0)</f>
        <v>The Pas</v>
      </c>
      <c r="C315" t="s">
        <v>493</v>
      </c>
      <c r="D315" s="58" t="s">
        <v>574</v>
      </c>
      <c r="E315" s="58" t="s">
        <v>568</v>
      </c>
      <c r="F315" t="s">
        <v>543</v>
      </c>
      <c r="G315" t="s">
        <v>487</v>
      </c>
      <c r="H315" s="105"/>
      <c r="I315" s="105"/>
      <c r="J315" s="105"/>
      <c r="K315" s="105"/>
    </row>
    <row r="316" spans="1:11">
      <c r="A316" t="s">
        <v>445</v>
      </c>
      <c r="B316" t="s">
        <v>572</v>
      </c>
      <c r="C316" t="s">
        <v>558</v>
      </c>
      <c r="D316" s="58" t="s">
        <v>572</v>
      </c>
      <c r="E316" s="58" t="s">
        <v>565</v>
      </c>
      <c r="F316" t="s">
        <v>545</v>
      </c>
      <c r="G316" t="s">
        <v>487</v>
      </c>
      <c r="H316" s="105"/>
      <c r="I316" s="105"/>
      <c r="J316" s="105"/>
      <c r="K316" s="105"/>
    </row>
    <row r="317" spans="1:11">
      <c r="A317" t="s">
        <v>446</v>
      </c>
      <c r="B317" t="s">
        <v>572</v>
      </c>
      <c r="C317" t="s">
        <v>558</v>
      </c>
      <c r="D317" s="58" t="s">
        <v>572</v>
      </c>
      <c r="E317" s="58" t="s">
        <v>565</v>
      </c>
      <c r="F317" t="s">
        <v>542</v>
      </c>
      <c r="G317" t="s">
        <v>487</v>
      </c>
      <c r="H317" s="105"/>
      <c r="I317" s="105"/>
      <c r="J317" s="105"/>
      <c r="K317" s="105"/>
    </row>
    <row r="318" spans="1:11">
      <c r="A318" t="s">
        <v>629</v>
      </c>
      <c r="B318" t="str">
        <f>VLOOKUP(C318,$L$368:$M$372,2,0)</f>
        <v>Parkland</v>
      </c>
      <c r="C318" t="s">
        <v>548</v>
      </c>
      <c r="D318" s="58" t="s">
        <v>548</v>
      </c>
      <c r="E318" s="58" t="s">
        <v>548</v>
      </c>
      <c r="F318" s="58" t="s">
        <v>542</v>
      </c>
      <c r="G318" s="58" t="s">
        <v>487</v>
      </c>
      <c r="H318" s="105"/>
      <c r="I318" s="105"/>
      <c r="J318" s="105"/>
      <c r="K318" s="105"/>
    </row>
    <row r="319" spans="1:11">
      <c r="A319" t="s">
        <v>447</v>
      </c>
      <c r="B319" t="str">
        <f>VLOOKUP(C319,$L$368:$M$372,2,0)</f>
        <v>Interlake</v>
      </c>
      <c r="C319" t="s">
        <v>497</v>
      </c>
      <c r="D319" s="58" t="s">
        <v>497</v>
      </c>
      <c r="E319" s="58" t="s">
        <v>578</v>
      </c>
      <c r="F319" t="s">
        <v>542</v>
      </c>
      <c r="G319" t="s">
        <v>487</v>
      </c>
      <c r="H319" s="105"/>
      <c r="I319" s="105"/>
      <c r="J319" s="105"/>
      <c r="K319" s="105"/>
    </row>
    <row r="320" spans="1:11">
      <c r="A320" t="s">
        <v>269</v>
      </c>
      <c r="B320" t="s">
        <v>572</v>
      </c>
      <c r="C320" t="s">
        <v>558</v>
      </c>
      <c r="D320" s="58" t="s">
        <v>572</v>
      </c>
      <c r="E320" s="58" t="s">
        <v>565</v>
      </c>
      <c r="F320" t="s">
        <v>542</v>
      </c>
      <c r="G320" t="s">
        <v>587</v>
      </c>
      <c r="H320" s="105"/>
      <c r="I320" s="105"/>
      <c r="J320" s="105"/>
      <c r="K320" s="105"/>
    </row>
    <row r="321" spans="1:11">
      <c r="A321" t="s">
        <v>270</v>
      </c>
      <c r="B321" t="str">
        <f>VLOOKUP(C321,$L$368:$M$372,2,0)</f>
        <v>Parkland</v>
      </c>
      <c r="C321" t="s">
        <v>548</v>
      </c>
      <c r="D321" s="58" t="s">
        <v>548</v>
      </c>
      <c r="E321" s="58" t="s">
        <v>548</v>
      </c>
      <c r="F321" t="s">
        <v>542</v>
      </c>
      <c r="G321" t="s">
        <v>588</v>
      </c>
      <c r="H321" s="105"/>
      <c r="I321" s="105"/>
      <c r="J321" s="105"/>
      <c r="K321" s="105"/>
    </row>
    <row r="322" spans="1:11">
      <c r="A322" t="s">
        <v>448</v>
      </c>
      <c r="B322" t="str">
        <f>VLOOKUP(C322,$L$368:$M$372,2,0)</f>
        <v>The Pas</v>
      </c>
      <c r="C322" t="s">
        <v>493</v>
      </c>
      <c r="D322" s="58" t="s">
        <v>574</v>
      </c>
      <c r="E322" s="58" t="s">
        <v>568</v>
      </c>
      <c r="F322" t="s">
        <v>541</v>
      </c>
      <c r="G322" t="s">
        <v>487</v>
      </c>
      <c r="H322" s="105"/>
      <c r="I322" s="105"/>
      <c r="J322" s="105"/>
      <c r="K322" s="105"/>
    </row>
    <row r="323" spans="1:11">
      <c r="A323" t="s">
        <v>449</v>
      </c>
      <c r="B323" t="s">
        <v>572</v>
      </c>
      <c r="C323" t="s">
        <v>552</v>
      </c>
      <c r="D323" s="58" t="s">
        <v>572</v>
      </c>
      <c r="E323" s="58" t="s">
        <v>577</v>
      </c>
      <c r="F323" t="s">
        <v>545</v>
      </c>
      <c r="G323" t="s">
        <v>487</v>
      </c>
      <c r="H323" s="105"/>
      <c r="I323" s="105"/>
      <c r="J323" s="105"/>
      <c r="K323" s="105"/>
    </row>
    <row r="324" spans="1:11">
      <c r="A324" t="s">
        <v>450</v>
      </c>
      <c r="B324" t="s">
        <v>572</v>
      </c>
      <c r="C324" t="s">
        <v>558</v>
      </c>
      <c r="D324" s="58" t="s">
        <v>572</v>
      </c>
      <c r="E324" s="58" t="s">
        <v>565</v>
      </c>
      <c r="F324" t="s">
        <v>542</v>
      </c>
      <c r="G324" t="s">
        <v>487</v>
      </c>
      <c r="H324" s="105"/>
      <c r="I324" s="105"/>
      <c r="J324" s="105"/>
      <c r="K324" s="105"/>
    </row>
    <row r="325" spans="1:11">
      <c r="A325" t="s">
        <v>451</v>
      </c>
      <c r="B325" t="str">
        <f>VLOOKUP(C325,$L$368:$M$372,2,0)</f>
        <v>Thompson</v>
      </c>
      <c r="C325" t="s">
        <v>488</v>
      </c>
      <c r="D325" s="58" t="s">
        <v>574</v>
      </c>
      <c r="E325" s="58" t="s">
        <v>567</v>
      </c>
      <c r="F325" t="s">
        <v>541</v>
      </c>
      <c r="G325" t="s">
        <v>487</v>
      </c>
      <c r="H325" s="105"/>
      <c r="I325" s="105"/>
      <c r="J325" s="105"/>
      <c r="K325" s="105"/>
    </row>
    <row r="326" spans="1:11">
      <c r="A326" t="s">
        <v>452</v>
      </c>
      <c r="B326" t="s">
        <v>570</v>
      </c>
      <c r="C326" t="s">
        <v>559</v>
      </c>
      <c r="D326" s="58" t="s">
        <v>573</v>
      </c>
      <c r="E326" s="58" t="s">
        <v>581</v>
      </c>
      <c r="F326" t="s">
        <v>545</v>
      </c>
      <c r="G326" t="s">
        <v>487</v>
      </c>
      <c r="H326" s="105"/>
      <c r="I326" s="105"/>
      <c r="J326" s="105"/>
      <c r="K326" s="105"/>
    </row>
    <row r="327" spans="1:11">
      <c r="A327" t="s">
        <v>271</v>
      </c>
      <c r="B327" t="str">
        <f>VLOOKUP(C327,$L$368:$M$372,2,0)</f>
        <v>Parkland</v>
      </c>
      <c r="C327" t="s">
        <v>548</v>
      </c>
      <c r="D327" s="58" t="s">
        <v>548</v>
      </c>
      <c r="E327" s="58" t="s">
        <v>548</v>
      </c>
      <c r="F327" t="s">
        <v>542</v>
      </c>
      <c r="G327" t="s">
        <v>487</v>
      </c>
      <c r="H327" s="105"/>
      <c r="I327" s="105"/>
      <c r="J327" s="105"/>
      <c r="K327" s="105"/>
    </row>
    <row r="328" spans="1:11">
      <c r="A328" t="s">
        <v>453</v>
      </c>
      <c r="B328" t="str">
        <f>VLOOKUP(C328,$L$368:$M$372,2,0)</f>
        <v>Thompson</v>
      </c>
      <c r="C328" t="s">
        <v>488</v>
      </c>
      <c r="D328" s="58" t="s">
        <v>574</v>
      </c>
      <c r="E328" s="58" t="s">
        <v>485</v>
      </c>
      <c r="F328" t="s">
        <v>541</v>
      </c>
      <c r="G328" t="s">
        <v>487</v>
      </c>
      <c r="H328" s="105"/>
      <c r="I328" s="105"/>
      <c r="J328" s="105"/>
      <c r="K328" s="105"/>
    </row>
    <row r="329" spans="1:11">
      <c r="A329" t="s">
        <v>454</v>
      </c>
      <c r="B329" t="s">
        <v>570</v>
      </c>
      <c r="C329" t="s">
        <v>559</v>
      </c>
      <c r="D329" s="58" t="s">
        <v>573</v>
      </c>
      <c r="E329" s="58" t="s">
        <v>581</v>
      </c>
      <c r="F329" t="s">
        <v>546</v>
      </c>
      <c r="G329" t="s">
        <v>487</v>
      </c>
      <c r="H329" s="105"/>
      <c r="I329" s="105"/>
      <c r="J329" s="105"/>
      <c r="K329" s="105"/>
    </row>
    <row r="330" spans="1:11">
      <c r="A330" t="s">
        <v>455</v>
      </c>
      <c r="B330" t="s">
        <v>572</v>
      </c>
      <c r="C330" t="s">
        <v>558</v>
      </c>
      <c r="D330" s="58" t="s">
        <v>572</v>
      </c>
      <c r="E330" s="58" t="s">
        <v>565</v>
      </c>
      <c r="F330" t="s">
        <v>545</v>
      </c>
      <c r="G330" t="s">
        <v>487</v>
      </c>
      <c r="H330" s="105"/>
      <c r="I330" s="105"/>
      <c r="J330" s="105"/>
      <c r="K330" s="105"/>
    </row>
    <row r="331" spans="1:11">
      <c r="A331" t="s">
        <v>456</v>
      </c>
      <c r="B331" t="s">
        <v>572</v>
      </c>
      <c r="C331" t="s">
        <v>552</v>
      </c>
      <c r="D331" s="58" t="s">
        <v>575</v>
      </c>
      <c r="E331" s="58" t="s">
        <v>581</v>
      </c>
      <c r="F331" t="s">
        <v>545</v>
      </c>
      <c r="G331" t="s">
        <v>487</v>
      </c>
      <c r="H331" s="105"/>
      <c r="I331" s="105"/>
      <c r="J331" s="105"/>
      <c r="K331" s="105"/>
    </row>
    <row r="332" spans="1:11">
      <c r="A332" t="s">
        <v>561</v>
      </c>
      <c r="B332" t="s">
        <v>570</v>
      </c>
      <c r="C332" t="s">
        <v>557</v>
      </c>
      <c r="D332" s="58" t="s">
        <v>573</v>
      </c>
      <c r="E332" s="58" t="s">
        <v>571</v>
      </c>
      <c r="F332" t="s">
        <v>545</v>
      </c>
      <c r="G332" t="s">
        <v>487</v>
      </c>
      <c r="H332" s="105"/>
      <c r="I332" s="105"/>
      <c r="J332" s="105"/>
      <c r="K332" s="105"/>
    </row>
    <row r="333" spans="1:11">
      <c r="A333" t="s">
        <v>539</v>
      </c>
      <c r="B333" t="str">
        <f>VLOOKUP(C333,$L$368:$M$372,2,0)</f>
        <v>Interlake</v>
      </c>
      <c r="C333" t="s">
        <v>497</v>
      </c>
      <c r="D333" s="58" t="s">
        <v>497</v>
      </c>
      <c r="E333" s="58" t="s">
        <v>579</v>
      </c>
      <c r="F333" t="s">
        <v>542</v>
      </c>
      <c r="G333" t="s">
        <v>487</v>
      </c>
      <c r="H333" s="105"/>
      <c r="I333" s="105"/>
      <c r="J333" s="105"/>
      <c r="K333" s="105"/>
    </row>
    <row r="334" spans="1:11">
      <c r="A334" t="s">
        <v>457</v>
      </c>
      <c r="B334" t="s">
        <v>570</v>
      </c>
      <c r="C334" t="s">
        <v>559</v>
      </c>
      <c r="D334" s="58" t="s">
        <v>573</v>
      </c>
      <c r="E334" s="58" t="s">
        <v>581</v>
      </c>
      <c r="F334" t="s">
        <v>545</v>
      </c>
      <c r="G334" t="s">
        <v>487</v>
      </c>
      <c r="H334" s="105"/>
      <c r="I334" s="105"/>
      <c r="J334" s="105"/>
      <c r="K334" s="105"/>
    </row>
    <row r="335" spans="1:11">
      <c r="A335" t="s">
        <v>458</v>
      </c>
      <c r="B335" t="str">
        <f>VLOOKUP(C335,$L$368:$M$372,2,0)</f>
        <v>Interlake</v>
      </c>
      <c r="C335" t="s">
        <v>497</v>
      </c>
      <c r="D335" s="58" t="s">
        <v>497</v>
      </c>
      <c r="E335" s="58" t="s">
        <v>578</v>
      </c>
      <c r="F335" t="s">
        <v>545</v>
      </c>
      <c r="G335" t="s">
        <v>487</v>
      </c>
      <c r="H335" s="105"/>
      <c r="I335" s="105"/>
      <c r="J335" s="105"/>
      <c r="K335" s="105"/>
    </row>
    <row r="336" spans="1:11">
      <c r="A336" t="s">
        <v>459</v>
      </c>
      <c r="B336" t="str">
        <f>VLOOKUP(C336,$L$368:$M$372,2,0)</f>
        <v>Interlake</v>
      </c>
      <c r="C336" t="s">
        <v>497</v>
      </c>
      <c r="D336" s="58" t="s">
        <v>497</v>
      </c>
      <c r="E336" s="58" t="s">
        <v>578</v>
      </c>
      <c r="F336" t="s">
        <v>545</v>
      </c>
      <c r="G336" t="s">
        <v>487</v>
      </c>
      <c r="H336" s="105"/>
      <c r="I336" s="105"/>
      <c r="J336" s="105"/>
      <c r="K336" s="105"/>
    </row>
    <row r="337" spans="1:11">
      <c r="A337" t="s">
        <v>670</v>
      </c>
      <c r="B337" t="s">
        <v>572</v>
      </c>
      <c r="C337" t="s">
        <v>558</v>
      </c>
      <c r="D337" s="58" t="s">
        <v>572</v>
      </c>
      <c r="E337" s="58" t="s">
        <v>565</v>
      </c>
      <c r="F337" s="58" t="s">
        <v>542</v>
      </c>
      <c r="G337" s="58" t="s">
        <v>487</v>
      </c>
      <c r="H337" s="105"/>
      <c r="I337" s="105"/>
      <c r="J337" s="105"/>
      <c r="K337" s="105"/>
    </row>
    <row r="338" spans="1:11">
      <c r="A338" t="s">
        <v>460</v>
      </c>
      <c r="B338" t="s">
        <v>570</v>
      </c>
      <c r="C338" t="s">
        <v>559</v>
      </c>
      <c r="D338" s="58" t="s">
        <v>573</v>
      </c>
      <c r="E338" s="58" t="s">
        <v>581</v>
      </c>
      <c r="F338" t="s">
        <v>545</v>
      </c>
      <c r="G338" t="s">
        <v>487</v>
      </c>
      <c r="H338" s="105"/>
      <c r="I338" s="105"/>
      <c r="J338" s="105"/>
      <c r="K338" s="105"/>
    </row>
    <row r="339" spans="1:11">
      <c r="A339" t="s">
        <v>461</v>
      </c>
      <c r="B339" t="str">
        <f>VLOOKUP(C339,$L$368:$M$372,2,0)</f>
        <v>Thompson</v>
      </c>
      <c r="C339" t="s">
        <v>488</v>
      </c>
      <c r="D339" s="58" t="s">
        <v>574</v>
      </c>
      <c r="E339" s="58" t="s">
        <v>485</v>
      </c>
      <c r="F339" t="s">
        <v>541</v>
      </c>
      <c r="G339" t="s">
        <v>487</v>
      </c>
      <c r="H339" s="105"/>
      <c r="I339" s="105"/>
      <c r="J339" s="105"/>
      <c r="K339" s="105"/>
    </row>
    <row r="340" spans="1:11">
      <c r="A340" t="s">
        <v>462</v>
      </c>
      <c r="B340" t="s">
        <v>570</v>
      </c>
      <c r="C340" t="s">
        <v>559</v>
      </c>
      <c r="D340" s="58" t="s">
        <v>573</v>
      </c>
      <c r="E340" s="58" t="s">
        <v>581</v>
      </c>
      <c r="F340" t="s">
        <v>545</v>
      </c>
      <c r="G340" t="s">
        <v>487</v>
      </c>
      <c r="H340" s="105"/>
      <c r="I340" s="105"/>
      <c r="J340" s="105"/>
      <c r="K340" s="105"/>
    </row>
    <row r="341" spans="1:11">
      <c r="A341" t="s">
        <v>554</v>
      </c>
      <c r="B341" t="s">
        <v>572</v>
      </c>
      <c r="C341" t="s">
        <v>552</v>
      </c>
      <c r="D341" s="58" t="s">
        <v>572</v>
      </c>
      <c r="E341" s="58" t="s">
        <v>577</v>
      </c>
      <c r="F341" t="s">
        <v>545</v>
      </c>
      <c r="G341" t="s">
        <v>487</v>
      </c>
      <c r="H341" s="105"/>
      <c r="I341" s="105"/>
      <c r="J341" s="105"/>
      <c r="K341" s="105"/>
    </row>
    <row r="342" spans="1:11">
      <c r="A342" t="s">
        <v>272</v>
      </c>
      <c r="B342" t="s">
        <v>572</v>
      </c>
      <c r="C342" t="s">
        <v>552</v>
      </c>
      <c r="D342" s="58" t="s">
        <v>572</v>
      </c>
      <c r="E342" s="58" t="s">
        <v>577</v>
      </c>
      <c r="F342" t="s">
        <v>545</v>
      </c>
      <c r="G342" t="s">
        <v>587</v>
      </c>
      <c r="H342" s="105"/>
      <c r="I342" s="105"/>
      <c r="J342" s="105"/>
      <c r="K342" s="105"/>
    </row>
    <row r="343" spans="1:11">
      <c r="A343" t="s">
        <v>697</v>
      </c>
      <c r="B343" t="str">
        <f t="shared" ref="B343:B350" si="4">VLOOKUP(C343,$L$368:$M$372,2,0)</f>
        <v>Parkland</v>
      </c>
      <c r="C343" t="s">
        <v>548</v>
      </c>
      <c r="D343" s="58" t="s">
        <v>548</v>
      </c>
      <c r="E343" s="58" t="s">
        <v>548</v>
      </c>
      <c r="F343" t="s">
        <v>547</v>
      </c>
      <c r="G343" t="s">
        <v>487</v>
      </c>
      <c r="H343" s="105"/>
      <c r="I343" s="105"/>
      <c r="J343" s="105"/>
      <c r="K343" s="105"/>
    </row>
    <row r="344" spans="1:11">
      <c r="A344" t="s">
        <v>463</v>
      </c>
      <c r="B344" t="str">
        <f t="shared" si="4"/>
        <v>Thompson</v>
      </c>
      <c r="C344" t="s">
        <v>488</v>
      </c>
      <c r="D344" s="58" t="s">
        <v>574</v>
      </c>
      <c r="E344" s="58" t="s">
        <v>567</v>
      </c>
      <c r="F344" t="s">
        <v>541</v>
      </c>
      <c r="G344" t="s">
        <v>487</v>
      </c>
      <c r="H344" s="105"/>
      <c r="I344" s="105"/>
      <c r="J344" s="105"/>
      <c r="K344" s="105"/>
    </row>
    <row r="345" spans="1:11">
      <c r="A345" t="s">
        <v>273</v>
      </c>
      <c r="B345" t="str">
        <f t="shared" si="4"/>
        <v>Thompson</v>
      </c>
      <c r="C345" t="s">
        <v>488</v>
      </c>
      <c r="D345" s="58" t="s">
        <v>574</v>
      </c>
      <c r="E345" s="58" t="s">
        <v>485</v>
      </c>
      <c r="F345" t="s">
        <v>541</v>
      </c>
      <c r="G345" t="s">
        <v>586</v>
      </c>
      <c r="H345" s="105"/>
      <c r="I345" s="105"/>
      <c r="J345" s="105"/>
      <c r="K345" s="105"/>
    </row>
    <row r="346" spans="1:11">
      <c r="A346" t="s">
        <v>464</v>
      </c>
      <c r="B346" t="str">
        <f t="shared" si="4"/>
        <v>Interlake</v>
      </c>
      <c r="C346" t="s">
        <v>497</v>
      </c>
      <c r="D346" s="58" t="s">
        <v>497</v>
      </c>
      <c r="E346" s="58" t="s">
        <v>578</v>
      </c>
      <c r="F346" t="s">
        <v>545</v>
      </c>
      <c r="G346" t="s">
        <v>487</v>
      </c>
      <c r="H346" s="105"/>
      <c r="I346" s="105"/>
      <c r="J346" s="105"/>
      <c r="K346" s="105"/>
    </row>
    <row r="347" spans="1:11">
      <c r="A347" t="s">
        <v>465</v>
      </c>
      <c r="B347" t="str">
        <f t="shared" si="4"/>
        <v>The Pas</v>
      </c>
      <c r="C347" t="s">
        <v>493</v>
      </c>
      <c r="D347" s="58" t="s">
        <v>574</v>
      </c>
      <c r="E347" s="58" t="s">
        <v>569</v>
      </c>
      <c r="F347" t="s">
        <v>541</v>
      </c>
      <c r="G347" t="s">
        <v>487</v>
      </c>
      <c r="H347" s="105"/>
      <c r="I347" s="105"/>
      <c r="J347" s="105"/>
      <c r="K347" s="105"/>
    </row>
    <row r="348" spans="1:11">
      <c r="A348" t="s">
        <v>274</v>
      </c>
      <c r="B348" t="str">
        <f t="shared" si="4"/>
        <v>Thompson</v>
      </c>
      <c r="C348" t="s">
        <v>488</v>
      </c>
      <c r="D348" s="58" t="s">
        <v>574</v>
      </c>
      <c r="E348" s="58" t="s">
        <v>485</v>
      </c>
      <c r="F348" t="s">
        <v>541</v>
      </c>
      <c r="G348" t="s">
        <v>487</v>
      </c>
      <c r="H348" s="105"/>
      <c r="I348" s="105"/>
      <c r="J348" s="105"/>
      <c r="K348" s="105"/>
    </row>
    <row r="349" spans="1:11">
      <c r="A349" t="s">
        <v>466</v>
      </c>
      <c r="B349" t="str">
        <f t="shared" si="4"/>
        <v>Thompson</v>
      </c>
      <c r="C349" t="s">
        <v>488</v>
      </c>
      <c r="D349" s="58" t="s">
        <v>574</v>
      </c>
      <c r="E349" s="58" t="s">
        <v>485</v>
      </c>
      <c r="F349" t="s">
        <v>541</v>
      </c>
      <c r="G349" t="s">
        <v>487</v>
      </c>
      <c r="H349" s="105"/>
      <c r="I349" s="105"/>
      <c r="J349" s="105"/>
      <c r="K349" s="105"/>
    </row>
    <row r="350" spans="1:11">
      <c r="A350" t="s">
        <v>275</v>
      </c>
      <c r="B350" t="str">
        <f t="shared" si="4"/>
        <v>Parkland</v>
      </c>
      <c r="C350" t="s">
        <v>548</v>
      </c>
      <c r="D350" s="58" t="s">
        <v>548</v>
      </c>
      <c r="E350" s="58" t="s">
        <v>548</v>
      </c>
      <c r="F350" t="s">
        <v>542</v>
      </c>
      <c r="G350" t="s">
        <v>588</v>
      </c>
      <c r="H350" s="105"/>
      <c r="I350" s="105"/>
      <c r="J350" s="105"/>
      <c r="K350" s="105"/>
    </row>
    <row r="351" spans="1:11">
      <c r="A351" t="s">
        <v>467</v>
      </c>
      <c r="B351" t="s">
        <v>572</v>
      </c>
      <c r="C351" t="s">
        <v>558</v>
      </c>
      <c r="D351" s="58" t="s">
        <v>572</v>
      </c>
      <c r="E351" s="58" t="s">
        <v>565</v>
      </c>
      <c r="F351" t="s">
        <v>545</v>
      </c>
      <c r="G351" t="s">
        <v>487</v>
      </c>
      <c r="H351" s="105"/>
      <c r="I351" s="105"/>
      <c r="J351" s="105"/>
      <c r="K351" s="105"/>
    </row>
    <row r="352" spans="1:11">
      <c r="A352" t="s">
        <v>468</v>
      </c>
      <c r="B352" t="s">
        <v>572</v>
      </c>
      <c r="C352" t="s">
        <v>558</v>
      </c>
      <c r="D352" s="58" t="s">
        <v>563</v>
      </c>
      <c r="E352" s="58" t="s">
        <v>577</v>
      </c>
      <c r="F352" t="s">
        <v>545</v>
      </c>
      <c r="G352" t="s">
        <v>487</v>
      </c>
      <c r="H352" s="105"/>
      <c r="I352" s="105"/>
      <c r="J352" s="105"/>
      <c r="K352" s="105"/>
    </row>
    <row r="353" spans="1:13">
      <c r="A353" t="s">
        <v>469</v>
      </c>
      <c r="B353" t="s">
        <v>570</v>
      </c>
      <c r="C353" t="s">
        <v>559</v>
      </c>
      <c r="D353" s="58" t="s">
        <v>573</v>
      </c>
      <c r="E353" s="58" t="s">
        <v>581</v>
      </c>
      <c r="F353" t="s">
        <v>545</v>
      </c>
      <c r="G353" t="s">
        <v>487</v>
      </c>
      <c r="H353" s="105"/>
      <c r="I353" s="105"/>
      <c r="J353" s="105"/>
      <c r="K353" s="105"/>
    </row>
    <row r="354" spans="1:13">
      <c r="A354" t="s">
        <v>790</v>
      </c>
      <c r="B354" t="s">
        <v>570</v>
      </c>
      <c r="C354" t="s">
        <v>557</v>
      </c>
      <c r="D354" s="58" t="s">
        <v>573</v>
      </c>
      <c r="E354" s="58" t="s">
        <v>571</v>
      </c>
      <c r="F354" t="s">
        <v>545</v>
      </c>
      <c r="G354" t="s">
        <v>487</v>
      </c>
      <c r="H354" s="105"/>
      <c r="I354" s="105"/>
      <c r="J354" s="105"/>
      <c r="K354" s="105"/>
    </row>
    <row r="355" spans="1:13">
      <c r="A355" t="s">
        <v>471</v>
      </c>
      <c r="B355" t="s">
        <v>570</v>
      </c>
      <c r="C355" t="s">
        <v>559</v>
      </c>
      <c r="D355" s="58" t="s">
        <v>573</v>
      </c>
      <c r="E355" s="58" t="s">
        <v>581</v>
      </c>
      <c r="F355" t="s">
        <v>545</v>
      </c>
      <c r="G355" t="s">
        <v>487</v>
      </c>
      <c r="H355" s="105"/>
      <c r="I355" s="105"/>
      <c r="J355" s="105"/>
      <c r="K355" s="105"/>
    </row>
    <row r="356" spans="1:13">
      <c r="A356" t="s">
        <v>604</v>
      </c>
      <c r="B356" t="s">
        <v>570</v>
      </c>
      <c r="C356" t="s">
        <v>557</v>
      </c>
      <c r="D356" s="58" t="s">
        <v>573</v>
      </c>
      <c r="E356" s="58" t="s">
        <v>571</v>
      </c>
      <c r="F356" s="58" t="s">
        <v>545</v>
      </c>
      <c r="G356" s="58" t="s">
        <v>487</v>
      </c>
      <c r="H356" s="105"/>
      <c r="I356" s="105"/>
      <c r="J356" s="105"/>
      <c r="K356" s="105"/>
    </row>
    <row r="357" spans="1:13">
      <c r="A357" t="s">
        <v>472</v>
      </c>
      <c r="B357" t="s">
        <v>572</v>
      </c>
      <c r="C357" t="s">
        <v>558</v>
      </c>
      <c r="D357" s="58" t="s">
        <v>572</v>
      </c>
      <c r="E357" s="58" t="s">
        <v>565</v>
      </c>
      <c r="F357" t="s">
        <v>542</v>
      </c>
      <c r="G357" t="s">
        <v>487</v>
      </c>
      <c r="H357" s="105"/>
      <c r="I357" s="105"/>
      <c r="J357" s="105"/>
      <c r="K357" s="105"/>
    </row>
    <row r="358" spans="1:13">
      <c r="A358" t="s">
        <v>473</v>
      </c>
      <c r="B358" t="str">
        <f>VLOOKUP(C358,$L$368:$M$372,2,0)</f>
        <v>Thompson</v>
      </c>
      <c r="C358" t="s">
        <v>488</v>
      </c>
      <c r="D358" s="58" t="s">
        <v>574</v>
      </c>
      <c r="E358" s="58" t="s">
        <v>485</v>
      </c>
      <c r="F358" t="s">
        <v>541</v>
      </c>
      <c r="G358" t="s">
        <v>487</v>
      </c>
      <c r="H358" s="105"/>
      <c r="I358" s="105"/>
      <c r="J358" s="105"/>
      <c r="K358" s="105"/>
    </row>
    <row r="359" spans="1:13">
      <c r="A359" t="s">
        <v>474</v>
      </c>
      <c r="B359" t="str">
        <f>VLOOKUP(C359,$L$368:$M$372,2,0)</f>
        <v>The Pas</v>
      </c>
      <c r="C359" t="s">
        <v>493</v>
      </c>
      <c r="D359" s="58" t="s">
        <v>574</v>
      </c>
      <c r="E359" s="58" t="s">
        <v>569</v>
      </c>
      <c r="F359" t="s">
        <v>541</v>
      </c>
      <c r="G359" t="s">
        <v>487</v>
      </c>
      <c r="H359" s="105"/>
      <c r="I359" s="105"/>
      <c r="J359" s="105"/>
      <c r="K359" s="105"/>
    </row>
    <row r="360" spans="1:13">
      <c r="A360" t="s">
        <v>276</v>
      </c>
      <c r="B360" t="str">
        <f>VLOOKUP(C360,$L$368:$M$372,2,0)</f>
        <v>Thompson</v>
      </c>
      <c r="C360" t="s">
        <v>488</v>
      </c>
      <c r="D360" s="58" t="s">
        <v>574</v>
      </c>
      <c r="E360" s="58" t="s">
        <v>485</v>
      </c>
      <c r="F360" t="s">
        <v>541</v>
      </c>
      <c r="G360" t="s">
        <v>586</v>
      </c>
      <c r="H360" s="105"/>
      <c r="I360" s="105"/>
      <c r="J360" s="105"/>
      <c r="K360" s="105"/>
    </row>
    <row r="361" spans="1:13">
      <c r="A361" t="s">
        <v>475</v>
      </c>
      <c r="B361" t="str">
        <f>VLOOKUP(C361,$L$368:$M$372,2,0)</f>
        <v>Interlake</v>
      </c>
      <c r="C361" t="s">
        <v>497</v>
      </c>
      <c r="D361" s="58" t="s">
        <v>497</v>
      </c>
      <c r="E361" s="58" t="s">
        <v>579</v>
      </c>
      <c r="F361" t="s">
        <v>545</v>
      </c>
      <c r="G361" t="s">
        <v>487</v>
      </c>
      <c r="H361" s="105"/>
      <c r="I361" s="105"/>
      <c r="J361" s="105"/>
      <c r="K361" s="105"/>
    </row>
    <row r="362" spans="1:13">
      <c r="A362" t="s">
        <v>277</v>
      </c>
      <c r="B362" t="str">
        <f>VLOOKUP(C362,$L$368:$M$372,2,0)</f>
        <v>Thompson</v>
      </c>
      <c r="C362" t="s">
        <v>488</v>
      </c>
      <c r="D362" s="58" t="s">
        <v>574</v>
      </c>
      <c r="E362" s="58" t="s">
        <v>566</v>
      </c>
      <c r="F362" t="s">
        <v>541</v>
      </c>
      <c r="G362" t="s">
        <v>585</v>
      </c>
      <c r="H362" s="105"/>
      <c r="I362" s="105"/>
      <c r="J362" s="105"/>
      <c r="K362" s="105"/>
    </row>
    <row r="363" spans="1:13">
      <c r="A363" t="s">
        <v>476</v>
      </c>
      <c r="B363" t="s">
        <v>572</v>
      </c>
      <c r="C363" t="s">
        <v>558</v>
      </c>
      <c r="D363" s="58" t="s">
        <v>572</v>
      </c>
      <c r="E363" s="58" t="s">
        <v>565</v>
      </c>
      <c r="F363" t="s">
        <v>542</v>
      </c>
      <c r="G363" t="s">
        <v>487</v>
      </c>
      <c r="H363" s="105"/>
      <c r="I363" s="105"/>
      <c r="J363" s="105"/>
      <c r="K363" s="105"/>
    </row>
    <row r="364" spans="1:13">
      <c r="A364" t="s">
        <v>278</v>
      </c>
      <c r="B364" t="str">
        <f>VLOOKUP(C364,$L$368:$M$372,2,0)</f>
        <v>Parkland</v>
      </c>
      <c r="C364" t="s">
        <v>548</v>
      </c>
      <c r="D364" s="58" t="s">
        <v>548</v>
      </c>
      <c r="E364" s="58" t="s">
        <v>548</v>
      </c>
      <c r="F364" t="s">
        <v>542</v>
      </c>
      <c r="G364" t="s">
        <v>487</v>
      </c>
      <c r="H364" s="105"/>
      <c r="I364" s="105"/>
      <c r="J364" s="105"/>
      <c r="K364" s="105"/>
    </row>
    <row r="365" spans="1:13">
      <c r="A365" t="s">
        <v>477</v>
      </c>
      <c r="B365" t="s">
        <v>572</v>
      </c>
      <c r="C365" t="s">
        <v>558</v>
      </c>
      <c r="D365" s="58" t="s">
        <v>572</v>
      </c>
      <c r="E365" s="58" t="s">
        <v>565</v>
      </c>
      <c r="F365" t="s">
        <v>545</v>
      </c>
      <c r="G365" t="s">
        <v>487</v>
      </c>
      <c r="H365" s="105"/>
      <c r="I365" s="105"/>
      <c r="J365" s="105"/>
      <c r="K365" s="105"/>
    </row>
    <row r="366" spans="1:13">
      <c r="A366" t="s">
        <v>279</v>
      </c>
      <c r="B366" t="s">
        <v>572</v>
      </c>
      <c r="C366" t="s">
        <v>558</v>
      </c>
      <c r="D366" s="58" t="s">
        <v>572</v>
      </c>
      <c r="E366" s="58" t="s">
        <v>548</v>
      </c>
      <c r="F366" t="s">
        <v>542</v>
      </c>
      <c r="G366" t="s">
        <v>584</v>
      </c>
      <c r="H366" s="105"/>
      <c r="I366" s="105"/>
      <c r="J366" s="105"/>
      <c r="K366" s="105"/>
    </row>
    <row r="367" spans="1:13">
      <c r="A367" t="s">
        <v>478</v>
      </c>
      <c r="B367" t="str">
        <f>VLOOKUP(C367,$L$368:$M$372,2,0)</f>
        <v>Interlake</v>
      </c>
      <c r="C367" t="s">
        <v>497</v>
      </c>
      <c r="D367" s="58" t="s">
        <v>497</v>
      </c>
      <c r="E367" s="58" t="s">
        <v>578</v>
      </c>
      <c r="F367" t="s">
        <v>545</v>
      </c>
      <c r="G367" t="s">
        <v>487</v>
      </c>
      <c r="H367" s="105"/>
      <c r="I367" s="105"/>
      <c r="J367" s="105"/>
      <c r="K367" s="105"/>
    </row>
    <row r="368" spans="1:13">
      <c r="A368" t="s">
        <v>646</v>
      </c>
      <c r="B368" t="s">
        <v>572</v>
      </c>
      <c r="C368" t="s">
        <v>552</v>
      </c>
      <c r="D368" s="58" t="s">
        <v>563</v>
      </c>
      <c r="E368" s="58" t="s">
        <v>577</v>
      </c>
      <c r="F368" s="58" t="s">
        <v>545</v>
      </c>
      <c r="G368" s="58" t="s">
        <v>487</v>
      </c>
      <c r="H368" s="105"/>
      <c r="I368" s="105"/>
      <c r="J368" s="105"/>
      <c r="K368" s="105"/>
      <c r="L368" t="s">
        <v>497</v>
      </c>
      <c r="M368" t="s">
        <v>497</v>
      </c>
    </row>
    <row r="369" spans="1:13">
      <c r="A369" t="s">
        <v>479</v>
      </c>
      <c r="B369" t="s">
        <v>570</v>
      </c>
      <c r="C369" t="s">
        <v>557</v>
      </c>
      <c r="D369" s="58" t="s">
        <v>573</v>
      </c>
      <c r="E369" s="58" t="s">
        <v>571</v>
      </c>
      <c r="F369" t="s">
        <v>545</v>
      </c>
      <c r="G369" t="s">
        <v>487</v>
      </c>
      <c r="H369" s="105"/>
      <c r="I369" s="105"/>
      <c r="J369" s="105"/>
      <c r="K369" s="105"/>
      <c r="L369" t="s">
        <v>548</v>
      </c>
      <c r="M369" t="s">
        <v>548</v>
      </c>
    </row>
    <row r="370" spans="1:13">
      <c r="A370" t="s">
        <v>626</v>
      </c>
      <c r="B370" t="s">
        <v>572</v>
      </c>
      <c r="C370" t="s">
        <v>558</v>
      </c>
      <c r="D370" s="58" t="s">
        <v>572</v>
      </c>
      <c r="E370" s="58" t="s">
        <v>565</v>
      </c>
      <c r="F370" s="58" t="s">
        <v>542</v>
      </c>
      <c r="G370" s="58" t="s">
        <v>487</v>
      </c>
      <c r="H370" s="105"/>
      <c r="I370" s="105"/>
      <c r="J370" s="105"/>
      <c r="K370" s="105"/>
      <c r="L370" t="s">
        <v>488</v>
      </c>
      <c r="M370" t="s">
        <v>466</v>
      </c>
    </row>
    <row r="371" spans="1:13">
      <c r="A371" t="s">
        <v>480</v>
      </c>
      <c r="B371" t="s">
        <v>572</v>
      </c>
      <c r="C371" t="s">
        <v>552</v>
      </c>
      <c r="D371" s="58" t="s">
        <v>575</v>
      </c>
      <c r="E371" s="58" t="s">
        <v>577</v>
      </c>
      <c r="F371" t="s">
        <v>545</v>
      </c>
      <c r="G371" t="s">
        <v>487</v>
      </c>
      <c r="H371" s="105"/>
      <c r="I371" s="105"/>
      <c r="J371" s="105"/>
      <c r="K371" s="105"/>
      <c r="L371" t="s">
        <v>493</v>
      </c>
      <c r="M371" t="s">
        <v>465</v>
      </c>
    </row>
    <row r="372" spans="1:13">
      <c r="A372" t="s">
        <v>481</v>
      </c>
      <c r="B372" t="s">
        <v>481</v>
      </c>
      <c r="C372" t="s">
        <v>481</v>
      </c>
      <c r="D372" s="58" t="s">
        <v>487</v>
      </c>
      <c r="E372" s="58" t="s">
        <v>487</v>
      </c>
      <c r="F372" t="s">
        <v>545</v>
      </c>
      <c r="G372" t="s">
        <v>487</v>
      </c>
      <c r="H372" s="105"/>
      <c r="I372" s="105"/>
      <c r="J372" s="105"/>
      <c r="K372" s="105"/>
      <c r="L372" t="s">
        <v>312</v>
      </c>
      <c r="M372" t="s">
        <v>466</v>
      </c>
    </row>
    <row r="373" spans="1:13">
      <c r="A373" t="s">
        <v>482</v>
      </c>
      <c r="B373" t="str">
        <f t="shared" ref="B373:B378" si="5">VLOOKUP(C373,$L$368:$M$372,2,0)</f>
        <v>Interlake</v>
      </c>
      <c r="C373" t="s">
        <v>497</v>
      </c>
      <c r="D373" s="58" t="s">
        <v>497</v>
      </c>
      <c r="E373" s="58" t="s">
        <v>580</v>
      </c>
      <c r="F373" t="s">
        <v>545</v>
      </c>
      <c r="G373" t="s">
        <v>487</v>
      </c>
      <c r="H373" s="105"/>
      <c r="I373" s="105"/>
      <c r="J373" s="105"/>
      <c r="K373" s="105"/>
    </row>
    <row r="374" spans="1:13">
      <c r="A374" t="s">
        <v>685</v>
      </c>
      <c r="B374" t="str">
        <f t="shared" si="5"/>
        <v>Parkland</v>
      </c>
      <c r="C374" t="s">
        <v>548</v>
      </c>
      <c r="D374" s="58" t="s">
        <v>548</v>
      </c>
      <c r="E374" s="58" t="s">
        <v>548</v>
      </c>
      <c r="F374" t="s">
        <v>542</v>
      </c>
      <c r="G374" t="s">
        <v>487</v>
      </c>
      <c r="H374" s="105"/>
      <c r="I374" s="105"/>
      <c r="J374" s="105"/>
      <c r="K374" s="105"/>
    </row>
    <row r="375" spans="1:13">
      <c r="A375" t="s">
        <v>661</v>
      </c>
      <c r="B375" t="str">
        <f t="shared" si="5"/>
        <v>Interlake</v>
      </c>
      <c r="C375" t="s">
        <v>497</v>
      </c>
      <c r="D375" s="58" t="s">
        <v>497</v>
      </c>
      <c r="E375" s="58" t="s">
        <v>579</v>
      </c>
      <c r="F375" s="58" t="s">
        <v>545</v>
      </c>
      <c r="G375" s="58" t="s">
        <v>487</v>
      </c>
      <c r="H375" s="105"/>
      <c r="I375" s="105"/>
      <c r="J375" s="105"/>
      <c r="K375" s="105"/>
    </row>
    <row r="376" spans="1:13">
      <c r="A376" t="s">
        <v>835</v>
      </c>
      <c r="B376" t="str">
        <f t="shared" si="5"/>
        <v>Parkland</v>
      </c>
      <c r="C376" t="s">
        <v>548</v>
      </c>
      <c r="D376" s="58" t="s">
        <v>548</v>
      </c>
      <c r="E376" s="58" t="s">
        <v>569</v>
      </c>
      <c r="F376" t="s">
        <v>547</v>
      </c>
      <c r="G376" t="s">
        <v>583</v>
      </c>
      <c r="H376" s="105"/>
      <c r="I376" s="105"/>
      <c r="J376" s="105"/>
      <c r="K376" s="105"/>
    </row>
    <row r="377" spans="1:13">
      <c r="A377" t="s">
        <v>591</v>
      </c>
      <c r="B377" t="str">
        <f t="shared" si="5"/>
        <v>Thompson</v>
      </c>
      <c r="C377" t="s">
        <v>488</v>
      </c>
      <c r="D377" s="58" t="s">
        <v>574</v>
      </c>
      <c r="E377" s="58" t="s">
        <v>566</v>
      </c>
      <c r="F377" t="s">
        <v>541</v>
      </c>
      <c r="G377" t="s">
        <v>586</v>
      </c>
      <c r="H377" s="105"/>
      <c r="I377" s="105"/>
      <c r="J377" s="105"/>
      <c r="K377" s="105"/>
    </row>
    <row r="378" spans="1:13">
      <c r="A378" t="s">
        <v>768</v>
      </c>
      <c r="B378" t="str">
        <f t="shared" si="5"/>
        <v>Thompson</v>
      </c>
      <c r="C378" t="s">
        <v>488</v>
      </c>
      <c r="D378" s="58" t="s">
        <v>574</v>
      </c>
      <c r="E378" s="58" t="s">
        <v>485</v>
      </c>
      <c r="F378" t="s">
        <v>541</v>
      </c>
      <c r="G378" t="s">
        <v>487</v>
      </c>
      <c r="H378" s="105"/>
      <c r="I378" s="105"/>
      <c r="J378" s="105"/>
      <c r="K378" s="105"/>
    </row>
    <row r="379" spans="1:13">
      <c r="A379" t="s">
        <v>484</v>
      </c>
      <c r="B379" t="s">
        <v>570</v>
      </c>
      <c r="C379" t="s">
        <v>559</v>
      </c>
      <c r="D379" s="58" t="s">
        <v>573</v>
      </c>
      <c r="E379" s="58" t="s">
        <v>581</v>
      </c>
      <c r="F379" t="s">
        <v>545</v>
      </c>
      <c r="G379" t="s">
        <v>487</v>
      </c>
      <c r="H379" s="105"/>
      <c r="I379" s="105"/>
      <c r="J379" s="105"/>
      <c r="K379" s="105"/>
    </row>
    <row r="380" spans="1:13">
      <c r="A380" t="s">
        <v>593</v>
      </c>
      <c r="H380" s="105"/>
      <c r="I380" s="105"/>
      <c r="J380" s="105"/>
      <c r="K380" s="105"/>
    </row>
    <row r="381" spans="1:13">
      <c r="H381" s="105"/>
      <c r="I381" s="105"/>
      <c r="J381" s="105"/>
      <c r="K381" s="105"/>
    </row>
    <row r="382" spans="1:13">
      <c r="H382" s="105"/>
      <c r="I382" s="105"/>
      <c r="J382" s="105"/>
      <c r="K382" s="105"/>
    </row>
    <row r="383" spans="1:13">
      <c r="H383" s="105"/>
      <c r="I383" s="105"/>
      <c r="J383" s="105"/>
      <c r="K383" s="105"/>
    </row>
    <row r="384" spans="1:13">
      <c r="H384" s="105"/>
      <c r="I384" s="105"/>
      <c r="J384" s="105"/>
      <c r="K384" s="105"/>
    </row>
    <row r="385" spans="8:11">
      <c r="H385" s="105"/>
      <c r="I385" s="105"/>
      <c r="J385" s="105"/>
      <c r="K385" s="105"/>
    </row>
    <row r="386" spans="8:11">
      <c r="H386" s="105"/>
      <c r="I386" s="105"/>
      <c r="J386" s="105"/>
      <c r="K386" s="105"/>
    </row>
    <row r="387" spans="8:11">
      <c r="H387" s="105"/>
      <c r="I387" s="105"/>
      <c r="J387" s="105"/>
      <c r="K387" s="105"/>
    </row>
    <row r="388" spans="8:11">
      <c r="H388" s="105"/>
      <c r="I388" s="105"/>
      <c r="J388" s="105"/>
      <c r="K388" s="105"/>
    </row>
    <row r="389" spans="8:11">
      <c r="H389" s="105"/>
      <c r="I389" s="105"/>
      <c r="J389" s="105"/>
      <c r="K389" s="105"/>
    </row>
    <row r="390" spans="8:11">
      <c r="H390" s="105"/>
      <c r="I390" s="105"/>
      <c r="J390" s="105"/>
      <c r="K390" s="105"/>
    </row>
  </sheetData>
  <customSheetViews>
    <customSheetView guid="{A056A992-68E5-4662-960B-7D9A27ACB891}">
      <selection activeCell="G10" sqref="G10"/>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6"/>
  <dimension ref="A1:J358"/>
  <sheetViews>
    <sheetView topLeftCell="A310" workbookViewId="0">
      <selection activeCell="A323" sqref="A323"/>
    </sheetView>
  </sheetViews>
  <sheetFormatPr defaultRowHeight="15"/>
  <cols>
    <col min="1" max="1" width="40.5703125" style="5" customWidth="1"/>
    <col min="2" max="8" width="14" style="5" customWidth="1"/>
    <col min="9" max="16384" width="9.140625" style="5"/>
  </cols>
  <sheetData>
    <row r="1" spans="1:8" ht="45">
      <c r="A1" s="77" t="s">
        <v>594</v>
      </c>
      <c r="B1" s="77" t="s">
        <v>595</v>
      </c>
      <c r="C1" s="77" t="s">
        <v>596</v>
      </c>
      <c r="D1" s="77" t="s">
        <v>597</v>
      </c>
      <c r="E1" s="77" t="s">
        <v>598</v>
      </c>
      <c r="F1" s="77" t="s">
        <v>599</v>
      </c>
      <c r="G1" s="77" t="s">
        <v>600</v>
      </c>
      <c r="H1" s="77" t="s">
        <v>601</v>
      </c>
    </row>
    <row r="2" spans="1:8">
      <c r="A2" s="78" t="s">
        <v>192</v>
      </c>
      <c r="B2" s="94" t="s">
        <v>787</v>
      </c>
      <c r="C2" s="94" t="s">
        <v>787</v>
      </c>
      <c r="D2" s="94" t="s">
        <v>787</v>
      </c>
      <c r="E2" s="94" t="s">
        <v>787</v>
      </c>
      <c r="F2" s="94" t="s">
        <v>787</v>
      </c>
      <c r="G2" s="94" t="s">
        <v>787</v>
      </c>
      <c r="H2" s="94" t="s">
        <v>787</v>
      </c>
    </row>
    <row r="3" spans="1:8" ht="15" customHeight="1">
      <c r="A3" s="78" t="s">
        <v>280</v>
      </c>
      <c r="B3" s="78">
        <v>75</v>
      </c>
      <c r="C3" s="78">
        <v>46</v>
      </c>
      <c r="D3" s="78">
        <v>95</v>
      </c>
      <c r="E3" s="78">
        <v>99</v>
      </c>
      <c r="F3" s="78">
        <v>79</v>
      </c>
      <c r="G3" s="78">
        <v>340</v>
      </c>
      <c r="H3" s="78" t="s">
        <v>602</v>
      </c>
    </row>
    <row r="4" spans="1:8" ht="15" customHeight="1">
      <c r="A4" s="78" t="s">
        <v>281</v>
      </c>
      <c r="B4" s="78">
        <v>85</v>
      </c>
      <c r="C4" s="78">
        <v>48</v>
      </c>
      <c r="D4" s="78">
        <v>96</v>
      </c>
      <c r="E4" s="78">
        <v>79</v>
      </c>
      <c r="F4" s="78">
        <v>77</v>
      </c>
      <c r="G4" s="78">
        <v>2955</v>
      </c>
      <c r="H4" s="78" t="s">
        <v>602</v>
      </c>
    </row>
    <row r="5" spans="1:8" ht="15" customHeight="1">
      <c r="A5" s="78" t="s">
        <v>282</v>
      </c>
      <c r="B5" s="78">
        <v>59</v>
      </c>
      <c r="C5" s="78">
        <v>33</v>
      </c>
      <c r="D5" s="78">
        <v>87</v>
      </c>
      <c r="E5" s="78">
        <v>77</v>
      </c>
      <c r="F5" s="78">
        <v>64</v>
      </c>
      <c r="G5" s="78">
        <v>1440</v>
      </c>
      <c r="H5" s="78" t="s">
        <v>602</v>
      </c>
    </row>
    <row r="6" spans="1:8" ht="15" customHeight="1">
      <c r="A6" s="78" t="s">
        <v>283</v>
      </c>
      <c r="B6" s="78">
        <v>81</v>
      </c>
      <c r="C6" s="78">
        <v>41</v>
      </c>
      <c r="D6" s="78">
        <v>96</v>
      </c>
      <c r="E6" s="78">
        <v>90</v>
      </c>
      <c r="F6" s="78">
        <v>77</v>
      </c>
      <c r="G6" s="78">
        <v>3620</v>
      </c>
      <c r="H6" s="78" t="s">
        <v>602</v>
      </c>
    </row>
    <row r="7" spans="1:8" ht="15" customHeight="1">
      <c r="A7" s="78" t="s">
        <v>284</v>
      </c>
      <c r="B7" s="94" t="s">
        <v>787</v>
      </c>
      <c r="C7" s="94" t="s">
        <v>787</v>
      </c>
      <c r="D7" s="94" t="s">
        <v>787</v>
      </c>
      <c r="E7" s="94" t="s">
        <v>787</v>
      </c>
      <c r="F7" s="94" t="s">
        <v>787</v>
      </c>
      <c r="G7" s="94" t="s">
        <v>787</v>
      </c>
      <c r="H7" s="94" t="s">
        <v>787</v>
      </c>
    </row>
    <row r="8" spans="1:8" ht="15" customHeight="1">
      <c r="A8" s="78" t="s">
        <v>285</v>
      </c>
      <c r="B8" s="94" t="s">
        <v>787</v>
      </c>
      <c r="C8" s="94" t="s">
        <v>787</v>
      </c>
      <c r="D8" s="94" t="s">
        <v>787</v>
      </c>
      <c r="E8" s="94" t="s">
        <v>787</v>
      </c>
      <c r="F8" s="94" t="s">
        <v>787</v>
      </c>
      <c r="G8" s="94" t="s">
        <v>787</v>
      </c>
      <c r="H8" s="94" t="s">
        <v>787</v>
      </c>
    </row>
    <row r="9" spans="1:8" ht="15" customHeight="1">
      <c r="A9" s="78" t="s">
        <v>286</v>
      </c>
      <c r="B9" s="78">
        <v>81</v>
      </c>
      <c r="C9" s="78">
        <v>49</v>
      </c>
      <c r="D9" s="78">
        <v>93</v>
      </c>
      <c r="E9" s="78">
        <v>90</v>
      </c>
      <c r="F9" s="78">
        <v>78</v>
      </c>
      <c r="G9" s="78">
        <v>970</v>
      </c>
      <c r="H9" s="78" t="s">
        <v>602</v>
      </c>
    </row>
    <row r="10" spans="1:8" ht="15" customHeight="1">
      <c r="A10" s="78" t="s">
        <v>668</v>
      </c>
      <c r="B10" s="78">
        <v>67</v>
      </c>
      <c r="C10" s="78">
        <v>53</v>
      </c>
      <c r="D10" s="78">
        <v>87</v>
      </c>
      <c r="E10" s="78">
        <v>96</v>
      </c>
      <c r="F10" s="78">
        <v>76</v>
      </c>
      <c r="G10" s="78">
        <v>370</v>
      </c>
      <c r="H10" s="78" t="s">
        <v>602</v>
      </c>
    </row>
    <row r="11" spans="1:8" ht="15" customHeight="1">
      <c r="A11" s="78" t="s">
        <v>287</v>
      </c>
      <c r="B11" s="78">
        <v>68</v>
      </c>
      <c r="C11" s="78">
        <v>38</v>
      </c>
      <c r="D11" s="78">
        <v>93</v>
      </c>
      <c r="E11" s="78">
        <v>94</v>
      </c>
      <c r="F11" s="78">
        <v>74</v>
      </c>
      <c r="G11" s="78">
        <v>1045</v>
      </c>
      <c r="H11" s="78" t="s">
        <v>602</v>
      </c>
    </row>
    <row r="12" spans="1:8" ht="15" customHeight="1">
      <c r="A12" s="78" t="s">
        <v>687</v>
      </c>
      <c r="B12" s="78">
        <v>70</v>
      </c>
      <c r="C12" s="78">
        <v>45</v>
      </c>
      <c r="D12" s="78">
        <v>91</v>
      </c>
      <c r="E12" s="78">
        <v>88</v>
      </c>
      <c r="F12" s="78">
        <v>73</v>
      </c>
      <c r="G12" s="78">
        <v>1920</v>
      </c>
      <c r="H12" s="78" t="s">
        <v>602</v>
      </c>
    </row>
    <row r="13" spans="1:8" ht="15" customHeight="1">
      <c r="A13" s="78" t="s">
        <v>623</v>
      </c>
      <c r="B13" s="78">
        <v>80</v>
      </c>
      <c r="C13" s="78">
        <v>53</v>
      </c>
      <c r="D13" s="78">
        <v>75</v>
      </c>
      <c r="E13" s="78">
        <v>97</v>
      </c>
      <c r="F13" s="78">
        <v>76</v>
      </c>
      <c r="G13" s="78">
        <v>440</v>
      </c>
      <c r="H13" s="78" t="s">
        <v>602</v>
      </c>
    </row>
    <row r="14" spans="1:8" ht="15" customHeight="1">
      <c r="A14" s="78" t="s">
        <v>288</v>
      </c>
      <c r="B14" s="94" t="s">
        <v>787</v>
      </c>
      <c r="C14" s="94" t="s">
        <v>787</v>
      </c>
      <c r="D14" s="94" t="s">
        <v>787</v>
      </c>
      <c r="E14" s="94" t="s">
        <v>787</v>
      </c>
      <c r="F14" s="94" t="s">
        <v>787</v>
      </c>
      <c r="G14" s="94" t="s">
        <v>787</v>
      </c>
      <c r="H14" s="94" t="s">
        <v>787</v>
      </c>
    </row>
    <row r="15" spans="1:8" ht="15" customHeight="1">
      <c r="A15" s="78" t="s">
        <v>289</v>
      </c>
      <c r="B15" s="94" t="s">
        <v>787</v>
      </c>
      <c r="C15" s="94" t="s">
        <v>787</v>
      </c>
      <c r="D15" s="94" t="s">
        <v>787</v>
      </c>
      <c r="E15" s="94" t="s">
        <v>787</v>
      </c>
      <c r="F15" s="94" t="s">
        <v>787</v>
      </c>
      <c r="G15" s="94" t="s">
        <v>787</v>
      </c>
      <c r="H15" s="94" t="s">
        <v>787</v>
      </c>
    </row>
    <row r="16" spans="1:8" ht="15" customHeight="1">
      <c r="A16" s="96" t="s">
        <v>788</v>
      </c>
      <c r="B16" s="94" t="s">
        <v>787</v>
      </c>
      <c r="C16" s="94" t="s">
        <v>787</v>
      </c>
      <c r="D16" s="94" t="s">
        <v>787</v>
      </c>
      <c r="E16" s="94" t="s">
        <v>787</v>
      </c>
      <c r="F16" s="94" t="s">
        <v>787</v>
      </c>
      <c r="G16" s="94" t="s">
        <v>787</v>
      </c>
      <c r="H16" s="94" t="s">
        <v>787</v>
      </c>
    </row>
    <row r="17" spans="1:8" ht="15" customHeight="1">
      <c r="A17" s="98" t="s">
        <v>193</v>
      </c>
      <c r="B17" s="94" t="s">
        <v>787</v>
      </c>
      <c r="C17" s="94" t="s">
        <v>787</v>
      </c>
      <c r="D17" s="94" t="s">
        <v>787</v>
      </c>
      <c r="E17" s="94" t="s">
        <v>787</v>
      </c>
      <c r="F17" s="94" t="s">
        <v>787</v>
      </c>
      <c r="G17" s="94" t="s">
        <v>787</v>
      </c>
      <c r="H17" s="94" t="s">
        <v>787</v>
      </c>
    </row>
    <row r="18" spans="1:8" ht="15" customHeight="1">
      <c r="A18" s="98" t="s">
        <v>291</v>
      </c>
      <c r="B18" s="94" t="s">
        <v>787</v>
      </c>
      <c r="C18" s="94" t="s">
        <v>787</v>
      </c>
      <c r="D18" s="94" t="s">
        <v>787</v>
      </c>
      <c r="E18" s="94" t="s">
        <v>787</v>
      </c>
      <c r="F18" s="94" t="s">
        <v>787</v>
      </c>
      <c r="G18" s="94" t="s">
        <v>787</v>
      </c>
      <c r="H18" s="94" t="s">
        <v>787</v>
      </c>
    </row>
    <row r="19" spans="1:8" ht="15" customHeight="1">
      <c r="A19" s="98" t="s">
        <v>292</v>
      </c>
      <c r="B19" s="94" t="s">
        <v>787</v>
      </c>
      <c r="C19" s="94" t="s">
        <v>787</v>
      </c>
      <c r="D19" s="94" t="s">
        <v>787</v>
      </c>
      <c r="E19" s="94" t="s">
        <v>787</v>
      </c>
      <c r="F19" s="94" t="s">
        <v>787</v>
      </c>
      <c r="G19" s="94" t="s">
        <v>787</v>
      </c>
      <c r="H19" s="94" t="s">
        <v>787</v>
      </c>
    </row>
    <row r="20" spans="1:8" ht="15" customHeight="1">
      <c r="A20" s="98" t="s">
        <v>293</v>
      </c>
      <c r="B20" s="94" t="s">
        <v>787</v>
      </c>
      <c r="C20" s="94" t="s">
        <v>787</v>
      </c>
      <c r="D20" s="94" t="s">
        <v>787</v>
      </c>
      <c r="E20" s="94" t="s">
        <v>787</v>
      </c>
      <c r="F20" s="94" t="s">
        <v>787</v>
      </c>
      <c r="G20" s="94" t="s">
        <v>787</v>
      </c>
      <c r="H20" s="94" t="s">
        <v>787</v>
      </c>
    </row>
    <row r="21" spans="1:8" ht="15" customHeight="1">
      <c r="A21" s="97" t="s">
        <v>194</v>
      </c>
      <c r="B21" s="78">
        <v>43</v>
      </c>
      <c r="C21" s="78">
        <v>12</v>
      </c>
      <c r="D21" s="78">
        <v>56</v>
      </c>
      <c r="E21" s="78">
        <v>59</v>
      </c>
      <c r="F21" s="78">
        <v>43</v>
      </c>
      <c r="G21" s="78">
        <v>310</v>
      </c>
      <c r="H21" s="78" t="s">
        <v>153</v>
      </c>
    </row>
    <row r="22" spans="1:8" ht="15" customHeight="1">
      <c r="A22" s="97" t="s">
        <v>195</v>
      </c>
      <c r="B22" s="94" t="s">
        <v>787</v>
      </c>
      <c r="C22" s="94" t="s">
        <v>787</v>
      </c>
      <c r="D22" s="94" t="s">
        <v>787</v>
      </c>
      <c r="E22" s="94" t="s">
        <v>787</v>
      </c>
      <c r="F22" s="94" t="s">
        <v>787</v>
      </c>
      <c r="G22" s="94" t="s">
        <v>787</v>
      </c>
      <c r="H22" s="94" t="s">
        <v>787</v>
      </c>
    </row>
    <row r="23" spans="1:8" ht="15" customHeight="1">
      <c r="A23" s="78" t="s">
        <v>294</v>
      </c>
      <c r="B23" s="78">
        <v>81</v>
      </c>
      <c r="C23" s="78">
        <v>44</v>
      </c>
      <c r="D23" s="78">
        <v>96</v>
      </c>
      <c r="E23" s="78">
        <v>86</v>
      </c>
      <c r="F23" s="78">
        <v>77</v>
      </c>
      <c r="G23" s="78">
        <v>2725</v>
      </c>
      <c r="H23" s="78" t="s">
        <v>602</v>
      </c>
    </row>
    <row r="24" spans="1:8" ht="15" customHeight="1">
      <c r="A24" s="78" t="s">
        <v>295</v>
      </c>
      <c r="B24" s="78">
        <v>67</v>
      </c>
      <c r="C24" s="78">
        <v>31</v>
      </c>
      <c r="D24" s="78">
        <v>94</v>
      </c>
      <c r="E24" s="78">
        <v>76</v>
      </c>
      <c r="F24" s="78">
        <v>67</v>
      </c>
      <c r="G24" s="78">
        <v>355</v>
      </c>
      <c r="H24" s="78" t="s">
        <v>602</v>
      </c>
    </row>
    <row r="25" spans="1:8" ht="15" customHeight="1">
      <c r="A25" s="78" t="s">
        <v>196</v>
      </c>
      <c r="B25" s="94" t="s">
        <v>787</v>
      </c>
      <c r="C25" s="94" t="s">
        <v>787</v>
      </c>
      <c r="D25" s="94" t="s">
        <v>787</v>
      </c>
      <c r="E25" s="94" t="s">
        <v>787</v>
      </c>
      <c r="F25" s="94" t="s">
        <v>787</v>
      </c>
      <c r="G25" s="94" t="s">
        <v>787</v>
      </c>
      <c r="H25" s="94" t="s">
        <v>787</v>
      </c>
    </row>
    <row r="26" spans="1:8" ht="15" customHeight="1">
      <c r="A26" s="78" t="s">
        <v>197</v>
      </c>
      <c r="B26" s="78">
        <v>38</v>
      </c>
      <c r="C26" s="78">
        <v>17</v>
      </c>
      <c r="D26" s="78">
        <v>48</v>
      </c>
      <c r="E26" s="78">
        <v>61</v>
      </c>
      <c r="F26" s="78">
        <v>41</v>
      </c>
      <c r="G26" s="78">
        <v>775</v>
      </c>
      <c r="H26" s="78" t="s">
        <v>153</v>
      </c>
    </row>
    <row r="27" spans="1:8" ht="15" customHeight="1">
      <c r="A27" s="78" t="s">
        <v>692</v>
      </c>
      <c r="B27" s="78">
        <v>72</v>
      </c>
      <c r="C27" s="78">
        <v>38</v>
      </c>
      <c r="D27" s="78">
        <v>94</v>
      </c>
      <c r="E27" s="78">
        <v>87</v>
      </c>
      <c r="F27" s="78">
        <v>73</v>
      </c>
      <c r="G27" s="78">
        <v>2965</v>
      </c>
      <c r="H27" s="78" t="s">
        <v>602</v>
      </c>
    </row>
    <row r="28" spans="1:8" ht="15" customHeight="1">
      <c r="A28" s="96" t="s">
        <v>296</v>
      </c>
      <c r="B28" s="78">
        <v>85</v>
      </c>
      <c r="C28" s="78">
        <v>55</v>
      </c>
      <c r="D28" s="78">
        <v>83</v>
      </c>
      <c r="E28" s="78">
        <v>91</v>
      </c>
      <c r="F28" s="78">
        <v>79</v>
      </c>
      <c r="G28" s="78">
        <v>395</v>
      </c>
      <c r="H28" s="78" t="s">
        <v>602</v>
      </c>
    </row>
    <row r="29" spans="1:8" ht="15" customHeight="1">
      <c r="A29" s="98" t="s">
        <v>297</v>
      </c>
      <c r="B29" s="94" t="s">
        <v>787</v>
      </c>
      <c r="C29" s="94" t="s">
        <v>787</v>
      </c>
      <c r="D29" s="94" t="s">
        <v>787</v>
      </c>
      <c r="E29" s="94" t="s">
        <v>787</v>
      </c>
      <c r="F29" s="94" t="s">
        <v>787</v>
      </c>
      <c r="G29" s="94" t="s">
        <v>787</v>
      </c>
      <c r="H29" s="94" t="s">
        <v>787</v>
      </c>
    </row>
    <row r="30" spans="1:8" ht="15" customHeight="1">
      <c r="A30" s="98" t="s">
        <v>491</v>
      </c>
      <c r="B30" s="94" t="s">
        <v>787</v>
      </c>
      <c r="C30" s="94" t="s">
        <v>787</v>
      </c>
      <c r="D30" s="94" t="s">
        <v>787</v>
      </c>
      <c r="E30" s="94" t="s">
        <v>787</v>
      </c>
      <c r="F30" s="94" t="s">
        <v>787</v>
      </c>
      <c r="G30" s="94" t="s">
        <v>787</v>
      </c>
      <c r="H30" s="94" t="s">
        <v>787</v>
      </c>
    </row>
    <row r="31" spans="1:8" ht="15" customHeight="1">
      <c r="A31" s="98" t="s">
        <v>298</v>
      </c>
      <c r="B31" s="94" t="s">
        <v>787</v>
      </c>
      <c r="C31" s="94" t="s">
        <v>787</v>
      </c>
      <c r="D31" s="94" t="s">
        <v>787</v>
      </c>
      <c r="E31" s="94" t="s">
        <v>787</v>
      </c>
      <c r="F31" s="94" t="s">
        <v>787</v>
      </c>
      <c r="G31" s="94" t="s">
        <v>787</v>
      </c>
      <c r="H31" s="94" t="s">
        <v>787</v>
      </c>
    </row>
    <row r="32" spans="1:8" ht="15" customHeight="1">
      <c r="A32" s="97" t="s">
        <v>198</v>
      </c>
      <c r="B32" s="78">
        <v>39</v>
      </c>
      <c r="C32" s="78">
        <v>24</v>
      </c>
      <c r="D32" s="78">
        <v>73</v>
      </c>
      <c r="E32" s="78">
        <v>58</v>
      </c>
      <c r="F32" s="78">
        <v>49</v>
      </c>
      <c r="G32" s="78">
        <v>345</v>
      </c>
      <c r="H32" s="78" t="s">
        <v>153</v>
      </c>
    </row>
    <row r="33" spans="1:8" ht="15" customHeight="1">
      <c r="A33" t="s">
        <v>774</v>
      </c>
      <c r="B33" s="78">
        <v>72</v>
      </c>
      <c r="C33" s="78">
        <v>47</v>
      </c>
      <c r="D33" s="78">
        <v>95</v>
      </c>
      <c r="E33" s="78">
        <v>95</v>
      </c>
      <c r="F33" s="78">
        <v>77</v>
      </c>
      <c r="G33" s="78">
        <v>665</v>
      </c>
      <c r="H33" s="78" t="s">
        <v>602</v>
      </c>
    </row>
    <row r="34" spans="1:8" ht="15" customHeight="1">
      <c r="A34" s="78" t="s">
        <v>299</v>
      </c>
      <c r="B34" s="78">
        <v>81</v>
      </c>
      <c r="C34" s="78">
        <v>51</v>
      </c>
      <c r="D34" s="78">
        <v>96</v>
      </c>
      <c r="E34" s="78">
        <v>93</v>
      </c>
      <c r="F34" s="78">
        <v>81</v>
      </c>
      <c r="G34" s="78">
        <v>645</v>
      </c>
      <c r="H34" s="78" t="s">
        <v>602</v>
      </c>
    </row>
    <row r="35" spans="1:8" ht="15" customHeight="1">
      <c r="A35" s="78" t="s">
        <v>199</v>
      </c>
      <c r="B35" s="94" t="s">
        <v>787</v>
      </c>
      <c r="C35" s="94" t="s">
        <v>787</v>
      </c>
      <c r="D35" s="94" t="s">
        <v>787</v>
      </c>
      <c r="E35" s="94" t="s">
        <v>787</v>
      </c>
      <c r="F35" s="94" t="s">
        <v>787</v>
      </c>
      <c r="G35" s="94" t="s">
        <v>787</v>
      </c>
      <c r="H35" s="94" t="s">
        <v>787</v>
      </c>
    </row>
    <row r="36" spans="1:8" ht="15" customHeight="1">
      <c r="A36" s="78" t="s">
        <v>544</v>
      </c>
      <c r="B36" s="78">
        <v>40</v>
      </c>
      <c r="C36" s="78">
        <v>29</v>
      </c>
      <c r="D36" s="78">
        <v>52</v>
      </c>
      <c r="E36" s="78">
        <v>67</v>
      </c>
      <c r="F36" s="78">
        <v>47</v>
      </c>
      <c r="G36" s="78">
        <v>460</v>
      </c>
      <c r="H36" s="78" t="s">
        <v>153</v>
      </c>
    </row>
    <row r="37" spans="1:8" ht="15" customHeight="1">
      <c r="A37" s="78" t="s">
        <v>666</v>
      </c>
      <c r="B37" s="78">
        <v>71</v>
      </c>
      <c r="C37" s="78">
        <v>46</v>
      </c>
      <c r="D37" s="78">
        <v>90</v>
      </c>
      <c r="E37" s="78">
        <v>93</v>
      </c>
      <c r="F37" s="78">
        <v>75</v>
      </c>
      <c r="G37" s="78">
        <v>585</v>
      </c>
      <c r="H37" s="78" t="s">
        <v>602</v>
      </c>
    </row>
    <row r="38" spans="1:8" ht="15" customHeight="1">
      <c r="A38" s="78" t="s">
        <v>200</v>
      </c>
      <c r="B38" s="78">
        <v>44</v>
      </c>
      <c r="C38" s="78">
        <v>23</v>
      </c>
      <c r="D38" s="78">
        <v>46</v>
      </c>
      <c r="E38" s="78">
        <v>63</v>
      </c>
      <c r="F38" s="78">
        <v>44</v>
      </c>
      <c r="G38" s="78">
        <v>575</v>
      </c>
      <c r="H38" s="78" t="s">
        <v>153</v>
      </c>
    </row>
    <row r="39" spans="1:8" ht="15" customHeight="1">
      <c r="A39" s="78" t="s">
        <v>300</v>
      </c>
      <c r="B39" s="94" t="s">
        <v>787</v>
      </c>
      <c r="C39" s="94" t="s">
        <v>787</v>
      </c>
      <c r="D39" s="94" t="s">
        <v>787</v>
      </c>
      <c r="E39" s="94" t="s">
        <v>787</v>
      </c>
      <c r="F39" s="94" t="s">
        <v>787</v>
      </c>
      <c r="G39" s="94" t="s">
        <v>787</v>
      </c>
      <c r="H39" s="94" t="s">
        <v>787</v>
      </c>
    </row>
    <row r="40" spans="1:8" ht="15" customHeight="1">
      <c r="A40" s="78" t="s">
        <v>301</v>
      </c>
      <c r="B40" s="78">
        <v>81</v>
      </c>
      <c r="C40" s="78">
        <v>47</v>
      </c>
      <c r="D40" s="78">
        <v>95</v>
      </c>
      <c r="E40" s="78">
        <v>88</v>
      </c>
      <c r="F40" s="78">
        <v>78</v>
      </c>
      <c r="G40" s="78">
        <v>1425</v>
      </c>
      <c r="H40" s="78" t="s">
        <v>602</v>
      </c>
    </row>
    <row r="41" spans="1:8" ht="15" customHeight="1">
      <c r="A41" s="78" t="s">
        <v>302</v>
      </c>
      <c r="B41" s="78">
        <v>65</v>
      </c>
      <c r="C41" s="78">
        <v>36</v>
      </c>
      <c r="D41" s="78">
        <v>95</v>
      </c>
      <c r="E41" s="78">
        <v>74</v>
      </c>
      <c r="F41" s="78">
        <v>68</v>
      </c>
      <c r="G41" s="78">
        <v>315</v>
      </c>
      <c r="H41" s="78" t="s">
        <v>602</v>
      </c>
    </row>
    <row r="42" spans="1:8" ht="15" customHeight="1">
      <c r="A42" s="78" t="s">
        <v>303</v>
      </c>
      <c r="B42" s="78">
        <v>84</v>
      </c>
      <c r="C42" s="78">
        <v>58</v>
      </c>
      <c r="D42" s="78">
        <v>95</v>
      </c>
      <c r="E42" s="78">
        <v>89</v>
      </c>
      <c r="F42" s="78">
        <v>82</v>
      </c>
      <c r="G42" s="78">
        <v>40705</v>
      </c>
      <c r="H42" s="78" t="s">
        <v>602</v>
      </c>
    </row>
    <row r="43" spans="1:8" ht="15" customHeight="1">
      <c r="A43" s="78" t="s">
        <v>622</v>
      </c>
      <c r="B43" s="78">
        <v>70</v>
      </c>
      <c r="C43" s="78">
        <v>50</v>
      </c>
      <c r="D43" s="78">
        <v>90</v>
      </c>
      <c r="E43" s="78">
        <v>94</v>
      </c>
      <c r="F43" s="78">
        <v>76</v>
      </c>
      <c r="G43" s="78">
        <v>545</v>
      </c>
      <c r="H43" s="78" t="s">
        <v>602</v>
      </c>
    </row>
    <row r="44" spans="1:8" ht="15" customHeight="1">
      <c r="A44" s="78" t="s">
        <v>304</v>
      </c>
      <c r="B44" s="94" t="s">
        <v>787</v>
      </c>
      <c r="C44" s="94" t="s">
        <v>787</v>
      </c>
      <c r="D44" s="94" t="s">
        <v>787</v>
      </c>
      <c r="E44" s="94" t="s">
        <v>787</v>
      </c>
      <c r="F44" s="94" t="s">
        <v>787</v>
      </c>
      <c r="G44" s="94" t="s">
        <v>787</v>
      </c>
      <c r="H44" s="94" t="s">
        <v>787</v>
      </c>
    </row>
    <row r="45" spans="1:8" ht="15" customHeight="1">
      <c r="A45" s="78" t="s">
        <v>655</v>
      </c>
      <c r="B45" s="78">
        <v>81</v>
      </c>
      <c r="C45" s="78">
        <v>48</v>
      </c>
      <c r="D45" s="78">
        <v>92</v>
      </c>
      <c r="E45" s="78">
        <v>89</v>
      </c>
      <c r="F45" s="78">
        <v>78</v>
      </c>
      <c r="G45" s="78">
        <v>3940</v>
      </c>
      <c r="H45" s="78" t="s">
        <v>602</v>
      </c>
    </row>
    <row r="46" spans="1:8" ht="15" customHeight="1">
      <c r="A46" s="78" t="s">
        <v>201</v>
      </c>
      <c r="B46" s="78">
        <v>53</v>
      </c>
      <c r="C46" s="78">
        <v>29</v>
      </c>
      <c r="D46" s="78">
        <v>83</v>
      </c>
      <c r="E46" s="78">
        <v>78</v>
      </c>
      <c r="F46" s="78">
        <v>61</v>
      </c>
      <c r="G46" s="78">
        <v>465</v>
      </c>
      <c r="H46" s="78" t="s">
        <v>153</v>
      </c>
    </row>
    <row r="47" spans="1:8" ht="15" customHeight="1">
      <c r="A47" s="78" t="s">
        <v>305</v>
      </c>
      <c r="B47" s="94" t="s">
        <v>787</v>
      </c>
      <c r="C47" s="94" t="s">
        <v>787</v>
      </c>
      <c r="D47" s="94" t="s">
        <v>787</v>
      </c>
      <c r="E47" s="94" t="s">
        <v>787</v>
      </c>
      <c r="F47" s="94" t="s">
        <v>787</v>
      </c>
      <c r="G47" s="94" t="s">
        <v>787</v>
      </c>
      <c r="H47" s="94" t="s">
        <v>787</v>
      </c>
    </row>
    <row r="48" spans="1:8" ht="15" customHeight="1">
      <c r="A48" s="78" t="s">
        <v>202</v>
      </c>
      <c r="B48" s="78"/>
      <c r="C48" s="78"/>
      <c r="D48" s="78"/>
      <c r="E48" s="78"/>
      <c r="F48" s="78">
        <v>77</v>
      </c>
      <c r="G48" s="78">
        <v>140</v>
      </c>
      <c r="H48" s="78" t="s">
        <v>153</v>
      </c>
    </row>
    <row r="49" spans="1:10" ht="15" customHeight="1">
      <c r="A49" s="78" t="s">
        <v>203</v>
      </c>
      <c r="B49" s="78">
        <v>45</v>
      </c>
      <c r="C49" s="78">
        <v>19</v>
      </c>
      <c r="D49" s="78">
        <v>50</v>
      </c>
      <c r="E49" s="78">
        <v>62</v>
      </c>
      <c r="F49" s="78">
        <v>44</v>
      </c>
      <c r="G49" s="78">
        <v>1950</v>
      </c>
      <c r="H49" s="78" t="s">
        <v>153</v>
      </c>
    </row>
    <row r="50" spans="1:10" ht="15" customHeight="1">
      <c r="A50" s="78" t="s">
        <v>306</v>
      </c>
      <c r="B50" s="94" t="s">
        <v>787</v>
      </c>
      <c r="C50" s="94" t="s">
        <v>787</v>
      </c>
      <c r="D50" s="94" t="s">
        <v>787</v>
      </c>
      <c r="E50" s="94" t="s">
        <v>787</v>
      </c>
      <c r="F50" s="94" t="s">
        <v>787</v>
      </c>
      <c r="G50" s="94" t="s">
        <v>787</v>
      </c>
      <c r="H50" s="94" t="s">
        <v>787</v>
      </c>
    </row>
    <row r="51" spans="1:10" ht="15" customHeight="1">
      <c r="A51" s="78" t="s">
        <v>625</v>
      </c>
      <c r="B51" s="78">
        <v>62</v>
      </c>
      <c r="C51" s="78">
        <v>36</v>
      </c>
      <c r="D51" s="78">
        <v>85</v>
      </c>
      <c r="E51" s="78">
        <v>98</v>
      </c>
      <c r="F51" s="78">
        <v>70</v>
      </c>
      <c r="G51" s="78">
        <v>435</v>
      </c>
      <c r="H51" s="78" t="s">
        <v>602</v>
      </c>
    </row>
    <row r="52" spans="1:10" ht="15" customHeight="1">
      <c r="A52" s="78" t="s">
        <v>307</v>
      </c>
      <c r="B52" s="94" t="s">
        <v>787</v>
      </c>
      <c r="C52" s="94" t="s">
        <v>787</v>
      </c>
      <c r="D52" s="94" t="s">
        <v>787</v>
      </c>
      <c r="E52" s="94" t="s">
        <v>787</v>
      </c>
      <c r="F52" s="94" t="s">
        <v>787</v>
      </c>
      <c r="G52" s="94" t="s">
        <v>787</v>
      </c>
      <c r="H52" s="94" t="s">
        <v>787</v>
      </c>
    </row>
    <row r="53" spans="1:10" ht="15" customHeight="1">
      <c r="A53" s="78" t="s">
        <v>204</v>
      </c>
      <c r="B53" s="78">
        <v>52</v>
      </c>
      <c r="C53" s="78">
        <v>33</v>
      </c>
      <c r="D53" s="78">
        <v>80</v>
      </c>
      <c r="E53" s="78">
        <v>67</v>
      </c>
      <c r="F53" s="78">
        <v>58</v>
      </c>
      <c r="G53" s="78">
        <v>295</v>
      </c>
      <c r="H53" s="78" t="s">
        <v>153</v>
      </c>
    </row>
    <row r="54" spans="1:10" ht="15" customHeight="1">
      <c r="A54" s="78" t="s">
        <v>308</v>
      </c>
      <c r="B54" s="78">
        <v>81</v>
      </c>
      <c r="C54" s="78">
        <v>49</v>
      </c>
      <c r="D54" s="78">
        <v>96</v>
      </c>
      <c r="E54" s="78">
        <v>88</v>
      </c>
      <c r="F54" s="78">
        <v>78</v>
      </c>
      <c r="G54" s="78">
        <v>1465</v>
      </c>
      <c r="H54" s="78" t="s">
        <v>602</v>
      </c>
    </row>
    <row r="55" spans="1:10" ht="15" customHeight="1">
      <c r="A55" s="78" t="s">
        <v>309</v>
      </c>
      <c r="B55" s="78">
        <v>80</v>
      </c>
      <c r="C55" s="78">
        <v>49</v>
      </c>
      <c r="D55" s="78">
        <v>97</v>
      </c>
      <c r="E55" s="78">
        <v>88</v>
      </c>
      <c r="F55" s="78">
        <v>78</v>
      </c>
      <c r="G55" s="78">
        <v>2800</v>
      </c>
      <c r="H55" s="78" t="s">
        <v>602</v>
      </c>
    </row>
    <row r="56" spans="1:10" ht="15" customHeight="1">
      <c r="A56" s="78" t="s">
        <v>651</v>
      </c>
      <c r="B56" s="78">
        <v>71</v>
      </c>
      <c r="C56" s="78">
        <v>40</v>
      </c>
      <c r="D56" s="78">
        <v>95</v>
      </c>
      <c r="E56" s="78">
        <v>90</v>
      </c>
      <c r="F56" s="78">
        <v>74</v>
      </c>
      <c r="G56" s="78">
        <v>3155</v>
      </c>
      <c r="H56" s="78" t="s">
        <v>602</v>
      </c>
    </row>
    <row r="57" spans="1:10" ht="15" customHeight="1">
      <c r="A57" s="82" t="s">
        <v>310</v>
      </c>
      <c r="B57" s="78">
        <v>76</v>
      </c>
      <c r="C57" s="78">
        <v>55</v>
      </c>
      <c r="D57" s="78">
        <v>99</v>
      </c>
      <c r="E57" s="78">
        <v>85</v>
      </c>
      <c r="F57" s="78">
        <v>79</v>
      </c>
      <c r="G57" s="78">
        <v>270</v>
      </c>
      <c r="H57" s="78" t="s">
        <v>602</v>
      </c>
    </row>
    <row r="58" spans="1:10" ht="15" customHeight="1">
      <c r="A58" s="101" t="s">
        <v>311</v>
      </c>
      <c r="B58" s="95" t="s">
        <v>787</v>
      </c>
      <c r="C58" s="94" t="s">
        <v>787</v>
      </c>
      <c r="D58" s="94" t="s">
        <v>787</v>
      </c>
      <c r="E58" s="94" t="s">
        <v>787</v>
      </c>
      <c r="F58" s="94" t="s">
        <v>787</v>
      </c>
      <c r="G58" s="94" t="s">
        <v>787</v>
      </c>
      <c r="H58" s="94" t="s">
        <v>787</v>
      </c>
    </row>
    <row r="59" spans="1:10" ht="15" customHeight="1">
      <c r="A59" s="100" t="s">
        <v>205</v>
      </c>
      <c r="B59" s="78">
        <v>49</v>
      </c>
      <c r="C59" s="78">
        <v>17</v>
      </c>
      <c r="D59" s="78">
        <v>62</v>
      </c>
      <c r="E59" s="78">
        <v>65</v>
      </c>
      <c r="F59" s="78">
        <v>48</v>
      </c>
      <c r="G59" s="78">
        <v>985</v>
      </c>
      <c r="H59" s="78" t="s">
        <v>153</v>
      </c>
    </row>
    <row r="60" spans="1:10" s="37" customFormat="1" ht="15" customHeight="1">
      <c r="A60" s="84" t="s">
        <v>312</v>
      </c>
      <c r="B60" s="84">
        <v>86</v>
      </c>
      <c r="C60" s="84">
        <v>45</v>
      </c>
      <c r="D60" s="84">
        <v>87</v>
      </c>
      <c r="E60" s="84">
        <v>87</v>
      </c>
      <c r="F60" s="84">
        <v>76</v>
      </c>
      <c r="G60" s="84">
        <v>975</v>
      </c>
      <c r="H60" s="84" t="s">
        <v>602</v>
      </c>
      <c r="J60" s="5"/>
    </row>
    <row r="61" spans="1:10" ht="15" customHeight="1">
      <c r="A61" s="79" t="s">
        <v>710</v>
      </c>
      <c r="B61" s="79">
        <v>55</v>
      </c>
      <c r="C61" s="79">
        <v>26</v>
      </c>
      <c r="D61" s="79">
        <v>87</v>
      </c>
      <c r="E61" s="79">
        <v>63</v>
      </c>
      <c r="F61" s="79">
        <v>58</v>
      </c>
      <c r="G61" s="79">
        <v>330</v>
      </c>
      <c r="H61" s="79" t="s">
        <v>153</v>
      </c>
      <c r="I61" s="80"/>
    </row>
    <row r="62" spans="1:10" ht="15" customHeight="1">
      <c r="A62" s="96" t="s">
        <v>674</v>
      </c>
      <c r="B62" s="78">
        <v>85</v>
      </c>
      <c r="C62" s="78">
        <v>52</v>
      </c>
      <c r="D62" s="78">
        <v>92</v>
      </c>
      <c r="E62" s="78">
        <v>91</v>
      </c>
      <c r="F62" s="78">
        <v>80</v>
      </c>
      <c r="G62" s="78">
        <v>495</v>
      </c>
      <c r="H62" s="78" t="s">
        <v>602</v>
      </c>
    </row>
    <row r="63" spans="1:10" ht="15" customHeight="1">
      <c r="A63" s="98" t="s">
        <v>313</v>
      </c>
      <c r="B63" s="95" t="s">
        <v>787</v>
      </c>
      <c r="C63" s="94" t="s">
        <v>787</v>
      </c>
      <c r="D63" s="94" t="s">
        <v>787</v>
      </c>
      <c r="E63" s="94" t="s">
        <v>787</v>
      </c>
      <c r="F63" s="94" t="s">
        <v>787</v>
      </c>
      <c r="G63" s="94" t="s">
        <v>787</v>
      </c>
      <c r="H63" s="94" t="s">
        <v>787</v>
      </c>
    </row>
    <row r="64" spans="1:10" ht="15" customHeight="1">
      <c r="A64" s="101" t="s">
        <v>688</v>
      </c>
      <c r="B64" s="99">
        <v>75</v>
      </c>
      <c r="C64" s="78">
        <v>42</v>
      </c>
      <c r="D64" s="78">
        <v>91</v>
      </c>
      <c r="E64" s="78">
        <v>90</v>
      </c>
      <c r="F64" s="78">
        <v>75</v>
      </c>
      <c r="G64" s="78">
        <v>1320</v>
      </c>
      <c r="H64" s="78" t="s">
        <v>602</v>
      </c>
    </row>
    <row r="65" spans="1:8" ht="15" customHeight="1">
      <c r="A65" s="98" t="s">
        <v>314</v>
      </c>
      <c r="B65" s="95" t="s">
        <v>787</v>
      </c>
      <c r="C65" s="94" t="s">
        <v>787</v>
      </c>
      <c r="D65" s="94" t="s">
        <v>787</v>
      </c>
      <c r="E65" s="94" t="s">
        <v>787</v>
      </c>
      <c r="F65" s="94" t="s">
        <v>787</v>
      </c>
      <c r="G65" s="94" t="s">
        <v>787</v>
      </c>
      <c r="H65" s="94" t="s">
        <v>787</v>
      </c>
    </row>
    <row r="66" spans="1:8" ht="15" customHeight="1">
      <c r="A66" s="98" t="s">
        <v>315</v>
      </c>
      <c r="B66" s="95" t="s">
        <v>787</v>
      </c>
      <c r="C66" s="94" t="s">
        <v>787</v>
      </c>
      <c r="D66" s="94" t="s">
        <v>787</v>
      </c>
      <c r="E66" s="94" t="s">
        <v>787</v>
      </c>
      <c r="F66" s="94" t="s">
        <v>787</v>
      </c>
      <c r="G66" s="94" t="s">
        <v>787</v>
      </c>
      <c r="H66" s="94" t="s">
        <v>787</v>
      </c>
    </row>
    <row r="67" spans="1:8" ht="15" customHeight="1">
      <c r="A67" s="101" t="s">
        <v>636</v>
      </c>
      <c r="B67" s="99">
        <v>85</v>
      </c>
      <c r="C67" s="78">
        <v>57</v>
      </c>
      <c r="D67" s="78">
        <v>94</v>
      </c>
      <c r="E67" s="78">
        <v>92</v>
      </c>
      <c r="F67" s="78">
        <v>82</v>
      </c>
      <c r="G67" s="78">
        <v>4060</v>
      </c>
      <c r="H67" s="78" t="s">
        <v>602</v>
      </c>
    </row>
    <row r="68" spans="1:8" ht="15" customHeight="1">
      <c r="A68" s="98" t="s">
        <v>316</v>
      </c>
      <c r="B68" s="95" t="s">
        <v>787</v>
      </c>
      <c r="C68" s="94" t="s">
        <v>787</v>
      </c>
      <c r="D68" s="94" t="s">
        <v>787</v>
      </c>
      <c r="E68" s="94" t="s">
        <v>787</v>
      </c>
      <c r="F68" s="94" t="s">
        <v>787</v>
      </c>
      <c r="G68" s="94" t="s">
        <v>787</v>
      </c>
      <c r="H68" s="94" t="s">
        <v>787</v>
      </c>
    </row>
    <row r="69" spans="1:8" ht="15" customHeight="1">
      <c r="A69" s="98" t="s">
        <v>206</v>
      </c>
      <c r="B69" s="95" t="s">
        <v>787</v>
      </c>
      <c r="C69" s="94" t="s">
        <v>787</v>
      </c>
      <c r="D69" s="94" t="s">
        <v>787</v>
      </c>
      <c r="E69" s="94" t="s">
        <v>787</v>
      </c>
      <c r="F69" s="94" t="s">
        <v>787</v>
      </c>
      <c r="G69" s="94" t="s">
        <v>787</v>
      </c>
      <c r="H69" s="94" t="s">
        <v>787</v>
      </c>
    </row>
    <row r="70" spans="1:8" ht="15" customHeight="1">
      <c r="A70" s="98" t="s">
        <v>317</v>
      </c>
      <c r="B70" s="95" t="s">
        <v>787</v>
      </c>
      <c r="C70" s="94" t="s">
        <v>787</v>
      </c>
      <c r="D70" s="94" t="s">
        <v>787</v>
      </c>
      <c r="E70" s="94" t="s">
        <v>787</v>
      </c>
      <c r="F70" s="94" t="s">
        <v>787</v>
      </c>
      <c r="G70" s="94" t="s">
        <v>787</v>
      </c>
      <c r="H70" s="94" t="s">
        <v>787</v>
      </c>
    </row>
    <row r="71" spans="1:8" ht="15" customHeight="1">
      <c r="A71" s="101" t="s">
        <v>706</v>
      </c>
      <c r="B71" s="99">
        <v>50</v>
      </c>
      <c r="C71" s="78">
        <v>31</v>
      </c>
      <c r="D71" s="78">
        <v>54</v>
      </c>
      <c r="E71" s="78">
        <v>66</v>
      </c>
      <c r="F71" s="78">
        <v>50</v>
      </c>
      <c r="G71" s="78">
        <v>1575</v>
      </c>
      <c r="H71" s="78" t="s">
        <v>153</v>
      </c>
    </row>
    <row r="72" spans="1:8" ht="15" customHeight="1">
      <c r="A72" s="101" t="s">
        <v>707</v>
      </c>
      <c r="B72" s="99">
        <v>44</v>
      </c>
      <c r="C72" s="78">
        <v>25</v>
      </c>
      <c r="D72" s="78">
        <v>50</v>
      </c>
      <c r="E72" s="78">
        <v>61</v>
      </c>
      <c r="F72" s="78">
        <v>45</v>
      </c>
      <c r="G72" s="78">
        <v>1660</v>
      </c>
      <c r="H72" s="78" t="s">
        <v>153</v>
      </c>
    </row>
    <row r="73" spans="1:8" ht="15" customHeight="1">
      <c r="A73" s="97" t="s">
        <v>708</v>
      </c>
      <c r="B73" s="78">
        <v>50</v>
      </c>
      <c r="C73" s="78">
        <v>32</v>
      </c>
      <c r="D73" s="78">
        <v>53</v>
      </c>
      <c r="E73" s="78">
        <v>64</v>
      </c>
      <c r="F73" s="78">
        <v>50</v>
      </c>
      <c r="G73" s="78">
        <v>605</v>
      </c>
      <c r="H73" s="78" t="s">
        <v>153</v>
      </c>
    </row>
    <row r="74" spans="1:8" ht="15" customHeight="1">
      <c r="A74" s="78" t="s">
        <v>207</v>
      </c>
      <c r="B74" s="81">
        <f>SUM(B75:B78)/3</f>
        <v>27</v>
      </c>
      <c r="C74" s="81">
        <f>SUM(C75:C78)/3</f>
        <v>16.666666666666668</v>
      </c>
      <c r="D74" s="81">
        <f>SUM(D75:D78)/3</f>
        <v>31.666666666666668</v>
      </c>
      <c r="E74" s="81">
        <f>SUM(E75:E78)/3</f>
        <v>29</v>
      </c>
      <c r="F74" s="81">
        <f>SUM(B74:E74)/4</f>
        <v>26.083333333333336</v>
      </c>
      <c r="G74" s="78">
        <f>SUM(G75:G78)</f>
        <v>615</v>
      </c>
      <c r="H74" s="78" t="s">
        <v>153</v>
      </c>
    </row>
    <row r="75" spans="1:8" ht="15" customHeight="1">
      <c r="A75" s="78" t="s">
        <v>318</v>
      </c>
      <c r="B75" s="78">
        <v>81</v>
      </c>
      <c r="C75" s="78">
        <v>50</v>
      </c>
      <c r="D75" s="78">
        <v>95</v>
      </c>
      <c r="E75" s="78">
        <v>87</v>
      </c>
      <c r="F75" s="78">
        <v>78</v>
      </c>
      <c r="G75" s="78">
        <v>395</v>
      </c>
      <c r="H75" s="78" t="s">
        <v>602</v>
      </c>
    </row>
    <row r="76" spans="1:8" ht="15" customHeight="1">
      <c r="A76" t="s">
        <v>319</v>
      </c>
      <c r="B76" s="95" t="s">
        <v>787</v>
      </c>
      <c r="C76" s="94" t="s">
        <v>787</v>
      </c>
      <c r="D76" s="94" t="s">
        <v>787</v>
      </c>
      <c r="E76" s="94" t="s">
        <v>787</v>
      </c>
      <c r="F76" s="94" t="s">
        <v>787</v>
      </c>
      <c r="G76" s="94" t="s">
        <v>787</v>
      </c>
      <c r="H76" s="94" t="s">
        <v>787</v>
      </c>
    </row>
    <row r="77" spans="1:8" ht="15" customHeight="1">
      <c r="A77" s="78" t="s">
        <v>208</v>
      </c>
      <c r="B77" s="78"/>
      <c r="C77" s="78"/>
      <c r="D77" s="78"/>
      <c r="E77" s="78"/>
      <c r="F77" s="78">
        <v>47</v>
      </c>
      <c r="G77" s="78">
        <v>65</v>
      </c>
      <c r="H77" s="78" t="s">
        <v>153</v>
      </c>
    </row>
    <row r="78" spans="1:8" ht="15" customHeight="1">
      <c r="A78" s="78" t="s">
        <v>209</v>
      </c>
      <c r="B78" s="78"/>
      <c r="C78" s="78"/>
      <c r="D78" s="78"/>
      <c r="E78" s="78"/>
      <c r="F78" s="78">
        <v>49</v>
      </c>
      <c r="G78" s="78">
        <v>155</v>
      </c>
      <c r="H78" s="78" t="s">
        <v>153</v>
      </c>
    </row>
    <row r="79" spans="1:8" ht="15" customHeight="1">
      <c r="A79" t="s">
        <v>210</v>
      </c>
      <c r="B79" s="95" t="s">
        <v>787</v>
      </c>
      <c r="C79" s="94" t="s">
        <v>787</v>
      </c>
      <c r="D79" s="94" t="s">
        <v>787</v>
      </c>
      <c r="E79" s="94" t="s">
        <v>787</v>
      </c>
      <c r="F79" s="94" t="s">
        <v>787</v>
      </c>
      <c r="G79" s="94" t="s">
        <v>787</v>
      </c>
      <c r="H79" s="94" t="s">
        <v>787</v>
      </c>
    </row>
    <row r="80" spans="1:8" ht="15" customHeight="1">
      <c r="A80" s="78" t="s">
        <v>639</v>
      </c>
      <c r="B80" s="78">
        <v>66</v>
      </c>
      <c r="C80" s="78">
        <v>47</v>
      </c>
      <c r="D80" s="78">
        <v>87</v>
      </c>
      <c r="E80" s="78">
        <v>95</v>
      </c>
      <c r="F80" s="78">
        <v>74</v>
      </c>
      <c r="G80" s="78">
        <v>865</v>
      </c>
      <c r="H80" s="78" t="s">
        <v>602</v>
      </c>
    </row>
    <row r="81" spans="1:8" ht="15" customHeight="1">
      <c r="A81" s="78" t="s">
        <v>731</v>
      </c>
      <c r="B81" s="78">
        <v>82</v>
      </c>
      <c r="C81" s="78">
        <v>55</v>
      </c>
      <c r="D81" s="78">
        <v>95</v>
      </c>
      <c r="E81" s="78">
        <v>92</v>
      </c>
      <c r="F81" s="78">
        <v>81</v>
      </c>
      <c r="G81" s="78">
        <v>2325</v>
      </c>
      <c r="H81" s="78" t="s">
        <v>602</v>
      </c>
    </row>
    <row r="82" spans="1:8" ht="15" customHeight="1">
      <c r="A82" s="78" t="s">
        <v>320</v>
      </c>
      <c r="B82" s="78">
        <v>80</v>
      </c>
      <c r="C82" s="78">
        <v>49</v>
      </c>
      <c r="D82" s="78">
        <v>94</v>
      </c>
      <c r="E82" s="78">
        <v>85</v>
      </c>
      <c r="F82" s="78">
        <v>77</v>
      </c>
      <c r="G82" s="78">
        <v>7740</v>
      </c>
      <c r="H82" s="78" t="s">
        <v>602</v>
      </c>
    </row>
    <row r="83" spans="1:8" ht="15" customHeight="1">
      <c r="A83" t="s">
        <v>211</v>
      </c>
      <c r="B83" s="95" t="s">
        <v>787</v>
      </c>
      <c r="C83" s="94" t="s">
        <v>787</v>
      </c>
      <c r="D83" s="94" t="s">
        <v>787</v>
      </c>
      <c r="E83" s="94" t="s">
        <v>787</v>
      </c>
      <c r="F83" s="94" t="s">
        <v>787</v>
      </c>
      <c r="G83" s="94" t="s">
        <v>787</v>
      </c>
      <c r="H83" s="94" t="s">
        <v>787</v>
      </c>
    </row>
    <row r="84" spans="1:8" ht="15" customHeight="1">
      <c r="A84" s="78" t="s">
        <v>212</v>
      </c>
      <c r="B84" s="78"/>
      <c r="C84" s="78"/>
      <c r="D84" s="78"/>
      <c r="E84" s="78"/>
      <c r="F84" s="78">
        <v>52</v>
      </c>
      <c r="G84" s="78">
        <v>85</v>
      </c>
      <c r="H84" s="78" t="s">
        <v>153</v>
      </c>
    </row>
    <row r="85" spans="1:8" ht="15" customHeight="1">
      <c r="A85" t="s">
        <v>213</v>
      </c>
      <c r="B85" s="95" t="s">
        <v>787</v>
      </c>
      <c r="C85" s="94" t="s">
        <v>787</v>
      </c>
      <c r="D85" s="94" t="s">
        <v>787</v>
      </c>
      <c r="E85" s="94" t="s">
        <v>787</v>
      </c>
      <c r="F85" s="94" t="s">
        <v>787</v>
      </c>
      <c r="G85" s="94" t="s">
        <v>787</v>
      </c>
      <c r="H85" s="94" t="s">
        <v>787</v>
      </c>
    </row>
    <row r="86" spans="1:8" ht="15" customHeight="1">
      <c r="A86" s="78" t="s">
        <v>607</v>
      </c>
      <c r="B86" s="78">
        <v>73</v>
      </c>
      <c r="C86" s="78">
        <v>48</v>
      </c>
      <c r="D86" s="78">
        <v>96</v>
      </c>
      <c r="E86" s="78">
        <v>91</v>
      </c>
      <c r="F86" s="78">
        <v>77</v>
      </c>
      <c r="G86" s="78">
        <v>3330</v>
      </c>
      <c r="H86" s="78" t="s">
        <v>602</v>
      </c>
    </row>
    <row r="87" spans="1:8" ht="15" customHeight="1">
      <c r="A87" s="78" t="s">
        <v>321</v>
      </c>
      <c r="B87" s="78">
        <v>84</v>
      </c>
      <c r="C87" s="78">
        <v>44</v>
      </c>
      <c r="D87" s="78">
        <v>94</v>
      </c>
      <c r="E87" s="78">
        <v>87</v>
      </c>
      <c r="F87" s="78">
        <v>77</v>
      </c>
      <c r="G87" s="78">
        <v>930</v>
      </c>
      <c r="H87" s="78" t="s">
        <v>602</v>
      </c>
    </row>
    <row r="88" spans="1:8" ht="15" customHeight="1">
      <c r="A88" t="s">
        <v>560</v>
      </c>
      <c r="B88" s="95" t="s">
        <v>787</v>
      </c>
      <c r="C88" s="94" t="s">
        <v>787</v>
      </c>
      <c r="D88" s="94" t="s">
        <v>787</v>
      </c>
      <c r="E88" s="94" t="s">
        <v>787</v>
      </c>
      <c r="F88" s="94" t="s">
        <v>787</v>
      </c>
      <c r="G88" s="94" t="s">
        <v>787</v>
      </c>
      <c r="H88" s="94" t="s">
        <v>787</v>
      </c>
    </row>
    <row r="89" spans="1:8" ht="15" customHeight="1">
      <c r="A89" t="s">
        <v>322</v>
      </c>
      <c r="B89" s="95" t="s">
        <v>787</v>
      </c>
      <c r="C89" s="94" t="s">
        <v>787</v>
      </c>
      <c r="D89" s="94" t="s">
        <v>787</v>
      </c>
      <c r="E89" s="94" t="s">
        <v>787</v>
      </c>
      <c r="F89" s="94" t="s">
        <v>787</v>
      </c>
      <c r="G89" s="94" t="s">
        <v>787</v>
      </c>
      <c r="H89" s="94" t="s">
        <v>787</v>
      </c>
    </row>
    <row r="90" spans="1:8" ht="15" customHeight="1">
      <c r="A90" t="s">
        <v>323</v>
      </c>
      <c r="B90" s="95" t="s">
        <v>787</v>
      </c>
      <c r="C90" s="94" t="s">
        <v>787</v>
      </c>
      <c r="D90" s="94" t="s">
        <v>787</v>
      </c>
      <c r="E90" s="94" t="s">
        <v>787</v>
      </c>
      <c r="F90" s="94" t="s">
        <v>787</v>
      </c>
      <c r="G90" s="94" t="s">
        <v>787</v>
      </c>
      <c r="H90" s="94" t="s">
        <v>787</v>
      </c>
    </row>
    <row r="91" spans="1:8" ht="15" customHeight="1">
      <c r="A91" t="s">
        <v>324</v>
      </c>
      <c r="B91" s="95" t="s">
        <v>787</v>
      </c>
      <c r="C91" s="94" t="s">
        <v>787</v>
      </c>
      <c r="D91" s="94" t="s">
        <v>787</v>
      </c>
      <c r="E91" s="94" t="s">
        <v>787</v>
      </c>
      <c r="F91" s="94" t="s">
        <v>787</v>
      </c>
      <c r="G91" s="94" t="s">
        <v>787</v>
      </c>
      <c r="H91" s="94" t="s">
        <v>787</v>
      </c>
    </row>
    <row r="92" spans="1:8" ht="15" customHeight="1">
      <c r="A92" t="s">
        <v>325</v>
      </c>
      <c r="B92" s="95" t="s">
        <v>787</v>
      </c>
      <c r="C92" s="94" t="s">
        <v>787</v>
      </c>
      <c r="D92" s="94" t="s">
        <v>787</v>
      </c>
      <c r="E92" s="94" t="s">
        <v>787</v>
      </c>
      <c r="F92" s="94" t="s">
        <v>787</v>
      </c>
      <c r="G92" s="94" t="s">
        <v>787</v>
      </c>
      <c r="H92" s="94" t="s">
        <v>787</v>
      </c>
    </row>
    <row r="93" spans="1:8" ht="15" customHeight="1">
      <c r="A93" s="78" t="s">
        <v>686</v>
      </c>
      <c r="B93" s="78"/>
      <c r="C93" s="78"/>
      <c r="D93" s="78"/>
      <c r="E93" s="78"/>
      <c r="F93" s="78"/>
      <c r="G93" s="78"/>
      <c r="H93" s="78" t="s">
        <v>602</v>
      </c>
    </row>
    <row r="94" spans="1:8" ht="15" customHeight="1">
      <c r="A94" s="78" t="s">
        <v>693</v>
      </c>
      <c r="B94" s="78"/>
      <c r="C94" s="78"/>
      <c r="D94" s="78"/>
      <c r="E94" s="78"/>
      <c r="F94" s="78">
        <v>72</v>
      </c>
      <c r="G94" s="78">
        <v>85</v>
      </c>
      <c r="H94" s="78" t="s">
        <v>602</v>
      </c>
    </row>
    <row r="95" spans="1:8" ht="15" customHeight="1">
      <c r="A95" s="78" t="s">
        <v>694</v>
      </c>
      <c r="B95" s="78"/>
      <c r="C95" s="78"/>
      <c r="D95" s="78"/>
      <c r="E95" s="78"/>
      <c r="F95" s="78"/>
      <c r="G95" s="78"/>
      <c r="H95" s="78" t="s">
        <v>602</v>
      </c>
    </row>
    <row r="96" spans="1:8" ht="15" customHeight="1">
      <c r="A96" s="78" t="s">
        <v>695</v>
      </c>
      <c r="B96" s="78">
        <v>61</v>
      </c>
      <c r="C96" s="78">
        <v>32</v>
      </c>
      <c r="D96" s="78">
        <v>77</v>
      </c>
      <c r="E96" s="78">
        <v>72</v>
      </c>
      <c r="F96" s="78">
        <v>61</v>
      </c>
      <c r="G96" s="78">
        <v>3210</v>
      </c>
      <c r="H96" s="78" t="s">
        <v>602</v>
      </c>
    </row>
    <row r="97" spans="1:8" ht="15" customHeight="1">
      <c r="A97" s="78" t="s">
        <v>700</v>
      </c>
      <c r="B97" s="78"/>
      <c r="C97" s="78"/>
      <c r="D97" s="78"/>
      <c r="E97" s="78"/>
      <c r="F97" s="78"/>
      <c r="G97" s="78"/>
      <c r="H97" s="78" t="s">
        <v>602</v>
      </c>
    </row>
    <row r="98" spans="1:8" ht="15" customHeight="1">
      <c r="A98" s="78" t="s">
        <v>699</v>
      </c>
      <c r="B98" s="78"/>
      <c r="C98" s="78"/>
      <c r="D98" s="78"/>
      <c r="E98" s="78"/>
      <c r="F98" s="78"/>
      <c r="G98" s="78"/>
      <c r="H98" s="78" t="s">
        <v>602</v>
      </c>
    </row>
    <row r="99" spans="1:8" ht="15" customHeight="1">
      <c r="A99" s="78" t="s">
        <v>703</v>
      </c>
      <c r="B99" s="78">
        <v>86</v>
      </c>
      <c r="C99" s="78">
        <v>57</v>
      </c>
      <c r="D99" s="78">
        <v>79</v>
      </c>
      <c r="E99" s="78">
        <v>83</v>
      </c>
      <c r="F99" s="78">
        <v>76</v>
      </c>
      <c r="G99" s="78">
        <v>1925</v>
      </c>
      <c r="H99" s="78" t="s">
        <v>602</v>
      </c>
    </row>
    <row r="100" spans="1:8" ht="15" customHeight="1">
      <c r="A100" s="78" t="s">
        <v>705</v>
      </c>
      <c r="B100" s="78">
        <v>77</v>
      </c>
      <c r="C100" s="78">
        <v>40</v>
      </c>
      <c r="D100" s="78">
        <v>78</v>
      </c>
      <c r="E100" s="78">
        <v>69</v>
      </c>
      <c r="F100" s="78">
        <v>66</v>
      </c>
      <c r="G100" s="78">
        <v>2325</v>
      </c>
      <c r="H100" s="78" t="s">
        <v>602</v>
      </c>
    </row>
    <row r="101" spans="1:8" ht="15" customHeight="1">
      <c r="A101" s="78" t="s">
        <v>711</v>
      </c>
      <c r="B101" s="78"/>
      <c r="C101" s="78"/>
      <c r="D101" s="78"/>
      <c r="E101" s="78"/>
      <c r="F101" s="78">
        <v>56</v>
      </c>
      <c r="G101" s="78">
        <v>170</v>
      </c>
      <c r="H101" s="78" t="s">
        <v>602</v>
      </c>
    </row>
    <row r="102" spans="1:8" ht="15" customHeight="1">
      <c r="A102" s="78" t="s">
        <v>605</v>
      </c>
      <c r="B102" s="78">
        <v>92</v>
      </c>
      <c r="C102" s="78">
        <v>64</v>
      </c>
      <c r="D102" s="78">
        <v>95</v>
      </c>
      <c r="E102" s="78">
        <v>86</v>
      </c>
      <c r="F102" s="78">
        <v>84</v>
      </c>
      <c r="G102" s="78">
        <v>1130</v>
      </c>
      <c r="H102" s="78" t="s">
        <v>602</v>
      </c>
    </row>
    <row r="103" spans="1:8" ht="15" customHeight="1">
      <c r="A103" s="78" t="s">
        <v>615</v>
      </c>
      <c r="B103" s="78">
        <v>77</v>
      </c>
      <c r="C103" s="78">
        <v>51</v>
      </c>
      <c r="D103" s="78">
        <v>90</v>
      </c>
      <c r="E103" s="78">
        <v>94</v>
      </c>
      <c r="F103" s="78">
        <v>78</v>
      </c>
      <c r="G103" s="78">
        <v>2200</v>
      </c>
      <c r="H103" s="78" t="s">
        <v>602</v>
      </c>
    </row>
    <row r="104" spans="1:8" ht="15" customHeight="1">
      <c r="A104" s="78" t="s">
        <v>658</v>
      </c>
      <c r="B104" s="78">
        <v>93</v>
      </c>
      <c r="C104" s="78">
        <v>56</v>
      </c>
      <c r="D104" s="78">
        <v>97</v>
      </c>
      <c r="E104" s="78">
        <v>81</v>
      </c>
      <c r="F104" s="78">
        <v>82</v>
      </c>
      <c r="G104" s="78">
        <v>695</v>
      </c>
      <c r="H104" s="78" t="s">
        <v>602</v>
      </c>
    </row>
    <row r="105" spans="1:8" ht="15" customHeight="1">
      <c r="A105" s="78" t="s">
        <v>656</v>
      </c>
      <c r="B105" s="78">
        <v>97</v>
      </c>
      <c r="C105" s="78">
        <v>69</v>
      </c>
      <c r="D105" s="78">
        <v>97</v>
      </c>
      <c r="E105" s="78">
        <v>88</v>
      </c>
      <c r="F105" s="78">
        <v>88</v>
      </c>
      <c r="G105" s="78">
        <v>8735</v>
      </c>
      <c r="H105" s="78" t="s">
        <v>602</v>
      </c>
    </row>
    <row r="106" spans="1:8" ht="15" customHeight="1">
      <c r="A106" t="s">
        <v>326</v>
      </c>
      <c r="B106" s="95" t="s">
        <v>787</v>
      </c>
      <c r="C106" s="94" t="s">
        <v>787</v>
      </c>
      <c r="D106" s="94" t="s">
        <v>787</v>
      </c>
      <c r="E106" s="94" t="s">
        <v>787</v>
      </c>
      <c r="F106" s="94" t="s">
        <v>787</v>
      </c>
      <c r="G106" s="94" t="s">
        <v>787</v>
      </c>
      <c r="H106" s="94" t="s">
        <v>787</v>
      </c>
    </row>
    <row r="107" spans="1:8" ht="15" customHeight="1">
      <c r="A107" t="s">
        <v>327</v>
      </c>
      <c r="B107" s="95" t="s">
        <v>787</v>
      </c>
      <c r="C107" s="94" t="s">
        <v>787</v>
      </c>
      <c r="D107" s="94" t="s">
        <v>787</v>
      </c>
      <c r="E107" s="94" t="s">
        <v>787</v>
      </c>
      <c r="F107" s="94" t="s">
        <v>787</v>
      </c>
      <c r="G107" s="94" t="s">
        <v>787</v>
      </c>
      <c r="H107" s="94" t="s">
        <v>787</v>
      </c>
    </row>
    <row r="108" spans="1:8" ht="15" customHeight="1">
      <c r="A108" s="78" t="s">
        <v>214</v>
      </c>
      <c r="B108" s="78">
        <v>38</v>
      </c>
      <c r="C108" s="78">
        <v>25</v>
      </c>
      <c r="D108" s="78">
        <v>63</v>
      </c>
      <c r="E108" s="78">
        <v>55</v>
      </c>
      <c r="F108" s="78">
        <v>45</v>
      </c>
      <c r="G108" s="78">
        <v>1190</v>
      </c>
      <c r="H108" s="78" t="s">
        <v>153</v>
      </c>
    </row>
    <row r="109" spans="1:8" ht="15" customHeight="1">
      <c r="A109" s="78" t="s">
        <v>624</v>
      </c>
      <c r="B109" s="78">
        <v>87</v>
      </c>
      <c r="C109" s="78">
        <v>41</v>
      </c>
      <c r="D109" s="78">
        <v>85</v>
      </c>
      <c r="E109" s="78">
        <v>93</v>
      </c>
      <c r="F109" s="78">
        <v>76</v>
      </c>
      <c r="G109" s="78">
        <v>620</v>
      </c>
      <c r="H109" s="78" t="s">
        <v>602</v>
      </c>
    </row>
    <row r="110" spans="1:8" ht="15" customHeight="1">
      <c r="A110" t="s">
        <v>328</v>
      </c>
      <c r="B110" s="95" t="s">
        <v>787</v>
      </c>
      <c r="C110" s="94" t="s">
        <v>787</v>
      </c>
      <c r="D110" s="94" t="s">
        <v>787</v>
      </c>
      <c r="E110" s="94" t="s">
        <v>787</v>
      </c>
      <c r="F110" s="94" t="s">
        <v>787</v>
      </c>
      <c r="G110" s="94" t="s">
        <v>787</v>
      </c>
      <c r="H110" s="94" t="s">
        <v>787</v>
      </c>
    </row>
    <row r="111" spans="1:8" ht="15" customHeight="1">
      <c r="A111" t="s">
        <v>329</v>
      </c>
      <c r="B111" s="95" t="s">
        <v>787</v>
      </c>
      <c r="C111" s="94" t="s">
        <v>787</v>
      </c>
      <c r="D111" s="94" t="s">
        <v>787</v>
      </c>
      <c r="E111" s="94" t="s">
        <v>787</v>
      </c>
      <c r="F111" s="94" t="s">
        <v>787</v>
      </c>
      <c r="G111" s="94" t="s">
        <v>787</v>
      </c>
      <c r="H111" s="94" t="s">
        <v>787</v>
      </c>
    </row>
    <row r="112" spans="1:8" ht="15" customHeight="1">
      <c r="A112" t="s">
        <v>330</v>
      </c>
      <c r="B112" s="78">
        <v>73</v>
      </c>
      <c r="C112" s="78">
        <v>41</v>
      </c>
      <c r="D112" s="78">
        <v>92</v>
      </c>
      <c r="E112" s="78">
        <v>92</v>
      </c>
      <c r="F112" s="78">
        <v>74</v>
      </c>
      <c r="G112" s="78">
        <v>435</v>
      </c>
      <c r="H112" s="78" t="s">
        <v>602</v>
      </c>
    </row>
    <row r="113" spans="1:8" ht="15" customHeight="1">
      <c r="A113" t="s">
        <v>669</v>
      </c>
      <c r="B113" s="78">
        <v>75</v>
      </c>
      <c r="C113" s="78">
        <v>46</v>
      </c>
      <c r="D113" s="78">
        <v>94</v>
      </c>
      <c r="E113" s="78">
        <v>90</v>
      </c>
      <c r="F113" s="78">
        <v>76</v>
      </c>
      <c r="G113" s="78">
        <v>395</v>
      </c>
      <c r="H113" s="78" t="s">
        <v>602</v>
      </c>
    </row>
    <row r="114" spans="1:8" ht="15" customHeight="1">
      <c r="A114" t="s">
        <v>331</v>
      </c>
      <c r="B114" s="95" t="s">
        <v>787</v>
      </c>
      <c r="C114" s="94" t="s">
        <v>787</v>
      </c>
      <c r="D114" s="94" t="s">
        <v>787</v>
      </c>
      <c r="E114" s="94" t="s">
        <v>787</v>
      </c>
      <c r="F114" s="94" t="s">
        <v>787</v>
      </c>
      <c r="G114" s="94" t="s">
        <v>787</v>
      </c>
      <c r="H114" s="94" t="s">
        <v>787</v>
      </c>
    </row>
    <row r="115" spans="1:8" ht="15" customHeight="1">
      <c r="A115" t="s">
        <v>332</v>
      </c>
      <c r="B115" s="95" t="s">
        <v>787</v>
      </c>
      <c r="C115" s="94" t="s">
        <v>787</v>
      </c>
      <c r="D115" s="94" t="s">
        <v>787</v>
      </c>
      <c r="E115" s="94" t="s">
        <v>787</v>
      </c>
      <c r="F115" s="94" t="s">
        <v>787</v>
      </c>
      <c r="G115" s="94" t="s">
        <v>787</v>
      </c>
      <c r="H115" s="94" t="s">
        <v>787</v>
      </c>
    </row>
    <row r="116" spans="1:8" ht="15" customHeight="1">
      <c r="A116" t="s">
        <v>333</v>
      </c>
      <c r="B116" s="95" t="s">
        <v>787</v>
      </c>
      <c r="C116" s="94" t="s">
        <v>787</v>
      </c>
      <c r="D116" s="94" t="s">
        <v>787</v>
      </c>
      <c r="E116" s="94" t="s">
        <v>787</v>
      </c>
      <c r="F116" s="94" t="s">
        <v>787</v>
      </c>
      <c r="G116" s="94" t="s">
        <v>787</v>
      </c>
      <c r="H116" s="94" t="s">
        <v>787</v>
      </c>
    </row>
    <row r="117" spans="1:8" ht="15" customHeight="1">
      <c r="A117" s="78" t="s">
        <v>638</v>
      </c>
      <c r="B117" s="78">
        <v>80</v>
      </c>
      <c r="C117" s="78">
        <v>48</v>
      </c>
      <c r="D117" s="78">
        <v>90</v>
      </c>
      <c r="E117" s="78">
        <v>93</v>
      </c>
      <c r="F117" s="78">
        <v>78</v>
      </c>
      <c r="G117" s="78">
        <v>1290</v>
      </c>
      <c r="H117" s="78" t="s">
        <v>602</v>
      </c>
    </row>
    <row r="118" spans="1:8" ht="15" customHeight="1">
      <c r="A118" s="78" t="s">
        <v>334</v>
      </c>
      <c r="B118" s="78">
        <v>90</v>
      </c>
      <c r="C118" s="78">
        <v>44</v>
      </c>
      <c r="D118" s="78">
        <v>95</v>
      </c>
      <c r="E118" s="78">
        <v>92</v>
      </c>
      <c r="F118" s="78">
        <v>80</v>
      </c>
      <c r="G118" s="78">
        <v>670</v>
      </c>
      <c r="H118" s="78" t="s">
        <v>602</v>
      </c>
    </row>
    <row r="119" spans="1:8" ht="15" customHeight="1">
      <c r="A119" s="78" t="s">
        <v>335</v>
      </c>
      <c r="B119" s="78">
        <v>78</v>
      </c>
      <c r="C119" s="78">
        <v>50</v>
      </c>
      <c r="D119" s="78">
        <v>92</v>
      </c>
      <c r="E119" s="78">
        <v>91</v>
      </c>
      <c r="F119" s="78">
        <v>78</v>
      </c>
      <c r="G119" s="78">
        <v>430</v>
      </c>
      <c r="H119" s="78" t="s">
        <v>602</v>
      </c>
    </row>
    <row r="120" spans="1:8" ht="15" customHeight="1">
      <c r="A120" s="78" t="s">
        <v>500</v>
      </c>
      <c r="B120" s="78">
        <v>76</v>
      </c>
      <c r="C120" s="78">
        <v>42</v>
      </c>
      <c r="D120" s="78">
        <v>87</v>
      </c>
      <c r="E120" s="78">
        <v>85</v>
      </c>
      <c r="F120" s="78">
        <v>72</v>
      </c>
      <c r="G120" s="78">
        <v>890</v>
      </c>
      <c r="H120" s="78" t="s">
        <v>602</v>
      </c>
    </row>
    <row r="121" spans="1:8" ht="15" customHeight="1">
      <c r="A121" s="78" t="s">
        <v>775</v>
      </c>
      <c r="B121" s="78">
        <v>75</v>
      </c>
      <c r="C121" s="78">
        <v>43</v>
      </c>
      <c r="D121" s="78">
        <v>92</v>
      </c>
      <c r="E121" s="78">
        <v>79</v>
      </c>
      <c r="F121" s="78">
        <v>72</v>
      </c>
      <c r="G121" s="78">
        <v>380</v>
      </c>
      <c r="H121" s="78" t="s">
        <v>602</v>
      </c>
    </row>
    <row r="122" spans="1:8" ht="15" customHeight="1">
      <c r="A122" s="78" t="s">
        <v>683</v>
      </c>
      <c r="B122" s="78">
        <v>72</v>
      </c>
      <c r="C122" s="78">
        <v>30</v>
      </c>
      <c r="D122" s="78">
        <v>67</v>
      </c>
      <c r="E122" s="78">
        <v>77</v>
      </c>
      <c r="F122" s="78">
        <v>62</v>
      </c>
      <c r="G122" s="78">
        <v>310</v>
      </c>
      <c r="H122" s="78" t="s">
        <v>602</v>
      </c>
    </row>
    <row r="123" spans="1:8" ht="15" customHeight="1">
      <c r="A123" t="s">
        <v>336</v>
      </c>
      <c r="B123" s="95" t="s">
        <v>787</v>
      </c>
      <c r="C123" s="94" t="s">
        <v>787</v>
      </c>
      <c r="D123" s="94" t="s">
        <v>787</v>
      </c>
      <c r="E123" s="94" t="s">
        <v>787</v>
      </c>
      <c r="F123" s="94" t="s">
        <v>787</v>
      </c>
      <c r="G123" s="94" t="s">
        <v>787</v>
      </c>
      <c r="H123" s="94" t="s">
        <v>787</v>
      </c>
    </row>
    <row r="124" spans="1:8" ht="15" customHeight="1">
      <c r="A124" t="s">
        <v>499</v>
      </c>
      <c r="B124" s="78">
        <v>33</v>
      </c>
      <c r="C124" s="78">
        <v>37</v>
      </c>
      <c r="D124" s="78">
        <v>57</v>
      </c>
      <c r="E124" s="78">
        <v>48</v>
      </c>
      <c r="F124" s="78">
        <v>44</v>
      </c>
      <c r="G124" s="78">
        <v>905</v>
      </c>
      <c r="H124" s="78" t="s">
        <v>153</v>
      </c>
    </row>
    <row r="125" spans="1:8" ht="15" customHeight="1">
      <c r="A125" s="78" t="s">
        <v>691</v>
      </c>
      <c r="B125" s="78">
        <v>70</v>
      </c>
      <c r="C125" s="78">
        <v>35</v>
      </c>
      <c r="D125" s="78">
        <v>89</v>
      </c>
      <c r="E125" s="78">
        <v>87</v>
      </c>
      <c r="F125" s="78">
        <v>70</v>
      </c>
      <c r="G125" s="78">
        <v>1920</v>
      </c>
      <c r="H125" s="78" t="s">
        <v>602</v>
      </c>
    </row>
    <row r="126" spans="1:8" ht="15" customHeight="1">
      <c r="A126" t="s">
        <v>215</v>
      </c>
      <c r="B126" s="95" t="s">
        <v>787</v>
      </c>
      <c r="C126" s="94" t="s">
        <v>787</v>
      </c>
      <c r="D126" s="94" t="s">
        <v>787</v>
      </c>
      <c r="E126" s="94" t="s">
        <v>787</v>
      </c>
      <c r="F126" s="94" t="s">
        <v>787</v>
      </c>
      <c r="G126" s="94" t="s">
        <v>787</v>
      </c>
      <c r="H126" s="94" t="s">
        <v>787</v>
      </c>
    </row>
    <row r="127" spans="1:8" ht="15" customHeight="1">
      <c r="A127" t="s">
        <v>337</v>
      </c>
      <c r="B127" s="95" t="s">
        <v>787</v>
      </c>
      <c r="C127" s="94" t="s">
        <v>787</v>
      </c>
      <c r="D127" s="94" t="s">
        <v>787</v>
      </c>
      <c r="E127" s="94" t="s">
        <v>787</v>
      </c>
      <c r="F127" s="94" t="s">
        <v>787</v>
      </c>
      <c r="G127" s="94" t="s">
        <v>787</v>
      </c>
      <c r="H127" s="94" t="s">
        <v>787</v>
      </c>
    </row>
    <row r="128" spans="1:8" ht="15" customHeight="1">
      <c r="A128" s="78" t="s">
        <v>216</v>
      </c>
      <c r="B128" s="78">
        <v>59</v>
      </c>
      <c r="C128" s="78">
        <v>38</v>
      </c>
      <c r="D128" s="78">
        <v>65</v>
      </c>
      <c r="E128" s="78">
        <v>75</v>
      </c>
      <c r="F128" s="78">
        <v>59</v>
      </c>
      <c r="G128" s="78">
        <v>1175</v>
      </c>
      <c r="H128" s="78" t="s">
        <v>153</v>
      </c>
    </row>
    <row r="129" spans="1:8" ht="15" customHeight="1">
      <c r="A129" s="78" t="s">
        <v>338</v>
      </c>
      <c r="B129" s="78">
        <v>86</v>
      </c>
      <c r="C129" s="78">
        <v>51</v>
      </c>
      <c r="D129" s="78">
        <v>92</v>
      </c>
      <c r="E129" s="78">
        <v>90</v>
      </c>
      <c r="F129" s="78">
        <v>80</v>
      </c>
      <c r="G129" s="78">
        <v>5525</v>
      </c>
      <c r="H129" s="78" t="s">
        <v>602</v>
      </c>
    </row>
    <row r="130" spans="1:8" ht="15" customHeight="1">
      <c r="A130" t="s">
        <v>339</v>
      </c>
      <c r="B130" s="95" t="s">
        <v>787</v>
      </c>
      <c r="C130" s="94" t="s">
        <v>787</v>
      </c>
      <c r="D130" s="94" t="s">
        <v>787</v>
      </c>
      <c r="E130" s="94" t="s">
        <v>787</v>
      </c>
      <c r="F130" s="94" t="s">
        <v>787</v>
      </c>
      <c r="G130" s="94" t="s">
        <v>787</v>
      </c>
      <c r="H130" s="94" t="s">
        <v>787</v>
      </c>
    </row>
    <row r="131" spans="1:8" ht="15" customHeight="1">
      <c r="A131" t="s">
        <v>340</v>
      </c>
      <c r="B131" s="95" t="s">
        <v>787</v>
      </c>
      <c r="C131" s="94" t="s">
        <v>787</v>
      </c>
      <c r="D131" s="94" t="s">
        <v>787</v>
      </c>
      <c r="E131" s="94" t="s">
        <v>787</v>
      </c>
      <c r="F131" s="94" t="s">
        <v>787</v>
      </c>
      <c r="G131" s="94" t="s">
        <v>787</v>
      </c>
      <c r="H131" s="94" t="s">
        <v>787</v>
      </c>
    </row>
    <row r="132" spans="1:8" ht="15" customHeight="1">
      <c r="A132" t="s">
        <v>217</v>
      </c>
      <c r="B132" s="95" t="s">
        <v>787</v>
      </c>
      <c r="C132" s="94" t="s">
        <v>787</v>
      </c>
      <c r="D132" s="94" t="s">
        <v>787</v>
      </c>
      <c r="E132" s="94" t="s">
        <v>787</v>
      </c>
      <c r="F132" s="94" t="s">
        <v>787</v>
      </c>
      <c r="G132" s="94" t="s">
        <v>787</v>
      </c>
      <c r="H132" s="78" t="s">
        <v>153</v>
      </c>
    </row>
    <row r="133" spans="1:8" ht="15" customHeight="1">
      <c r="A133" t="s">
        <v>341</v>
      </c>
      <c r="B133" s="95" t="s">
        <v>787</v>
      </c>
      <c r="C133" s="94" t="s">
        <v>787</v>
      </c>
      <c r="D133" s="94" t="s">
        <v>787</v>
      </c>
      <c r="E133" s="94" t="s">
        <v>787</v>
      </c>
      <c r="F133" s="94" t="s">
        <v>787</v>
      </c>
      <c r="G133" s="94" t="s">
        <v>787</v>
      </c>
      <c r="H133" s="94" t="s">
        <v>787</v>
      </c>
    </row>
    <row r="134" spans="1:8" ht="15" customHeight="1">
      <c r="A134" t="s">
        <v>606</v>
      </c>
      <c r="B134" s="78">
        <v>72</v>
      </c>
      <c r="C134" s="78">
        <v>43</v>
      </c>
      <c r="D134" s="78">
        <v>92</v>
      </c>
      <c r="E134" s="78">
        <v>87</v>
      </c>
      <c r="F134" s="78">
        <v>73</v>
      </c>
      <c r="G134" s="78">
        <v>1770</v>
      </c>
      <c r="H134" s="78" t="s">
        <v>602</v>
      </c>
    </row>
    <row r="135" spans="1:8" ht="15" customHeight="1">
      <c r="A135" t="s">
        <v>342</v>
      </c>
      <c r="B135" s="95" t="s">
        <v>787</v>
      </c>
      <c r="C135" s="94" t="s">
        <v>787</v>
      </c>
      <c r="D135" s="94" t="s">
        <v>787</v>
      </c>
      <c r="E135" s="94" t="s">
        <v>787</v>
      </c>
      <c r="F135" s="94" t="s">
        <v>787</v>
      </c>
      <c r="G135" s="94" t="s">
        <v>787</v>
      </c>
      <c r="H135" s="94" t="s">
        <v>787</v>
      </c>
    </row>
    <row r="136" spans="1:8" ht="15" customHeight="1">
      <c r="A136" t="s">
        <v>343</v>
      </c>
      <c r="B136" s="95" t="s">
        <v>787</v>
      </c>
      <c r="C136" s="94" t="s">
        <v>787</v>
      </c>
      <c r="D136" s="94" t="s">
        <v>787</v>
      </c>
      <c r="E136" s="94" t="s">
        <v>787</v>
      </c>
      <c r="F136" s="94" t="s">
        <v>787</v>
      </c>
      <c r="G136" s="94" t="s">
        <v>787</v>
      </c>
      <c r="H136" s="94" t="s">
        <v>787</v>
      </c>
    </row>
    <row r="137" spans="1:8" ht="15" customHeight="1">
      <c r="A137" t="s">
        <v>344</v>
      </c>
      <c r="B137" s="95" t="s">
        <v>787</v>
      </c>
      <c r="C137" s="94" t="s">
        <v>787</v>
      </c>
      <c r="D137" s="94" t="s">
        <v>787</v>
      </c>
      <c r="E137" s="94" t="s">
        <v>787</v>
      </c>
      <c r="F137" s="94" t="s">
        <v>787</v>
      </c>
      <c r="G137" s="94" t="s">
        <v>787</v>
      </c>
      <c r="H137" s="94" t="s">
        <v>787</v>
      </c>
    </row>
    <row r="138" spans="1:8" ht="15" customHeight="1">
      <c r="A138" s="78" t="s">
        <v>756</v>
      </c>
      <c r="B138" s="78"/>
      <c r="C138" s="78"/>
      <c r="D138" s="78"/>
      <c r="E138" s="78"/>
      <c r="F138" s="78">
        <v>59</v>
      </c>
      <c r="G138" s="78">
        <v>80</v>
      </c>
      <c r="H138" s="78" t="s">
        <v>153</v>
      </c>
    </row>
    <row r="139" spans="1:8" ht="15" customHeight="1">
      <c r="A139" s="78" t="s">
        <v>219</v>
      </c>
      <c r="B139" s="78">
        <v>42</v>
      </c>
      <c r="C139" s="78">
        <v>14</v>
      </c>
      <c r="D139" s="78">
        <v>49</v>
      </c>
      <c r="E139" s="78">
        <v>57</v>
      </c>
      <c r="F139" s="78">
        <v>41</v>
      </c>
      <c r="G139" s="78">
        <v>1895</v>
      </c>
      <c r="H139" s="78" t="s">
        <v>153</v>
      </c>
    </row>
    <row r="140" spans="1:8" ht="15" customHeight="1">
      <c r="A140" t="s">
        <v>345</v>
      </c>
      <c r="B140" s="95" t="s">
        <v>787</v>
      </c>
      <c r="C140" s="94" t="s">
        <v>787</v>
      </c>
      <c r="D140" s="94" t="s">
        <v>787</v>
      </c>
      <c r="E140" s="94" t="s">
        <v>787</v>
      </c>
      <c r="F140" s="94" t="s">
        <v>787</v>
      </c>
      <c r="G140" s="94" t="s">
        <v>787</v>
      </c>
      <c r="H140" s="94" t="s">
        <v>787</v>
      </c>
    </row>
    <row r="141" spans="1:8" ht="15" customHeight="1">
      <c r="A141" t="s">
        <v>346</v>
      </c>
      <c r="B141" s="95" t="s">
        <v>787</v>
      </c>
      <c r="C141" s="94" t="s">
        <v>787</v>
      </c>
      <c r="D141" s="94" t="s">
        <v>787</v>
      </c>
      <c r="E141" s="94" t="s">
        <v>787</v>
      </c>
      <c r="F141" s="94" t="s">
        <v>787</v>
      </c>
      <c r="G141" s="94" t="s">
        <v>787</v>
      </c>
      <c r="H141" s="94" t="s">
        <v>787</v>
      </c>
    </row>
    <row r="142" spans="1:8" ht="15" customHeight="1">
      <c r="A142" s="78" t="s">
        <v>776</v>
      </c>
      <c r="B142" s="78">
        <v>78</v>
      </c>
      <c r="C142" s="78">
        <v>48</v>
      </c>
      <c r="D142" s="78">
        <v>92</v>
      </c>
      <c r="E142" s="78">
        <v>89</v>
      </c>
      <c r="F142" s="78">
        <v>77</v>
      </c>
      <c r="G142" s="78">
        <v>830</v>
      </c>
      <c r="H142" s="78" t="s">
        <v>602</v>
      </c>
    </row>
    <row r="143" spans="1:8" ht="15" customHeight="1">
      <c r="A143" s="78" t="s">
        <v>347</v>
      </c>
      <c r="B143" s="78">
        <v>77</v>
      </c>
      <c r="C143" s="78">
        <v>41</v>
      </c>
      <c r="D143" s="78">
        <v>95</v>
      </c>
      <c r="E143" s="78">
        <v>83</v>
      </c>
      <c r="F143" s="78">
        <v>74</v>
      </c>
      <c r="G143" s="78">
        <v>730</v>
      </c>
      <c r="H143" s="78" t="s">
        <v>602</v>
      </c>
    </row>
    <row r="144" spans="1:8" ht="15" customHeight="1">
      <c r="A144" s="78" t="s">
        <v>348</v>
      </c>
      <c r="B144" s="78">
        <v>90</v>
      </c>
      <c r="C144" s="78">
        <v>53</v>
      </c>
      <c r="D144" s="78">
        <v>93</v>
      </c>
      <c r="E144" s="78">
        <v>88</v>
      </c>
      <c r="F144" s="78">
        <v>81</v>
      </c>
      <c r="G144" s="78">
        <v>1245</v>
      </c>
      <c r="H144" s="78" t="s">
        <v>602</v>
      </c>
    </row>
    <row r="145" spans="1:8" ht="15" customHeight="1">
      <c r="A145" s="78" t="s">
        <v>349</v>
      </c>
      <c r="B145" s="78">
        <v>87</v>
      </c>
      <c r="C145" s="78">
        <v>55</v>
      </c>
      <c r="D145" s="78">
        <v>96</v>
      </c>
      <c r="E145" s="78">
        <v>85</v>
      </c>
      <c r="F145" s="78">
        <v>81</v>
      </c>
      <c r="G145" s="78">
        <v>5695</v>
      </c>
      <c r="H145" s="78" t="s">
        <v>602</v>
      </c>
    </row>
    <row r="146" spans="1:8" ht="15" customHeight="1">
      <c r="A146" s="78" t="s">
        <v>350</v>
      </c>
      <c r="B146" s="78">
        <v>79</v>
      </c>
      <c r="C146" s="78">
        <v>49</v>
      </c>
      <c r="D146" s="78">
        <v>91</v>
      </c>
      <c r="E146" s="78">
        <v>90</v>
      </c>
      <c r="F146" s="78">
        <v>78</v>
      </c>
      <c r="G146" s="78">
        <v>745</v>
      </c>
      <c r="H146" s="78" t="s">
        <v>602</v>
      </c>
    </row>
    <row r="147" spans="1:8" ht="15" customHeight="1">
      <c r="A147" s="78" t="s">
        <v>351</v>
      </c>
      <c r="B147" s="78">
        <v>80</v>
      </c>
      <c r="C147" s="78">
        <v>49</v>
      </c>
      <c r="D147" s="78">
        <v>98</v>
      </c>
      <c r="E147" s="78">
        <v>87</v>
      </c>
      <c r="F147" s="78">
        <v>79</v>
      </c>
      <c r="G147" s="78">
        <v>610</v>
      </c>
      <c r="H147" s="78" t="s">
        <v>602</v>
      </c>
    </row>
    <row r="148" spans="1:8" ht="15" customHeight="1">
      <c r="A148" s="78" t="s">
        <v>648</v>
      </c>
      <c r="B148" s="78">
        <v>60</v>
      </c>
      <c r="C148" s="78">
        <v>32</v>
      </c>
      <c r="D148" s="78">
        <v>90</v>
      </c>
      <c r="E148" s="78">
        <v>86</v>
      </c>
      <c r="F148" s="78">
        <v>67</v>
      </c>
      <c r="G148" s="78">
        <v>515</v>
      </c>
      <c r="H148" s="78" t="s">
        <v>602</v>
      </c>
    </row>
    <row r="149" spans="1:8" ht="15" customHeight="1">
      <c r="A149" s="78" t="s">
        <v>634</v>
      </c>
      <c r="B149" s="78">
        <v>66</v>
      </c>
      <c r="C149" s="78">
        <v>49</v>
      </c>
      <c r="D149" s="78">
        <v>96</v>
      </c>
      <c r="E149" s="78">
        <v>91</v>
      </c>
      <c r="F149" s="78">
        <v>75</v>
      </c>
      <c r="G149" s="78">
        <v>640</v>
      </c>
      <c r="H149" s="78" t="s">
        <v>602</v>
      </c>
    </row>
    <row r="150" spans="1:8" ht="15" customHeight="1">
      <c r="A150" s="78" t="s">
        <v>492</v>
      </c>
      <c r="B150" s="78">
        <v>42</v>
      </c>
      <c r="C150" s="78">
        <v>17</v>
      </c>
      <c r="D150" s="78">
        <v>61</v>
      </c>
      <c r="E150" s="78">
        <v>60</v>
      </c>
      <c r="F150" s="78">
        <v>45</v>
      </c>
      <c r="G150" s="78">
        <v>1105</v>
      </c>
      <c r="H150" s="78" t="s">
        <v>153</v>
      </c>
    </row>
    <row r="151" spans="1:8" ht="15" customHeight="1">
      <c r="A151" t="s">
        <v>352</v>
      </c>
      <c r="B151" s="95" t="s">
        <v>787</v>
      </c>
      <c r="C151" s="94" t="s">
        <v>787</v>
      </c>
      <c r="D151" s="94" t="s">
        <v>787</v>
      </c>
      <c r="E151" s="94" t="s">
        <v>787</v>
      </c>
      <c r="F151" s="94" t="s">
        <v>787</v>
      </c>
      <c r="G151" s="94" t="s">
        <v>787</v>
      </c>
      <c r="H151" s="94" t="s">
        <v>787</v>
      </c>
    </row>
    <row r="152" spans="1:8" ht="15" customHeight="1">
      <c r="A152" t="s">
        <v>353</v>
      </c>
      <c r="B152" s="95" t="s">
        <v>787</v>
      </c>
      <c r="C152" s="94" t="s">
        <v>787</v>
      </c>
      <c r="D152" s="94" t="s">
        <v>787</v>
      </c>
      <c r="E152" s="94" t="s">
        <v>787</v>
      </c>
      <c r="F152" s="94" t="s">
        <v>787</v>
      </c>
      <c r="G152" s="94" t="s">
        <v>787</v>
      </c>
      <c r="H152" s="94" t="s">
        <v>787</v>
      </c>
    </row>
    <row r="153" spans="1:8" ht="15" customHeight="1">
      <c r="A153" s="78" t="s">
        <v>690</v>
      </c>
      <c r="B153" s="78">
        <v>75</v>
      </c>
      <c r="C153" s="78">
        <v>48</v>
      </c>
      <c r="D153" s="78">
        <v>93</v>
      </c>
      <c r="E153" s="78">
        <v>90</v>
      </c>
      <c r="F153" s="78">
        <v>76</v>
      </c>
      <c r="G153" s="78">
        <v>1410</v>
      </c>
      <c r="H153" s="78" t="s">
        <v>602</v>
      </c>
    </row>
    <row r="154" spans="1:8" ht="15" customHeight="1">
      <c r="A154" s="78" t="s">
        <v>354</v>
      </c>
      <c r="B154" s="78">
        <v>81</v>
      </c>
      <c r="C154" s="78">
        <v>56</v>
      </c>
      <c r="D154" s="78">
        <v>85</v>
      </c>
      <c r="E154" s="78">
        <v>87</v>
      </c>
      <c r="F154" s="78">
        <v>77</v>
      </c>
      <c r="G154" s="78">
        <v>335</v>
      </c>
      <c r="H154" s="78" t="s">
        <v>602</v>
      </c>
    </row>
    <row r="155" spans="1:8" ht="15" customHeight="1">
      <c r="A155" s="78" t="s">
        <v>789</v>
      </c>
      <c r="B155" s="78">
        <v>83</v>
      </c>
      <c r="C155" s="78">
        <v>47</v>
      </c>
      <c r="D155" s="78">
        <v>91</v>
      </c>
      <c r="E155" s="78">
        <v>93</v>
      </c>
      <c r="F155" s="78">
        <v>78</v>
      </c>
      <c r="G155" s="78">
        <v>720</v>
      </c>
      <c r="H155" s="78" t="s">
        <v>602</v>
      </c>
    </row>
    <row r="156" spans="1:8" ht="15" customHeight="1">
      <c r="A156" s="78" t="s">
        <v>355</v>
      </c>
      <c r="B156" s="78">
        <v>74</v>
      </c>
      <c r="C156" s="78">
        <v>37</v>
      </c>
      <c r="D156" s="78">
        <v>90</v>
      </c>
      <c r="E156" s="78">
        <v>82</v>
      </c>
      <c r="F156" s="78">
        <v>71</v>
      </c>
      <c r="G156" s="78">
        <v>785</v>
      </c>
      <c r="H156" s="78" t="s">
        <v>602</v>
      </c>
    </row>
    <row r="157" spans="1:8" ht="15" customHeight="1">
      <c r="A157" t="s">
        <v>220</v>
      </c>
      <c r="B157" s="95" t="s">
        <v>787</v>
      </c>
      <c r="C157" s="94" t="s">
        <v>787</v>
      </c>
      <c r="D157" s="94" t="s">
        <v>787</v>
      </c>
      <c r="E157" s="94" t="s">
        <v>787</v>
      </c>
      <c r="F157" s="94" t="s">
        <v>787</v>
      </c>
      <c r="G157" s="94" t="s">
        <v>787</v>
      </c>
      <c r="H157" s="94" t="s">
        <v>787</v>
      </c>
    </row>
    <row r="158" spans="1:8" ht="15" customHeight="1">
      <c r="A158" s="78" t="s">
        <v>356</v>
      </c>
      <c r="B158" s="78">
        <v>72</v>
      </c>
      <c r="C158" s="78">
        <v>53</v>
      </c>
      <c r="D158" s="78">
        <v>94</v>
      </c>
      <c r="E158" s="78">
        <v>93</v>
      </c>
      <c r="F158" s="78">
        <v>78</v>
      </c>
      <c r="G158" s="78">
        <v>575</v>
      </c>
      <c r="H158" s="78" t="s">
        <v>602</v>
      </c>
    </row>
    <row r="159" spans="1:8" ht="15" customHeight="1">
      <c r="A159" s="78" t="s">
        <v>649</v>
      </c>
      <c r="B159" s="78">
        <v>72</v>
      </c>
      <c r="C159" s="78">
        <v>43</v>
      </c>
      <c r="D159" s="78">
        <v>95</v>
      </c>
      <c r="E159" s="78">
        <v>91</v>
      </c>
      <c r="F159" s="78">
        <v>75</v>
      </c>
      <c r="G159" s="78">
        <v>2005</v>
      </c>
      <c r="H159" s="78" t="s">
        <v>602</v>
      </c>
    </row>
    <row r="160" spans="1:8" ht="15" customHeight="1">
      <c r="A160" t="s">
        <v>534</v>
      </c>
      <c r="B160" s="95" t="s">
        <v>787</v>
      </c>
      <c r="C160" s="94" t="s">
        <v>787</v>
      </c>
      <c r="D160" s="94" t="s">
        <v>787</v>
      </c>
      <c r="E160" s="94" t="s">
        <v>787</v>
      </c>
      <c r="F160" s="94" t="s">
        <v>787</v>
      </c>
      <c r="G160" s="94" t="s">
        <v>787</v>
      </c>
      <c r="H160" s="94" t="s">
        <v>787</v>
      </c>
    </row>
    <row r="161" spans="1:8" ht="15" customHeight="1">
      <c r="A161" t="s">
        <v>357</v>
      </c>
      <c r="B161" s="95" t="s">
        <v>787</v>
      </c>
      <c r="C161" s="94" t="s">
        <v>787</v>
      </c>
      <c r="D161" s="94" t="s">
        <v>787</v>
      </c>
      <c r="E161" s="94" t="s">
        <v>787</v>
      </c>
      <c r="F161" s="94" t="s">
        <v>787</v>
      </c>
      <c r="G161" s="94" t="s">
        <v>787</v>
      </c>
      <c r="H161" s="94" t="s">
        <v>787</v>
      </c>
    </row>
    <row r="162" spans="1:8" ht="15" customHeight="1">
      <c r="A162" t="s">
        <v>358</v>
      </c>
      <c r="B162" s="95" t="s">
        <v>787</v>
      </c>
      <c r="C162" s="94" t="s">
        <v>787</v>
      </c>
      <c r="D162" s="94" t="s">
        <v>787</v>
      </c>
      <c r="E162" s="94" t="s">
        <v>787</v>
      </c>
      <c r="F162" s="94" t="s">
        <v>787</v>
      </c>
      <c r="G162" s="94" t="s">
        <v>787</v>
      </c>
      <c r="H162" s="94" t="s">
        <v>787</v>
      </c>
    </row>
    <row r="163" spans="1:8" ht="15" customHeight="1">
      <c r="A163" t="s">
        <v>496</v>
      </c>
      <c r="B163" s="95" t="s">
        <v>787</v>
      </c>
      <c r="C163" s="94" t="s">
        <v>787</v>
      </c>
      <c r="D163" s="94" t="s">
        <v>787</v>
      </c>
      <c r="E163" s="94" t="s">
        <v>787</v>
      </c>
      <c r="F163" s="94" t="s">
        <v>787</v>
      </c>
      <c r="G163" s="94" t="s">
        <v>787</v>
      </c>
      <c r="H163" s="94" t="s">
        <v>787</v>
      </c>
    </row>
    <row r="164" spans="1:8" ht="15" customHeight="1">
      <c r="A164" t="s">
        <v>359</v>
      </c>
      <c r="B164" s="95" t="s">
        <v>787</v>
      </c>
      <c r="C164" s="94" t="s">
        <v>787</v>
      </c>
      <c r="D164" s="94" t="s">
        <v>787</v>
      </c>
      <c r="E164" s="94" t="s">
        <v>787</v>
      </c>
      <c r="F164" s="94" t="s">
        <v>787</v>
      </c>
      <c r="G164" s="94" t="s">
        <v>787</v>
      </c>
      <c r="H164" s="94" t="s">
        <v>787</v>
      </c>
    </row>
    <row r="165" spans="1:8" ht="15" customHeight="1">
      <c r="A165" s="78" t="s">
        <v>777</v>
      </c>
      <c r="B165" s="78">
        <v>77</v>
      </c>
      <c r="C165" s="78">
        <v>65</v>
      </c>
      <c r="D165" s="78">
        <v>89</v>
      </c>
      <c r="E165" s="78">
        <v>97</v>
      </c>
      <c r="F165" s="78">
        <v>82</v>
      </c>
      <c r="G165" s="78">
        <v>440</v>
      </c>
      <c r="H165" s="78" t="s">
        <v>602</v>
      </c>
    </row>
    <row r="166" spans="1:8" ht="15" customHeight="1">
      <c r="A166" s="78" t="s">
        <v>360</v>
      </c>
      <c r="B166" s="78">
        <v>82</v>
      </c>
      <c r="C166" s="78">
        <v>50</v>
      </c>
      <c r="D166" s="78">
        <v>97</v>
      </c>
      <c r="E166" s="78">
        <v>94</v>
      </c>
      <c r="F166" s="78">
        <v>81</v>
      </c>
      <c r="G166" s="78">
        <v>790</v>
      </c>
      <c r="H166" s="78" t="s">
        <v>602</v>
      </c>
    </row>
    <row r="167" spans="1:8" ht="15" customHeight="1">
      <c r="A167" s="78" t="s">
        <v>608</v>
      </c>
      <c r="B167" s="78">
        <v>72</v>
      </c>
      <c r="C167" s="78">
        <v>42</v>
      </c>
      <c r="D167" s="78">
        <v>93</v>
      </c>
      <c r="E167" s="78">
        <v>90</v>
      </c>
      <c r="F167" s="78">
        <v>74</v>
      </c>
      <c r="G167" s="78">
        <v>11815</v>
      </c>
      <c r="H167" s="78" t="s">
        <v>602</v>
      </c>
    </row>
    <row r="168" spans="1:8" ht="15" customHeight="1">
      <c r="A168" s="78" t="s">
        <v>671</v>
      </c>
      <c r="B168" s="78">
        <v>77</v>
      </c>
      <c r="C168" s="78">
        <v>46</v>
      </c>
      <c r="D168" s="78">
        <v>90</v>
      </c>
      <c r="E168" s="78">
        <v>89</v>
      </c>
      <c r="F168" s="78">
        <v>76</v>
      </c>
      <c r="G168" s="78">
        <v>775</v>
      </c>
      <c r="H168" s="78" t="s">
        <v>602</v>
      </c>
    </row>
    <row r="169" spans="1:8" ht="15" customHeight="1">
      <c r="A169" s="78" t="s">
        <v>361</v>
      </c>
      <c r="B169" s="78">
        <v>76</v>
      </c>
      <c r="C169" s="78">
        <v>39</v>
      </c>
      <c r="D169" s="78">
        <v>98</v>
      </c>
      <c r="E169" s="78">
        <v>80</v>
      </c>
      <c r="F169" s="78">
        <v>73</v>
      </c>
      <c r="G169" s="78">
        <v>380</v>
      </c>
      <c r="H169" s="78" t="s">
        <v>602</v>
      </c>
    </row>
    <row r="170" spans="1:8" ht="15" customHeight="1">
      <c r="A170" t="s">
        <v>221</v>
      </c>
      <c r="B170" s="95" t="s">
        <v>787</v>
      </c>
      <c r="C170" s="94" t="s">
        <v>787</v>
      </c>
      <c r="D170" s="94" t="s">
        <v>787</v>
      </c>
      <c r="E170" s="94" t="s">
        <v>787</v>
      </c>
      <c r="F170" s="94" t="s">
        <v>787</v>
      </c>
      <c r="G170" s="94" t="s">
        <v>787</v>
      </c>
      <c r="H170" s="94" t="s">
        <v>787</v>
      </c>
    </row>
    <row r="171" spans="1:8" ht="15" customHeight="1">
      <c r="A171" s="78" t="s">
        <v>653</v>
      </c>
      <c r="B171" s="78">
        <v>95</v>
      </c>
      <c r="C171" s="78">
        <v>66</v>
      </c>
      <c r="D171" s="78">
        <v>95</v>
      </c>
      <c r="E171" s="78">
        <v>94</v>
      </c>
      <c r="F171" s="78">
        <v>87</v>
      </c>
      <c r="G171" s="78">
        <v>2085</v>
      </c>
      <c r="H171" s="78" t="s">
        <v>602</v>
      </c>
    </row>
    <row r="172" spans="1:8" ht="15" customHeight="1">
      <c r="A172" t="s">
        <v>535</v>
      </c>
      <c r="B172" s="95" t="s">
        <v>787</v>
      </c>
      <c r="C172" s="94" t="s">
        <v>787</v>
      </c>
      <c r="D172" s="94" t="s">
        <v>787</v>
      </c>
      <c r="E172" s="94" t="s">
        <v>787</v>
      </c>
      <c r="F172" s="94" t="s">
        <v>787</v>
      </c>
      <c r="G172" s="94" t="s">
        <v>787</v>
      </c>
      <c r="H172" s="94" t="s">
        <v>787</v>
      </c>
    </row>
    <row r="173" spans="1:8" ht="15" customHeight="1">
      <c r="A173" t="s">
        <v>222</v>
      </c>
      <c r="B173" s="95" t="s">
        <v>787</v>
      </c>
      <c r="C173" s="94" t="s">
        <v>787</v>
      </c>
      <c r="D173" s="94" t="s">
        <v>787</v>
      </c>
      <c r="E173" s="94" t="s">
        <v>787</v>
      </c>
      <c r="F173" s="94" t="s">
        <v>787</v>
      </c>
      <c r="G173" s="94" t="s">
        <v>787</v>
      </c>
      <c r="H173" s="94" t="s">
        <v>787</v>
      </c>
    </row>
    <row r="174" spans="1:8" ht="15" customHeight="1">
      <c r="A174" t="s">
        <v>549</v>
      </c>
      <c r="B174" s="78">
        <v>69</v>
      </c>
      <c r="C174" s="78">
        <v>34</v>
      </c>
      <c r="D174" s="78">
        <v>92</v>
      </c>
      <c r="E174" s="78">
        <v>95</v>
      </c>
      <c r="F174" s="78">
        <v>73</v>
      </c>
      <c r="G174" s="78">
        <v>485</v>
      </c>
      <c r="H174" s="78" t="s">
        <v>602</v>
      </c>
    </row>
    <row r="175" spans="1:8" ht="15" customHeight="1">
      <c r="A175" t="s">
        <v>362</v>
      </c>
      <c r="B175" s="95" t="s">
        <v>787</v>
      </c>
      <c r="C175" s="94" t="s">
        <v>787</v>
      </c>
      <c r="D175" s="94" t="s">
        <v>787</v>
      </c>
      <c r="E175" s="94" t="s">
        <v>787</v>
      </c>
      <c r="F175" s="94" t="s">
        <v>787</v>
      </c>
      <c r="G175" s="94" t="s">
        <v>787</v>
      </c>
      <c r="H175" s="94" t="s">
        <v>787</v>
      </c>
    </row>
    <row r="176" spans="1:8" ht="15" customHeight="1">
      <c r="A176" t="s">
        <v>536</v>
      </c>
      <c r="B176" s="95" t="s">
        <v>787</v>
      </c>
      <c r="C176" s="94" t="s">
        <v>787</v>
      </c>
      <c r="D176" s="94" t="s">
        <v>787</v>
      </c>
      <c r="E176" s="94" t="s">
        <v>787</v>
      </c>
      <c r="F176" s="94" t="s">
        <v>787</v>
      </c>
      <c r="G176" s="94" t="s">
        <v>787</v>
      </c>
      <c r="H176" s="94" t="s">
        <v>787</v>
      </c>
    </row>
    <row r="177" spans="1:8" ht="15" customHeight="1">
      <c r="A177" t="s">
        <v>363</v>
      </c>
      <c r="B177" s="95" t="s">
        <v>787</v>
      </c>
      <c r="C177" s="94" t="s">
        <v>787</v>
      </c>
      <c r="D177" s="94" t="s">
        <v>787</v>
      </c>
      <c r="E177" s="94" t="s">
        <v>787</v>
      </c>
      <c r="F177" s="94" t="s">
        <v>787</v>
      </c>
      <c r="G177" s="94" t="s">
        <v>787</v>
      </c>
      <c r="H177" s="94" t="s">
        <v>787</v>
      </c>
    </row>
    <row r="178" spans="1:8" ht="15" customHeight="1">
      <c r="A178" t="s">
        <v>223</v>
      </c>
      <c r="B178" s="78">
        <v>50</v>
      </c>
      <c r="C178" s="78">
        <v>30</v>
      </c>
      <c r="D178" s="78">
        <v>48</v>
      </c>
      <c r="E178" s="78">
        <v>70</v>
      </c>
      <c r="F178" s="78">
        <v>49</v>
      </c>
      <c r="G178" s="78">
        <v>620</v>
      </c>
      <c r="H178" s="78" t="s">
        <v>153</v>
      </c>
    </row>
    <row r="179" spans="1:8" ht="15" customHeight="1">
      <c r="A179" t="s">
        <v>224</v>
      </c>
      <c r="B179" s="95" t="s">
        <v>787</v>
      </c>
      <c r="C179" s="94" t="s">
        <v>787</v>
      </c>
      <c r="D179" s="94" t="s">
        <v>787</v>
      </c>
      <c r="E179" s="94" t="s">
        <v>787</v>
      </c>
      <c r="F179" s="94" t="s">
        <v>787</v>
      </c>
      <c r="G179" s="94" t="s">
        <v>787</v>
      </c>
      <c r="H179" s="94" t="s">
        <v>787</v>
      </c>
    </row>
    <row r="180" spans="1:8" ht="15" customHeight="1">
      <c r="A180" t="s">
        <v>364</v>
      </c>
      <c r="B180" s="95" t="s">
        <v>787</v>
      </c>
      <c r="C180" s="94" t="s">
        <v>787</v>
      </c>
      <c r="D180" s="94" t="s">
        <v>787</v>
      </c>
      <c r="E180" s="94" t="s">
        <v>787</v>
      </c>
      <c r="F180" s="94" t="s">
        <v>787</v>
      </c>
      <c r="G180" s="94" t="s">
        <v>787</v>
      </c>
      <c r="H180" s="94" t="s">
        <v>787</v>
      </c>
    </row>
    <row r="181" spans="1:8" ht="15" customHeight="1">
      <c r="A181" t="s">
        <v>365</v>
      </c>
      <c r="B181" s="95" t="s">
        <v>787</v>
      </c>
      <c r="C181" s="94" t="s">
        <v>787</v>
      </c>
      <c r="D181" s="94" t="s">
        <v>787</v>
      </c>
      <c r="E181" s="94" t="s">
        <v>787</v>
      </c>
      <c r="F181" s="94" t="s">
        <v>787</v>
      </c>
      <c r="G181" s="94" t="s">
        <v>787</v>
      </c>
      <c r="H181" s="94" t="s">
        <v>787</v>
      </c>
    </row>
    <row r="182" spans="1:8" ht="15" customHeight="1">
      <c r="A182" t="s">
        <v>366</v>
      </c>
      <c r="B182" s="95" t="s">
        <v>787</v>
      </c>
      <c r="C182" s="94" t="s">
        <v>787</v>
      </c>
      <c r="D182" s="94" t="s">
        <v>787</v>
      </c>
      <c r="E182" s="94" t="s">
        <v>787</v>
      </c>
      <c r="F182" s="94" t="s">
        <v>787</v>
      </c>
      <c r="G182" s="94" t="s">
        <v>787</v>
      </c>
      <c r="H182" s="94" t="s">
        <v>787</v>
      </c>
    </row>
    <row r="183" spans="1:8" ht="15" customHeight="1">
      <c r="A183" s="78" t="s">
        <v>225</v>
      </c>
      <c r="B183" s="95" t="s">
        <v>787</v>
      </c>
      <c r="C183" s="94" t="s">
        <v>787</v>
      </c>
      <c r="D183" s="94" t="s">
        <v>787</v>
      </c>
      <c r="E183" s="94" t="s">
        <v>787</v>
      </c>
      <c r="F183" s="94" t="s">
        <v>787</v>
      </c>
      <c r="G183" s="94" t="s">
        <v>787</v>
      </c>
      <c r="H183" s="78" t="s">
        <v>153</v>
      </c>
    </row>
    <row r="184" spans="1:8" ht="15" customHeight="1">
      <c r="A184" s="78" t="s">
        <v>495</v>
      </c>
      <c r="B184" s="78">
        <v>84</v>
      </c>
      <c r="C184" s="78">
        <v>54</v>
      </c>
      <c r="D184" s="78">
        <v>85</v>
      </c>
      <c r="E184" s="78">
        <v>85</v>
      </c>
      <c r="F184" s="78">
        <v>77</v>
      </c>
      <c r="G184" s="78">
        <v>2480</v>
      </c>
      <c r="H184" s="78" t="s">
        <v>602</v>
      </c>
    </row>
    <row r="185" spans="1:8" ht="15" customHeight="1">
      <c r="A185" t="s">
        <v>367</v>
      </c>
      <c r="B185" s="95" t="s">
        <v>787</v>
      </c>
      <c r="C185" s="94" t="s">
        <v>787</v>
      </c>
      <c r="D185" s="94" t="s">
        <v>787</v>
      </c>
      <c r="E185" s="94" t="s">
        <v>787</v>
      </c>
      <c r="F185" s="94" t="s">
        <v>787</v>
      </c>
      <c r="G185" s="94" t="s">
        <v>787</v>
      </c>
      <c r="H185" s="94" t="s">
        <v>787</v>
      </c>
    </row>
    <row r="186" spans="1:8" ht="15" customHeight="1">
      <c r="A186" t="s">
        <v>562</v>
      </c>
      <c r="B186" s="95" t="s">
        <v>787</v>
      </c>
      <c r="C186" s="94" t="s">
        <v>787</v>
      </c>
      <c r="D186" s="94" t="s">
        <v>787</v>
      </c>
      <c r="E186" s="94" t="s">
        <v>787</v>
      </c>
      <c r="F186" s="94" t="s">
        <v>787</v>
      </c>
      <c r="G186" s="94" t="s">
        <v>787</v>
      </c>
      <c r="H186" s="94" t="s">
        <v>787</v>
      </c>
    </row>
    <row r="187" spans="1:8" ht="15" customHeight="1">
      <c r="A187" t="s">
        <v>368</v>
      </c>
      <c r="B187" s="95" t="s">
        <v>787</v>
      </c>
      <c r="C187" s="94" t="s">
        <v>787</v>
      </c>
      <c r="D187" s="94" t="s">
        <v>787</v>
      </c>
      <c r="E187" s="94" t="s">
        <v>787</v>
      </c>
      <c r="F187" s="94" t="s">
        <v>787</v>
      </c>
      <c r="G187" s="94" t="s">
        <v>787</v>
      </c>
      <c r="H187" s="94" t="s">
        <v>787</v>
      </c>
    </row>
    <row r="188" spans="1:8" ht="15" customHeight="1">
      <c r="A188" s="78" t="s">
        <v>369</v>
      </c>
      <c r="B188" s="78">
        <v>77</v>
      </c>
      <c r="C188" s="78">
        <v>51</v>
      </c>
      <c r="D188" s="78">
        <v>98</v>
      </c>
      <c r="E188" s="78">
        <v>88</v>
      </c>
      <c r="F188" s="78">
        <v>78</v>
      </c>
      <c r="G188" s="78">
        <v>2120</v>
      </c>
      <c r="H188" s="78" t="s">
        <v>602</v>
      </c>
    </row>
    <row r="189" spans="1:8" ht="15" customHeight="1">
      <c r="A189" s="78" t="s">
        <v>226</v>
      </c>
      <c r="B189" s="78">
        <v>49</v>
      </c>
      <c r="C189" s="78">
        <v>26</v>
      </c>
      <c r="D189" s="78">
        <v>67</v>
      </c>
      <c r="E189" s="78">
        <v>67</v>
      </c>
      <c r="F189" s="78">
        <v>52</v>
      </c>
      <c r="G189" s="78">
        <v>280</v>
      </c>
      <c r="H189" s="78" t="s">
        <v>153</v>
      </c>
    </row>
    <row r="190" spans="1:8" ht="15" customHeight="1">
      <c r="A190" s="78" t="s">
        <v>371</v>
      </c>
      <c r="B190" s="78">
        <v>73</v>
      </c>
      <c r="C190" s="78">
        <v>52</v>
      </c>
      <c r="D190" s="78">
        <v>95</v>
      </c>
      <c r="E190" s="78">
        <v>88</v>
      </c>
      <c r="F190" s="78">
        <v>77</v>
      </c>
      <c r="G190" s="78">
        <v>3660</v>
      </c>
      <c r="H190" s="78" t="s">
        <v>602</v>
      </c>
    </row>
    <row r="191" spans="1:8" ht="15" customHeight="1">
      <c r="A191" s="78" t="s">
        <v>778</v>
      </c>
      <c r="B191" s="78">
        <v>84</v>
      </c>
      <c r="C191" s="78">
        <v>50</v>
      </c>
      <c r="D191" s="78">
        <v>94</v>
      </c>
      <c r="E191" s="78">
        <v>84</v>
      </c>
      <c r="F191" s="78">
        <v>78</v>
      </c>
      <c r="G191" s="78">
        <v>2770</v>
      </c>
      <c r="H191" s="78" t="s">
        <v>602</v>
      </c>
    </row>
    <row r="192" spans="1:8" ht="15" customHeight="1">
      <c r="A192" s="78" t="s">
        <v>374</v>
      </c>
      <c r="B192" s="78">
        <v>79</v>
      </c>
      <c r="C192" s="78">
        <v>47</v>
      </c>
      <c r="D192" s="78">
        <v>91</v>
      </c>
      <c r="E192" s="78">
        <v>85</v>
      </c>
      <c r="F192" s="78">
        <v>76</v>
      </c>
      <c r="G192" s="78">
        <v>975</v>
      </c>
      <c r="H192" s="78" t="s">
        <v>602</v>
      </c>
    </row>
    <row r="193" spans="1:8" ht="15" customHeight="1">
      <c r="A193" s="78" t="s">
        <v>227</v>
      </c>
      <c r="B193" s="78">
        <v>45</v>
      </c>
      <c r="C193" s="78">
        <v>19</v>
      </c>
      <c r="D193" s="78">
        <v>58</v>
      </c>
      <c r="E193" s="78">
        <v>66</v>
      </c>
      <c r="F193" s="78">
        <v>47</v>
      </c>
      <c r="G193" s="78">
        <v>615</v>
      </c>
      <c r="H193" s="78" t="s">
        <v>153</v>
      </c>
    </row>
    <row r="194" spans="1:8" ht="15" customHeight="1">
      <c r="A194" s="83" t="s">
        <v>228</v>
      </c>
      <c r="B194" s="78">
        <v>25</v>
      </c>
      <c r="C194" s="78">
        <v>26</v>
      </c>
      <c r="D194" s="78">
        <v>50</v>
      </c>
      <c r="E194" s="78">
        <v>61</v>
      </c>
      <c r="F194" s="78">
        <v>40</v>
      </c>
      <c r="G194" s="78">
        <v>505</v>
      </c>
      <c r="H194" s="78" t="s">
        <v>153</v>
      </c>
    </row>
    <row r="195" spans="1:8" ht="15" customHeight="1">
      <c r="A195" s="78" t="s">
        <v>647</v>
      </c>
      <c r="B195" s="78">
        <v>71</v>
      </c>
      <c r="C195" s="78">
        <v>56</v>
      </c>
      <c r="D195" s="78">
        <v>95</v>
      </c>
      <c r="E195" s="78">
        <v>89</v>
      </c>
      <c r="F195" s="78">
        <v>78</v>
      </c>
      <c r="G195" s="78">
        <v>340</v>
      </c>
      <c r="H195" s="78" t="s">
        <v>602</v>
      </c>
    </row>
    <row r="196" spans="1:8" ht="15" customHeight="1">
      <c r="A196" s="78" t="s">
        <v>663</v>
      </c>
      <c r="B196" s="78">
        <v>80</v>
      </c>
      <c r="C196" s="78">
        <v>55</v>
      </c>
      <c r="D196" s="78">
        <v>95</v>
      </c>
      <c r="E196" s="78">
        <v>87</v>
      </c>
      <c r="F196" s="78">
        <v>79</v>
      </c>
      <c r="G196" s="78">
        <v>790</v>
      </c>
      <c r="H196" s="78" t="s">
        <v>602</v>
      </c>
    </row>
    <row r="197" spans="1:8" ht="15" customHeight="1">
      <c r="A197" s="78" t="s">
        <v>645</v>
      </c>
      <c r="B197" s="78">
        <v>70</v>
      </c>
      <c r="C197" s="78">
        <v>45</v>
      </c>
      <c r="D197" s="78">
        <v>89</v>
      </c>
      <c r="E197" s="78">
        <v>96</v>
      </c>
      <c r="F197" s="78">
        <v>75</v>
      </c>
      <c r="G197" s="78">
        <v>710</v>
      </c>
      <c r="H197" s="78" t="s">
        <v>602</v>
      </c>
    </row>
    <row r="198" spans="1:8" ht="15" customHeight="1">
      <c r="A198" s="78" t="s">
        <v>550</v>
      </c>
      <c r="B198" s="78">
        <v>68</v>
      </c>
      <c r="C198" s="78">
        <v>39</v>
      </c>
      <c r="D198" s="78">
        <v>95</v>
      </c>
      <c r="E198" s="78">
        <v>84</v>
      </c>
      <c r="F198" s="78">
        <v>71</v>
      </c>
      <c r="G198" s="78">
        <v>500</v>
      </c>
      <c r="H198" s="78" t="s">
        <v>602</v>
      </c>
    </row>
    <row r="199" spans="1:8" ht="15" customHeight="1">
      <c r="A199" s="78" t="s">
        <v>376</v>
      </c>
      <c r="B199" s="78">
        <v>65</v>
      </c>
      <c r="C199" s="78">
        <v>40</v>
      </c>
      <c r="D199" s="78">
        <v>84</v>
      </c>
      <c r="E199" s="78">
        <v>66</v>
      </c>
      <c r="F199" s="78">
        <v>64</v>
      </c>
      <c r="G199" s="78">
        <v>525</v>
      </c>
      <c r="H199" s="78" t="s">
        <v>602</v>
      </c>
    </row>
    <row r="200" spans="1:8" ht="15" customHeight="1">
      <c r="A200" s="78" t="s">
        <v>229</v>
      </c>
      <c r="B200" s="78">
        <v>49</v>
      </c>
      <c r="C200" s="78">
        <v>16</v>
      </c>
      <c r="D200" s="78">
        <v>49</v>
      </c>
      <c r="E200" s="78">
        <v>59</v>
      </c>
      <c r="F200" s="78">
        <v>43</v>
      </c>
      <c r="G200" s="78">
        <v>795</v>
      </c>
      <c r="H200" s="78" t="s">
        <v>153</v>
      </c>
    </row>
    <row r="201" spans="1:8" ht="15" customHeight="1">
      <c r="A201" s="78" t="s">
        <v>230</v>
      </c>
      <c r="B201" s="78">
        <v>15</v>
      </c>
      <c r="C201" s="78">
        <v>22</v>
      </c>
      <c r="D201" s="78">
        <v>53</v>
      </c>
      <c r="E201" s="78">
        <v>64</v>
      </c>
      <c r="F201" s="78">
        <v>39</v>
      </c>
      <c r="G201" s="78">
        <v>445</v>
      </c>
      <c r="H201" s="78" t="s">
        <v>153</v>
      </c>
    </row>
    <row r="202" spans="1:8" ht="15" customHeight="1">
      <c r="A202" s="78" t="s">
        <v>712</v>
      </c>
      <c r="B202" s="78">
        <v>38</v>
      </c>
      <c r="C202" s="78">
        <v>22</v>
      </c>
      <c r="D202" s="78">
        <v>59</v>
      </c>
      <c r="E202" s="78">
        <v>55</v>
      </c>
      <c r="F202" s="78">
        <v>44</v>
      </c>
      <c r="G202" s="78">
        <v>750</v>
      </c>
      <c r="H202" s="78" t="s">
        <v>153</v>
      </c>
    </row>
    <row r="203" spans="1:8" ht="15" customHeight="1">
      <c r="A203" s="78" t="s">
        <v>618</v>
      </c>
      <c r="B203" s="78">
        <v>70</v>
      </c>
      <c r="C203" s="78">
        <v>41</v>
      </c>
      <c r="D203" s="78">
        <v>91</v>
      </c>
      <c r="E203" s="78">
        <v>89</v>
      </c>
      <c r="F203" s="78">
        <v>73</v>
      </c>
      <c r="G203" s="78">
        <v>2000</v>
      </c>
      <c r="H203" s="78" t="s">
        <v>602</v>
      </c>
    </row>
    <row r="204" spans="1:8" ht="15" customHeight="1">
      <c r="A204" s="78" t="s">
        <v>617</v>
      </c>
      <c r="B204" s="78">
        <v>70</v>
      </c>
      <c r="C204" s="78">
        <v>57</v>
      </c>
      <c r="D204" s="78">
        <v>93</v>
      </c>
      <c r="E204" s="78">
        <v>95</v>
      </c>
      <c r="F204" s="78">
        <v>79</v>
      </c>
      <c r="G204" s="78">
        <v>820</v>
      </c>
      <c r="H204" s="78" t="s">
        <v>602</v>
      </c>
    </row>
    <row r="205" spans="1:8" ht="15" customHeight="1">
      <c r="A205" s="78" t="s">
        <v>709</v>
      </c>
      <c r="B205" s="78">
        <v>84</v>
      </c>
      <c r="C205" s="78">
        <v>42</v>
      </c>
      <c r="D205" s="78">
        <v>73</v>
      </c>
      <c r="E205" s="78">
        <v>88</v>
      </c>
      <c r="F205" s="78">
        <v>72</v>
      </c>
      <c r="G205" s="78">
        <v>620</v>
      </c>
      <c r="H205" s="78" t="s">
        <v>602</v>
      </c>
    </row>
    <row r="206" spans="1:8" ht="15" customHeight="1">
      <c r="A206" s="78" t="s">
        <v>650</v>
      </c>
      <c r="B206" s="78">
        <v>89</v>
      </c>
      <c r="C206" s="78">
        <v>61</v>
      </c>
      <c r="D206" s="78">
        <v>94</v>
      </c>
      <c r="E206" s="78">
        <v>92</v>
      </c>
      <c r="F206" s="78">
        <v>84</v>
      </c>
      <c r="G206" s="78">
        <v>5650</v>
      </c>
      <c r="H206" s="78" t="s">
        <v>602</v>
      </c>
    </row>
    <row r="207" spans="1:8" ht="15" customHeight="1">
      <c r="A207" s="78" t="s">
        <v>644</v>
      </c>
      <c r="B207" s="78">
        <v>81</v>
      </c>
      <c r="C207" s="78">
        <v>50</v>
      </c>
      <c r="D207" s="78">
        <v>99</v>
      </c>
      <c r="E207" s="78">
        <v>90</v>
      </c>
      <c r="F207" s="78">
        <v>80</v>
      </c>
      <c r="G207" s="78">
        <v>895</v>
      </c>
      <c r="H207" s="78" t="s">
        <v>602</v>
      </c>
    </row>
    <row r="208" spans="1:8" ht="15" customHeight="1">
      <c r="A208" s="78" t="s">
        <v>382</v>
      </c>
      <c r="B208" s="78">
        <v>83</v>
      </c>
      <c r="C208" s="78">
        <v>50</v>
      </c>
      <c r="D208" s="78">
        <v>99</v>
      </c>
      <c r="E208" s="78">
        <v>91</v>
      </c>
      <c r="F208" s="78">
        <v>81</v>
      </c>
      <c r="G208" s="78">
        <v>695</v>
      </c>
      <c r="H208" s="78" t="s">
        <v>602</v>
      </c>
    </row>
    <row r="209" spans="1:8" ht="15" customHeight="1">
      <c r="A209" s="78" t="s">
        <v>234</v>
      </c>
      <c r="B209" s="78">
        <v>47</v>
      </c>
      <c r="C209" s="78">
        <v>11</v>
      </c>
      <c r="D209" s="78">
        <v>40</v>
      </c>
      <c r="E209" s="78">
        <v>66</v>
      </c>
      <c r="F209" s="78">
        <v>41</v>
      </c>
      <c r="G209" s="78">
        <v>555</v>
      </c>
      <c r="H209" s="78" t="s">
        <v>153</v>
      </c>
    </row>
    <row r="210" spans="1:8" ht="15" customHeight="1">
      <c r="A210" s="78" t="s">
        <v>235</v>
      </c>
      <c r="B210" s="78"/>
      <c r="C210" s="78"/>
      <c r="D210" s="78"/>
      <c r="E210" s="78"/>
      <c r="F210" s="78">
        <v>34</v>
      </c>
      <c r="G210" s="78">
        <v>100</v>
      </c>
      <c r="H210" s="78" t="s">
        <v>153</v>
      </c>
    </row>
    <row r="211" spans="1:8" ht="15" customHeight="1">
      <c r="A211" s="78" t="s">
        <v>237</v>
      </c>
      <c r="B211" s="78">
        <v>47</v>
      </c>
      <c r="C211" s="78">
        <v>27</v>
      </c>
      <c r="D211" s="78">
        <v>49</v>
      </c>
      <c r="E211" s="78">
        <v>63</v>
      </c>
      <c r="F211" s="78">
        <v>47</v>
      </c>
      <c r="G211" s="78">
        <v>1475</v>
      </c>
      <c r="H211" s="78" t="s">
        <v>153</v>
      </c>
    </row>
    <row r="212" spans="1:8" ht="15" customHeight="1">
      <c r="A212" s="78" t="s">
        <v>384</v>
      </c>
      <c r="B212" s="78">
        <v>74</v>
      </c>
      <c r="C212" s="78">
        <v>51</v>
      </c>
      <c r="D212" s="78">
        <v>94</v>
      </c>
      <c r="E212" s="78">
        <v>86</v>
      </c>
      <c r="F212" s="78">
        <v>76</v>
      </c>
      <c r="G212" s="78">
        <v>475</v>
      </c>
      <c r="H212" s="78" t="s">
        <v>602</v>
      </c>
    </row>
    <row r="213" spans="1:8" ht="15" customHeight="1">
      <c r="A213" t="s">
        <v>779</v>
      </c>
      <c r="B213" s="78">
        <v>71</v>
      </c>
      <c r="C213" s="78">
        <v>44</v>
      </c>
      <c r="D213" s="78">
        <v>97</v>
      </c>
      <c r="E213" s="78">
        <v>83</v>
      </c>
      <c r="F213" s="78">
        <v>74</v>
      </c>
      <c r="G213" s="78">
        <v>460</v>
      </c>
      <c r="H213" s="78" t="s">
        <v>602</v>
      </c>
    </row>
    <row r="214" spans="1:8" ht="15" customHeight="1">
      <c r="A214" s="78" t="s">
        <v>385</v>
      </c>
      <c r="B214" s="78">
        <v>78</v>
      </c>
      <c r="C214" s="78">
        <v>40</v>
      </c>
      <c r="D214" s="78">
        <v>96</v>
      </c>
      <c r="E214" s="78">
        <v>91</v>
      </c>
      <c r="F214" s="78">
        <v>76</v>
      </c>
      <c r="G214" s="78">
        <v>1030</v>
      </c>
      <c r="H214" s="78" t="s">
        <v>602</v>
      </c>
    </row>
    <row r="215" spans="1:8" ht="15" customHeight="1">
      <c r="A215" s="78" t="s">
        <v>667</v>
      </c>
      <c r="B215" s="78">
        <v>62</v>
      </c>
      <c r="C215" s="78">
        <v>45</v>
      </c>
      <c r="D215" s="78">
        <v>95</v>
      </c>
      <c r="E215" s="78">
        <v>93</v>
      </c>
      <c r="F215" s="78">
        <v>74</v>
      </c>
      <c r="G215" s="78">
        <v>905</v>
      </c>
      <c r="H215" s="78" t="s">
        <v>602</v>
      </c>
    </row>
    <row r="216" spans="1:8" ht="15" customHeight="1">
      <c r="A216" s="78" t="s">
        <v>387</v>
      </c>
      <c r="B216" s="78">
        <v>74</v>
      </c>
      <c r="C216" s="78">
        <v>51</v>
      </c>
      <c r="D216" s="78">
        <v>91</v>
      </c>
      <c r="E216" s="78">
        <v>92</v>
      </c>
      <c r="F216" s="78">
        <v>77</v>
      </c>
      <c r="G216" s="78">
        <v>1120</v>
      </c>
      <c r="H216" s="78" t="s">
        <v>602</v>
      </c>
    </row>
    <row r="217" spans="1:8" ht="15" customHeight="1">
      <c r="A217" s="78" t="s">
        <v>387</v>
      </c>
      <c r="B217" s="78">
        <v>69</v>
      </c>
      <c r="C217" s="78">
        <v>37</v>
      </c>
      <c r="D217" s="78">
        <v>98</v>
      </c>
      <c r="E217" s="78">
        <v>84</v>
      </c>
      <c r="F217" s="78">
        <v>72</v>
      </c>
      <c r="G217" s="78">
        <v>495</v>
      </c>
      <c r="H217" s="78" t="s">
        <v>602</v>
      </c>
    </row>
    <row r="218" spans="1:8" ht="15" customHeight="1">
      <c r="A218" s="78" t="s">
        <v>388</v>
      </c>
      <c r="B218" s="78">
        <v>83</v>
      </c>
      <c r="C218" s="78">
        <v>53</v>
      </c>
      <c r="D218" s="78">
        <v>94</v>
      </c>
      <c r="E218" s="78">
        <v>89</v>
      </c>
      <c r="F218" s="78">
        <v>80</v>
      </c>
      <c r="G218" s="78">
        <v>2420</v>
      </c>
      <c r="H218" s="78" t="s">
        <v>602</v>
      </c>
    </row>
    <row r="219" spans="1:8" ht="15" customHeight="1">
      <c r="A219" s="78" t="s">
        <v>672</v>
      </c>
      <c r="B219" s="78">
        <v>79</v>
      </c>
      <c r="C219" s="78">
        <v>45</v>
      </c>
      <c r="D219" s="78">
        <v>99</v>
      </c>
      <c r="E219" s="78">
        <v>96</v>
      </c>
      <c r="F219" s="78">
        <v>80</v>
      </c>
      <c r="G219" s="78">
        <v>665</v>
      </c>
      <c r="H219" s="78" t="s">
        <v>602</v>
      </c>
    </row>
    <row r="220" spans="1:8" ht="15" customHeight="1">
      <c r="A220" s="78" t="s">
        <v>494</v>
      </c>
      <c r="B220" s="78">
        <v>58</v>
      </c>
      <c r="C220" s="78">
        <v>25</v>
      </c>
      <c r="D220" s="78">
        <v>61</v>
      </c>
      <c r="E220" s="78">
        <v>73</v>
      </c>
      <c r="F220" s="78">
        <v>54</v>
      </c>
      <c r="G220" s="78">
        <v>655</v>
      </c>
      <c r="H220" s="78" t="s">
        <v>153</v>
      </c>
    </row>
    <row r="221" spans="1:8" ht="15" customHeight="1">
      <c r="A221" s="78" t="s">
        <v>611</v>
      </c>
      <c r="B221" s="78">
        <v>79</v>
      </c>
      <c r="C221" s="78">
        <v>51</v>
      </c>
      <c r="D221" s="78">
        <v>96</v>
      </c>
      <c r="E221" s="78">
        <v>93</v>
      </c>
      <c r="F221" s="78">
        <v>80</v>
      </c>
      <c r="G221" s="78">
        <v>1315</v>
      </c>
      <c r="H221" s="78" t="s">
        <v>602</v>
      </c>
    </row>
    <row r="222" spans="1:8" ht="15" customHeight="1">
      <c r="A222" s="78" t="s">
        <v>390</v>
      </c>
      <c r="B222" s="78">
        <v>79</v>
      </c>
      <c r="C222" s="78">
        <v>50</v>
      </c>
      <c r="D222" s="78">
        <v>97</v>
      </c>
      <c r="E222" s="78">
        <v>91</v>
      </c>
      <c r="F222" s="78">
        <v>79</v>
      </c>
      <c r="G222" s="78">
        <v>6490</v>
      </c>
      <c r="H222" s="78" t="s">
        <v>602</v>
      </c>
    </row>
    <row r="223" spans="1:8" ht="15" customHeight="1">
      <c r="A223" s="78" t="s">
        <v>780</v>
      </c>
      <c r="B223" s="78">
        <v>76</v>
      </c>
      <c r="C223" s="78">
        <v>41</v>
      </c>
      <c r="D223" s="78">
        <v>94</v>
      </c>
      <c r="E223" s="78">
        <v>90</v>
      </c>
      <c r="F223" s="78">
        <v>75</v>
      </c>
      <c r="G223" s="78">
        <v>2665</v>
      </c>
      <c r="H223" s="78" t="s">
        <v>602</v>
      </c>
    </row>
    <row r="224" spans="1:8" ht="15" customHeight="1">
      <c r="A224" s="78" t="s">
        <v>391</v>
      </c>
      <c r="B224" s="78">
        <v>78</v>
      </c>
      <c r="C224" s="78">
        <v>44</v>
      </c>
      <c r="D224" s="78">
        <v>92</v>
      </c>
      <c r="E224" s="78">
        <v>90</v>
      </c>
      <c r="F224" s="78">
        <v>76</v>
      </c>
      <c r="G224" s="78">
        <v>1600</v>
      </c>
      <c r="H224" s="78" t="s">
        <v>602</v>
      </c>
    </row>
    <row r="225" spans="1:8" ht="15" customHeight="1">
      <c r="A225" s="78" t="s">
        <v>620</v>
      </c>
      <c r="B225" s="78">
        <v>83</v>
      </c>
      <c r="C225" s="78">
        <v>56</v>
      </c>
      <c r="D225" s="78">
        <v>93</v>
      </c>
      <c r="E225" s="78">
        <v>95</v>
      </c>
      <c r="F225" s="78">
        <v>82</v>
      </c>
      <c r="G225" s="78">
        <v>720</v>
      </c>
      <c r="H225" s="78" t="s">
        <v>602</v>
      </c>
    </row>
    <row r="226" spans="1:8" ht="15" customHeight="1">
      <c r="A226" s="78" t="s">
        <v>239</v>
      </c>
      <c r="B226" s="78">
        <v>47</v>
      </c>
      <c r="C226" s="78">
        <v>21</v>
      </c>
      <c r="D226" s="78">
        <v>52</v>
      </c>
      <c r="E226" s="78">
        <v>59</v>
      </c>
      <c r="F226" s="78">
        <v>45</v>
      </c>
      <c r="G226" s="78">
        <v>700</v>
      </c>
      <c r="H226" s="78" t="s">
        <v>153</v>
      </c>
    </row>
    <row r="227" spans="1:8" ht="15" customHeight="1">
      <c r="A227" s="78" t="s">
        <v>684</v>
      </c>
      <c r="B227" s="78">
        <v>71</v>
      </c>
      <c r="C227" s="78">
        <v>45</v>
      </c>
      <c r="D227" s="78">
        <v>95</v>
      </c>
      <c r="E227" s="78">
        <v>91</v>
      </c>
      <c r="F227" s="78">
        <v>76</v>
      </c>
      <c r="G227" s="78">
        <v>615</v>
      </c>
      <c r="H227" s="78" t="s">
        <v>602</v>
      </c>
    </row>
    <row r="228" spans="1:8" ht="15" customHeight="1">
      <c r="A228" s="78" t="s">
        <v>698</v>
      </c>
      <c r="B228" s="78">
        <v>72</v>
      </c>
      <c r="C228" s="78">
        <v>31</v>
      </c>
      <c r="D228" s="78">
        <v>88</v>
      </c>
      <c r="E228" s="78">
        <v>81</v>
      </c>
      <c r="F228" s="78">
        <v>68</v>
      </c>
      <c r="G228" s="78">
        <v>765</v>
      </c>
      <c r="H228" s="78" t="s">
        <v>602</v>
      </c>
    </row>
    <row r="229" spans="1:8" ht="15" customHeight="1">
      <c r="A229" s="78" t="s">
        <v>696</v>
      </c>
      <c r="B229" s="78">
        <v>64</v>
      </c>
      <c r="C229" s="78">
        <v>34</v>
      </c>
      <c r="D229" s="78">
        <v>86</v>
      </c>
      <c r="E229" s="78">
        <v>78</v>
      </c>
      <c r="F229" s="78">
        <v>65</v>
      </c>
      <c r="G229" s="78">
        <v>570</v>
      </c>
      <c r="H229" s="78" t="s">
        <v>602</v>
      </c>
    </row>
    <row r="230" spans="1:8" ht="15" customHeight="1">
      <c r="A230" s="78" t="s">
        <v>704</v>
      </c>
      <c r="B230" s="78"/>
      <c r="C230" s="78"/>
      <c r="D230" s="78"/>
      <c r="E230" s="78"/>
      <c r="F230" s="78">
        <v>87</v>
      </c>
      <c r="G230" s="78">
        <v>135</v>
      </c>
      <c r="H230" s="78" t="s">
        <v>602</v>
      </c>
    </row>
    <row r="231" spans="1:8" ht="15" customHeight="1">
      <c r="A231" s="78" t="s">
        <v>394</v>
      </c>
      <c r="B231" s="78">
        <v>81</v>
      </c>
      <c r="C231" s="78">
        <v>47</v>
      </c>
      <c r="D231" s="78">
        <v>95</v>
      </c>
      <c r="E231" s="78">
        <v>89</v>
      </c>
      <c r="F231" s="78">
        <v>78</v>
      </c>
      <c r="G231" s="78">
        <v>3160</v>
      </c>
      <c r="H231" s="78" t="s">
        <v>602</v>
      </c>
    </row>
    <row r="232" spans="1:8" ht="15" customHeight="1">
      <c r="A232" s="78" t="s">
        <v>241</v>
      </c>
      <c r="B232" s="78">
        <v>47</v>
      </c>
      <c r="C232" s="78">
        <v>29</v>
      </c>
      <c r="D232" s="78">
        <v>45</v>
      </c>
      <c r="E232" s="78">
        <v>63</v>
      </c>
      <c r="F232" s="78">
        <v>46</v>
      </c>
      <c r="G232" s="78">
        <v>2070</v>
      </c>
      <c r="H232" s="78" t="s">
        <v>153</v>
      </c>
    </row>
    <row r="233" spans="1:8" ht="15" customHeight="1">
      <c r="A233" s="78" t="s">
        <v>397</v>
      </c>
      <c r="B233" s="78">
        <v>78</v>
      </c>
      <c r="C233" s="78">
        <v>53</v>
      </c>
      <c r="D233" s="78">
        <v>95</v>
      </c>
      <c r="E233" s="78">
        <v>91</v>
      </c>
      <c r="F233" s="78">
        <v>79</v>
      </c>
      <c r="G233" s="78">
        <v>2460</v>
      </c>
      <c r="H233" s="78" t="s">
        <v>602</v>
      </c>
    </row>
    <row r="234" spans="1:8" ht="15" customHeight="1">
      <c r="A234" s="78" t="s">
        <v>637</v>
      </c>
      <c r="B234" s="78">
        <v>79</v>
      </c>
      <c r="C234" s="78">
        <v>50</v>
      </c>
      <c r="D234" s="78">
        <v>94</v>
      </c>
      <c r="E234" s="78">
        <v>92</v>
      </c>
      <c r="F234" s="78">
        <v>79</v>
      </c>
      <c r="G234" s="78">
        <v>1900</v>
      </c>
      <c r="H234" s="78" t="s">
        <v>602</v>
      </c>
    </row>
    <row r="235" spans="1:8" ht="15" customHeight="1">
      <c r="A235" s="78" t="s">
        <v>643</v>
      </c>
      <c r="B235" s="78">
        <v>66</v>
      </c>
      <c r="C235" s="78">
        <v>37</v>
      </c>
      <c r="D235" s="78">
        <v>91</v>
      </c>
      <c r="E235" s="78">
        <v>90</v>
      </c>
      <c r="F235" s="78">
        <v>71</v>
      </c>
      <c r="G235" s="78">
        <v>2735</v>
      </c>
      <c r="H235" s="78" t="s">
        <v>602</v>
      </c>
    </row>
    <row r="236" spans="1:8" ht="15" customHeight="1">
      <c r="A236" s="78" t="s">
        <v>242</v>
      </c>
      <c r="B236" s="78">
        <v>49</v>
      </c>
      <c r="C236" s="78">
        <v>17</v>
      </c>
      <c r="D236" s="78">
        <v>53</v>
      </c>
      <c r="E236" s="78">
        <v>66</v>
      </c>
      <c r="F236" s="78">
        <v>46</v>
      </c>
      <c r="G236" s="78">
        <v>600</v>
      </c>
      <c r="H236" s="78" t="s">
        <v>153</v>
      </c>
    </row>
    <row r="237" spans="1:8" ht="15" customHeight="1">
      <c r="A237" s="78" t="s">
        <v>243</v>
      </c>
      <c r="B237" s="78">
        <v>48</v>
      </c>
      <c r="C237" s="78">
        <v>24</v>
      </c>
      <c r="D237" s="78">
        <v>67</v>
      </c>
      <c r="E237" s="78">
        <v>66</v>
      </c>
      <c r="F237" s="78">
        <v>51</v>
      </c>
      <c r="G237" s="78">
        <v>4045</v>
      </c>
      <c r="H237" s="78" t="s">
        <v>153</v>
      </c>
    </row>
    <row r="238" spans="1:8" ht="15" customHeight="1">
      <c r="A238" s="78" t="s">
        <v>641</v>
      </c>
      <c r="B238" s="78">
        <v>78</v>
      </c>
      <c r="C238" s="78">
        <v>47</v>
      </c>
      <c r="D238" s="78">
        <v>97</v>
      </c>
      <c r="E238" s="78">
        <v>96</v>
      </c>
      <c r="F238" s="78">
        <v>80</v>
      </c>
      <c r="G238" s="78">
        <v>525</v>
      </c>
      <c r="H238" s="78" t="s">
        <v>602</v>
      </c>
    </row>
    <row r="239" spans="1:8" ht="15" customHeight="1">
      <c r="A239" s="78" t="s">
        <v>401</v>
      </c>
      <c r="B239" s="78">
        <v>67</v>
      </c>
      <c r="C239" s="78">
        <v>47</v>
      </c>
      <c r="D239" s="78">
        <v>95</v>
      </c>
      <c r="E239" s="78">
        <v>84</v>
      </c>
      <c r="F239" s="78">
        <v>73</v>
      </c>
      <c r="G239" s="78">
        <v>360</v>
      </c>
      <c r="H239" s="78" t="s">
        <v>602</v>
      </c>
    </row>
    <row r="240" spans="1:8" ht="15" customHeight="1">
      <c r="A240" s="78" t="s">
        <v>633</v>
      </c>
      <c r="B240" s="78">
        <v>77</v>
      </c>
      <c r="C240" s="78">
        <v>57</v>
      </c>
      <c r="D240" s="78">
        <v>94</v>
      </c>
      <c r="E240" s="78">
        <v>91</v>
      </c>
      <c r="F240" s="78">
        <v>80</v>
      </c>
      <c r="G240" s="78">
        <v>1035</v>
      </c>
      <c r="H240" s="78" t="s">
        <v>602</v>
      </c>
    </row>
    <row r="241" spans="1:8" ht="15" customHeight="1">
      <c r="A241" s="78" t="s">
        <v>244</v>
      </c>
      <c r="B241" s="78">
        <v>53</v>
      </c>
      <c r="C241" s="78">
        <v>24</v>
      </c>
      <c r="D241" s="78">
        <v>60</v>
      </c>
      <c r="E241" s="78">
        <v>70</v>
      </c>
      <c r="F241" s="78">
        <v>52</v>
      </c>
      <c r="G241" s="78">
        <v>420</v>
      </c>
      <c r="H241" s="78" t="s">
        <v>153</v>
      </c>
    </row>
    <row r="242" spans="1:8" ht="15" customHeight="1">
      <c r="A242" s="78" t="s">
        <v>682</v>
      </c>
      <c r="B242" s="78">
        <v>81</v>
      </c>
      <c r="C242" s="78">
        <v>58</v>
      </c>
      <c r="D242" s="78">
        <v>95</v>
      </c>
      <c r="E242" s="78">
        <v>90</v>
      </c>
      <c r="F242" s="78">
        <v>81</v>
      </c>
      <c r="G242" s="78">
        <v>930</v>
      </c>
      <c r="H242" s="78" t="s">
        <v>602</v>
      </c>
    </row>
    <row r="243" spans="1:8" ht="15" customHeight="1">
      <c r="A243" s="78" t="s">
        <v>664</v>
      </c>
      <c r="B243" s="78">
        <v>66</v>
      </c>
      <c r="C243" s="78">
        <v>46</v>
      </c>
      <c r="D243" s="78">
        <v>91</v>
      </c>
      <c r="E243" s="78">
        <v>91</v>
      </c>
      <c r="F243" s="78">
        <v>74</v>
      </c>
      <c r="G243" s="78">
        <v>540</v>
      </c>
      <c r="H243" s="78" t="s">
        <v>602</v>
      </c>
    </row>
    <row r="244" spans="1:8" ht="15" customHeight="1">
      <c r="A244" s="78" t="s">
        <v>245</v>
      </c>
      <c r="B244" s="78">
        <v>54</v>
      </c>
      <c r="C244" s="78">
        <v>33</v>
      </c>
      <c r="D244" s="78">
        <v>65</v>
      </c>
      <c r="E244" s="78">
        <v>69</v>
      </c>
      <c r="F244" s="78">
        <v>55</v>
      </c>
      <c r="G244" s="78">
        <v>2150</v>
      </c>
      <c r="H244" s="78" t="s">
        <v>153</v>
      </c>
    </row>
    <row r="245" spans="1:8" ht="15" customHeight="1">
      <c r="A245" s="78" t="s">
        <v>701</v>
      </c>
      <c r="B245" s="78"/>
      <c r="C245" s="78"/>
      <c r="D245" s="78"/>
      <c r="E245" s="78"/>
      <c r="F245" s="78">
        <v>61</v>
      </c>
      <c r="G245" s="78">
        <v>180</v>
      </c>
      <c r="H245" s="78" t="s">
        <v>153</v>
      </c>
    </row>
    <row r="246" spans="1:8" ht="15" customHeight="1">
      <c r="A246" s="78" t="s">
        <v>702</v>
      </c>
      <c r="B246" s="78"/>
      <c r="C246" s="78"/>
      <c r="D246" s="78"/>
      <c r="E246" s="78"/>
      <c r="F246" s="78">
        <v>74</v>
      </c>
      <c r="G246" s="78">
        <v>155</v>
      </c>
      <c r="H246" s="78" t="s">
        <v>153</v>
      </c>
    </row>
    <row r="247" spans="1:8" ht="15" customHeight="1">
      <c r="A247" s="83" t="s">
        <v>490</v>
      </c>
      <c r="B247" s="78">
        <v>47</v>
      </c>
      <c r="C247" s="78">
        <v>19</v>
      </c>
      <c r="D247" s="78">
        <v>36</v>
      </c>
      <c r="E247" s="78">
        <v>67</v>
      </c>
      <c r="F247" s="78">
        <v>42</v>
      </c>
      <c r="G247" s="78">
        <v>855</v>
      </c>
      <c r="H247" s="78" t="s">
        <v>153</v>
      </c>
    </row>
    <row r="248" spans="1:8" ht="15" customHeight="1">
      <c r="A248" s="78" t="s">
        <v>680</v>
      </c>
      <c r="B248" s="78">
        <v>68</v>
      </c>
      <c r="C248" s="78">
        <v>28</v>
      </c>
      <c r="D248" s="78">
        <v>90</v>
      </c>
      <c r="E248" s="78">
        <v>86</v>
      </c>
      <c r="F248" s="78">
        <v>68</v>
      </c>
      <c r="G248" s="78">
        <v>290</v>
      </c>
      <c r="H248" s="78" t="s">
        <v>602</v>
      </c>
    </row>
    <row r="249" spans="1:8" ht="15" customHeight="1">
      <c r="A249" s="78" t="s">
        <v>675</v>
      </c>
      <c r="B249" s="78">
        <v>84</v>
      </c>
      <c r="C249" s="78">
        <v>57</v>
      </c>
      <c r="D249" s="78">
        <v>98</v>
      </c>
      <c r="E249" s="78">
        <v>89</v>
      </c>
      <c r="F249" s="78">
        <v>82</v>
      </c>
      <c r="G249" s="78">
        <v>1005</v>
      </c>
      <c r="H249" s="78" t="s">
        <v>602</v>
      </c>
    </row>
    <row r="250" spans="1:8" ht="15" customHeight="1">
      <c r="A250" s="78" t="s">
        <v>246</v>
      </c>
      <c r="B250" s="78">
        <v>47</v>
      </c>
      <c r="C250" s="78">
        <v>8</v>
      </c>
      <c r="D250" s="78">
        <v>57</v>
      </c>
      <c r="E250" s="78">
        <v>57</v>
      </c>
      <c r="F250" s="78">
        <v>42</v>
      </c>
      <c r="G250" s="78">
        <v>350</v>
      </c>
      <c r="H250" s="78" t="s">
        <v>153</v>
      </c>
    </row>
    <row r="251" spans="1:8" ht="15" customHeight="1">
      <c r="A251" s="78" t="s">
        <v>247</v>
      </c>
      <c r="B251" s="78">
        <v>41</v>
      </c>
      <c r="C251" s="78">
        <v>37</v>
      </c>
      <c r="D251" s="78">
        <v>67</v>
      </c>
      <c r="E251" s="78">
        <v>66</v>
      </c>
      <c r="F251" s="78">
        <v>53</v>
      </c>
      <c r="G251" s="78">
        <v>2520</v>
      </c>
      <c r="H251" s="78" t="s">
        <v>153</v>
      </c>
    </row>
    <row r="252" spans="1:8" ht="15" customHeight="1">
      <c r="A252" s="78" t="s">
        <v>616</v>
      </c>
      <c r="B252" s="78">
        <v>68</v>
      </c>
      <c r="C252" s="78">
        <v>47</v>
      </c>
      <c r="D252" s="78">
        <v>94</v>
      </c>
      <c r="E252" s="78">
        <v>91</v>
      </c>
      <c r="F252" s="78">
        <v>75</v>
      </c>
      <c r="G252" s="78">
        <v>1710</v>
      </c>
      <c r="H252" s="78" t="s">
        <v>602</v>
      </c>
    </row>
    <row r="253" spans="1:8" ht="15" customHeight="1">
      <c r="A253" s="78" t="s">
        <v>408</v>
      </c>
      <c r="B253" s="78">
        <v>83</v>
      </c>
      <c r="C253" s="78">
        <v>44</v>
      </c>
      <c r="D253" s="78">
        <v>97</v>
      </c>
      <c r="E253" s="78">
        <v>87</v>
      </c>
      <c r="F253" s="78">
        <v>78</v>
      </c>
      <c r="G253" s="78">
        <v>580</v>
      </c>
      <c r="H253" s="78" t="s">
        <v>602</v>
      </c>
    </row>
    <row r="254" spans="1:8" ht="15" customHeight="1">
      <c r="A254" s="78" t="s">
        <v>409</v>
      </c>
      <c r="B254" s="78">
        <v>84</v>
      </c>
      <c r="C254" s="78">
        <v>64</v>
      </c>
      <c r="D254" s="78">
        <v>99</v>
      </c>
      <c r="E254" s="78">
        <v>77</v>
      </c>
      <c r="F254" s="78">
        <v>81</v>
      </c>
      <c r="G254" s="78">
        <v>1450</v>
      </c>
      <c r="H254" s="78" t="s">
        <v>602</v>
      </c>
    </row>
    <row r="255" spans="1:8" ht="15" customHeight="1">
      <c r="A255" s="78" t="s">
        <v>249</v>
      </c>
      <c r="B255" s="78">
        <v>33</v>
      </c>
      <c r="C255" s="78">
        <v>37</v>
      </c>
      <c r="D255" s="78">
        <v>57</v>
      </c>
      <c r="E255" s="78">
        <v>48</v>
      </c>
      <c r="F255" s="78">
        <v>44</v>
      </c>
      <c r="G255" s="78">
        <v>905</v>
      </c>
      <c r="H255" s="78" t="s">
        <v>153</v>
      </c>
    </row>
    <row r="256" spans="1:8" ht="15" customHeight="1">
      <c r="A256" s="78" t="s">
        <v>250</v>
      </c>
      <c r="B256" s="78">
        <v>41</v>
      </c>
      <c r="C256" s="78">
        <v>17</v>
      </c>
      <c r="D256" s="78">
        <v>60</v>
      </c>
      <c r="E256" s="78">
        <v>54</v>
      </c>
      <c r="F256" s="78">
        <v>43</v>
      </c>
      <c r="G256" s="78">
        <v>615</v>
      </c>
      <c r="H256" s="78" t="s">
        <v>153</v>
      </c>
    </row>
    <row r="257" spans="1:8" ht="15" customHeight="1">
      <c r="A257" s="78" t="s">
        <v>410</v>
      </c>
      <c r="B257" s="78">
        <v>85</v>
      </c>
      <c r="C257" s="78">
        <v>54</v>
      </c>
      <c r="D257" s="78">
        <v>96</v>
      </c>
      <c r="E257" s="78">
        <v>90</v>
      </c>
      <c r="F257" s="78">
        <v>81</v>
      </c>
      <c r="G257" s="78">
        <v>1295</v>
      </c>
      <c r="H257" s="78" t="s">
        <v>602</v>
      </c>
    </row>
    <row r="258" spans="1:8" ht="15" customHeight="1">
      <c r="A258" s="78" t="s">
        <v>411</v>
      </c>
      <c r="B258" s="78">
        <v>75</v>
      </c>
      <c r="C258" s="78">
        <v>40</v>
      </c>
      <c r="D258" s="78">
        <v>94</v>
      </c>
      <c r="E258" s="78">
        <v>86</v>
      </c>
      <c r="F258" s="78">
        <v>73</v>
      </c>
      <c r="G258" s="78">
        <v>1755</v>
      </c>
      <c r="H258" s="78" t="s">
        <v>602</v>
      </c>
    </row>
    <row r="259" spans="1:8" ht="15" customHeight="1">
      <c r="A259" s="78" t="s">
        <v>412</v>
      </c>
      <c r="B259" s="78">
        <v>79</v>
      </c>
      <c r="C259" s="78">
        <v>43</v>
      </c>
      <c r="D259" s="78">
        <v>91</v>
      </c>
      <c r="E259" s="78">
        <v>92</v>
      </c>
      <c r="F259" s="78">
        <v>76</v>
      </c>
      <c r="G259" s="78">
        <v>1385</v>
      </c>
      <c r="H259" s="78" t="s">
        <v>602</v>
      </c>
    </row>
    <row r="260" spans="1:8" ht="15" customHeight="1">
      <c r="A260" s="78" t="s">
        <v>413</v>
      </c>
      <c r="B260" s="78">
        <v>68</v>
      </c>
      <c r="C260" s="78">
        <v>31</v>
      </c>
      <c r="D260" s="78">
        <v>79</v>
      </c>
      <c r="E260" s="78">
        <v>90</v>
      </c>
      <c r="F260" s="78">
        <v>67</v>
      </c>
      <c r="G260" s="78">
        <v>770</v>
      </c>
      <c r="H260" s="78" t="s">
        <v>602</v>
      </c>
    </row>
    <row r="261" spans="1:8" ht="15" customHeight="1">
      <c r="A261" s="78" t="s">
        <v>252</v>
      </c>
      <c r="B261" s="78">
        <v>49</v>
      </c>
      <c r="C261" s="78">
        <v>15</v>
      </c>
      <c r="D261" s="78">
        <v>62</v>
      </c>
      <c r="E261" s="78">
        <v>71</v>
      </c>
      <c r="F261" s="78">
        <v>49</v>
      </c>
      <c r="G261" s="78">
        <v>645</v>
      </c>
      <c r="H261" s="78" t="s">
        <v>153</v>
      </c>
    </row>
    <row r="262" spans="1:8" ht="15" customHeight="1">
      <c r="A262" s="78" t="s">
        <v>414</v>
      </c>
      <c r="B262" s="78">
        <v>80</v>
      </c>
      <c r="C262" s="78">
        <v>51</v>
      </c>
      <c r="D262" s="78">
        <v>95</v>
      </c>
      <c r="E262" s="78">
        <v>88</v>
      </c>
      <c r="F262" s="78">
        <v>79</v>
      </c>
      <c r="G262" s="78">
        <v>12110</v>
      </c>
      <c r="H262" s="78" t="s">
        <v>602</v>
      </c>
    </row>
    <row r="263" spans="1:8" ht="15" customHeight="1">
      <c r="A263" s="78" t="s">
        <v>415</v>
      </c>
      <c r="B263" s="78">
        <v>85</v>
      </c>
      <c r="C263" s="78">
        <v>54</v>
      </c>
      <c r="D263" s="78">
        <v>96</v>
      </c>
      <c r="E263" s="78">
        <v>90</v>
      </c>
      <c r="F263" s="78">
        <v>81</v>
      </c>
      <c r="G263" s="78">
        <v>1295</v>
      </c>
      <c r="H263" s="78" t="s">
        <v>602</v>
      </c>
    </row>
    <row r="264" spans="1:8" ht="15" customHeight="1">
      <c r="A264" s="78" t="s">
        <v>417</v>
      </c>
      <c r="B264" s="78">
        <v>77</v>
      </c>
      <c r="C264" s="78">
        <v>45</v>
      </c>
      <c r="D264" s="78">
        <v>86</v>
      </c>
      <c r="E264" s="78">
        <v>84</v>
      </c>
      <c r="F264" s="78">
        <v>73</v>
      </c>
      <c r="G264" s="78">
        <v>420</v>
      </c>
      <c r="H264" s="78" t="s">
        <v>602</v>
      </c>
    </row>
    <row r="265" spans="1:8" ht="15" customHeight="1">
      <c r="A265" s="78" t="s">
        <v>257</v>
      </c>
      <c r="B265" s="78"/>
      <c r="C265" s="78"/>
      <c r="D265" s="78"/>
      <c r="E265" s="78"/>
      <c r="F265" s="78"/>
      <c r="G265" s="78"/>
      <c r="H265" s="78" t="s">
        <v>153</v>
      </c>
    </row>
    <row r="266" spans="1:8" ht="15" customHeight="1">
      <c r="A266" s="78" t="s">
        <v>603</v>
      </c>
      <c r="B266" s="78">
        <v>75</v>
      </c>
      <c r="C266" s="78">
        <v>35</v>
      </c>
      <c r="D266" s="78">
        <v>94</v>
      </c>
      <c r="E266" s="78">
        <v>87</v>
      </c>
      <c r="F266" s="78">
        <v>73</v>
      </c>
      <c r="G266" s="78">
        <v>1410</v>
      </c>
      <c r="H266" s="78" t="s">
        <v>602</v>
      </c>
    </row>
    <row r="267" spans="1:8" ht="15" customHeight="1">
      <c r="A267" s="78" t="s">
        <v>612</v>
      </c>
      <c r="B267" s="78">
        <v>67</v>
      </c>
      <c r="C267" s="78">
        <v>33</v>
      </c>
      <c r="D267" s="78">
        <v>93</v>
      </c>
      <c r="E267" s="78">
        <v>89</v>
      </c>
      <c r="F267" s="78">
        <v>71</v>
      </c>
      <c r="G267" s="78">
        <v>4125</v>
      </c>
      <c r="H267" s="78" t="s">
        <v>602</v>
      </c>
    </row>
    <row r="268" spans="1:8" ht="15" customHeight="1">
      <c r="A268" s="78" t="s">
        <v>610</v>
      </c>
      <c r="B268" s="78">
        <v>87</v>
      </c>
      <c r="C268" s="78">
        <v>58</v>
      </c>
      <c r="D268" s="78">
        <v>98</v>
      </c>
      <c r="E268" s="78">
        <v>94</v>
      </c>
      <c r="F268" s="78">
        <v>84</v>
      </c>
      <c r="G268" s="78">
        <v>5050</v>
      </c>
      <c r="H268" s="78" t="s">
        <v>602</v>
      </c>
    </row>
    <row r="269" spans="1:8" ht="15" customHeight="1">
      <c r="A269" s="78" t="s">
        <v>423</v>
      </c>
      <c r="B269" s="78">
        <v>71</v>
      </c>
      <c r="C269" s="78">
        <v>49</v>
      </c>
      <c r="D269" s="78">
        <v>89</v>
      </c>
      <c r="E269" s="78">
        <v>86</v>
      </c>
      <c r="F269" s="78">
        <v>74</v>
      </c>
      <c r="G269" s="78">
        <v>1155</v>
      </c>
      <c r="H269" s="78" t="s">
        <v>602</v>
      </c>
    </row>
    <row r="270" spans="1:8" ht="15" customHeight="1">
      <c r="A270" s="78" t="s">
        <v>627</v>
      </c>
      <c r="B270" s="78">
        <v>74</v>
      </c>
      <c r="C270" s="78">
        <v>52</v>
      </c>
      <c r="D270" s="78">
        <v>93</v>
      </c>
      <c r="E270" s="78">
        <v>91</v>
      </c>
      <c r="F270" s="78">
        <v>77</v>
      </c>
      <c r="G270" s="78">
        <v>800</v>
      </c>
      <c r="H270" s="78" t="s">
        <v>602</v>
      </c>
    </row>
    <row r="271" spans="1:8" ht="15" customHeight="1">
      <c r="A271" s="78" t="s">
        <v>424</v>
      </c>
      <c r="B271" s="78">
        <v>67</v>
      </c>
      <c r="C271" s="78">
        <v>33</v>
      </c>
      <c r="D271" s="78">
        <v>90</v>
      </c>
      <c r="E271" s="78">
        <v>78</v>
      </c>
      <c r="F271" s="78">
        <v>67</v>
      </c>
      <c r="G271" s="78">
        <v>530</v>
      </c>
      <c r="H271" s="78" t="s">
        <v>602</v>
      </c>
    </row>
    <row r="272" spans="1:8" ht="15" customHeight="1">
      <c r="A272" s="78" t="s">
        <v>782</v>
      </c>
      <c r="B272" s="78">
        <v>62</v>
      </c>
      <c r="C272" s="78">
        <v>35</v>
      </c>
      <c r="D272" s="78">
        <v>96</v>
      </c>
      <c r="E272" s="78">
        <v>88</v>
      </c>
      <c r="F272" s="78">
        <v>70</v>
      </c>
      <c r="G272" s="78">
        <v>965</v>
      </c>
      <c r="H272" s="78" t="s">
        <v>602</v>
      </c>
    </row>
    <row r="273" spans="1:8" ht="15" customHeight="1">
      <c r="A273" s="78" t="s">
        <v>425</v>
      </c>
      <c r="B273" s="78">
        <v>75</v>
      </c>
      <c r="C273" s="78">
        <v>41</v>
      </c>
      <c r="D273" s="78">
        <v>96</v>
      </c>
      <c r="E273" s="78">
        <v>86</v>
      </c>
      <c r="F273" s="78">
        <v>74</v>
      </c>
      <c r="G273" s="78">
        <v>1620</v>
      </c>
      <c r="H273" s="78" t="s">
        <v>602</v>
      </c>
    </row>
    <row r="274" spans="1:8" ht="15" customHeight="1">
      <c r="A274" s="78" t="s">
        <v>662</v>
      </c>
      <c r="B274" s="78">
        <v>82</v>
      </c>
      <c r="C274" s="78">
        <v>51</v>
      </c>
      <c r="D274" s="78">
        <v>96</v>
      </c>
      <c r="E274" s="78">
        <v>91</v>
      </c>
      <c r="F274" s="78">
        <v>80</v>
      </c>
      <c r="G274" s="78">
        <v>7030</v>
      </c>
      <c r="H274" s="78" t="s">
        <v>602</v>
      </c>
    </row>
    <row r="275" spans="1:8" ht="15" customHeight="1">
      <c r="A275" s="78" t="s">
        <v>614</v>
      </c>
      <c r="B275" s="78">
        <v>71</v>
      </c>
      <c r="C275" s="78">
        <v>39</v>
      </c>
      <c r="D275" s="78">
        <v>92</v>
      </c>
      <c r="E275" s="78">
        <v>92</v>
      </c>
      <c r="F275" s="78">
        <v>73</v>
      </c>
      <c r="G275" s="78">
        <v>1000</v>
      </c>
      <c r="H275" s="78" t="s">
        <v>602</v>
      </c>
    </row>
    <row r="276" spans="1:8" ht="15" customHeight="1">
      <c r="A276" s="78" t="s">
        <v>259</v>
      </c>
      <c r="B276" s="78">
        <v>54</v>
      </c>
      <c r="C276" s="78">
        <v>37</v>
      </c>
      <c r="D276" s="78">
        <v>63</v>
      </c>
      <c r="E276" s="78">
        <v>81</v>
      </c>
      <c r="F276" s="78">
        <v>59</v>
      </c>
      <c r="G276" s="78">
        <v>335</v>
      </c>
      <c r="H276" s="78" t="s">
        <v>153</v>
      </c>
    </row>
    <row r="277" spans="1:8" ht="15" customHeight="1">
      <c r="A277" s="78" t="s">
        <v>260</v>
      </c>
      <c r="B277" s="78">
        <v>44</v>
      </c>
      <c r="C277" s="78">
        <v>34</v>
      </c>
      <c r="D277" s="78">
        <v>50</v>
      </c>
      <c r="E277" s="78">
        <v>69</v>
      </c>
      <c r="F277" s="78">
        <v>49</v>
      </c>
      <c r="G277" s="78">
        <f>570+125</f>
        <v>695</v>
      </c>
      <c r="H277" s="78" t="s">
        <v>153</v>
      </c>
    </row>
    <row r="278" spans="1:8" ht="15" customHeight="1">
      <c r="A278" s="78" t="s">
        <v>673</v>
      </c>
      <c r="B278" s="78">
        <v>61</v>
      </c>
      <c r="C278" s="78">
        <v>34</v>
      </c>
      <c r="D278" s="78">
        <v>91</v>
      </c>
      <c r="E278" s="78">
        <v>91</v>
      </c>
      <c r="F278" s="78">
        <v>70</v>
      </c>
      <c r="G278" s="78">
        <v>1660</v>
      </c>
      <c r="H278" s="78" t="s">
        <v>602</v>
      </c>
    </row>
    <row r="279" spans="1:8" ht="15" customHeight="1">
      <c r="A279" s="78" t="s">
        <v>426</v>
      </c>
      <c r="B279" s="78">
        <v>73</v>
      </c>
      <c r="C279" s="78">
        <v>44</v>
      </c>
      <c r="D279" s="78">
        <v>93</v>
      </c>
      <c r="E279" s="78">
        <v>92</v>
      </c>
      <c r="F279" s="78">
        <v>75</v>
      </c>
      <c r="G279" s="78">
        <v>515</v>
      </c>
      <c r="H279" s="78" t="s">
        <v>602</v>
      </c>
    </row>
    <row r="280" spans="1:8" ht="15" customHeight="1">
      <c r="A280" s="78" t="s">
        <v>426</v>
      </c>
      <c r="B280" s="78">
        <v>69</v>
      </c>
      <c r="C280" s="78">
        <v>36</v>
      </c>
      <c r="D280" s="78">
        <v>88</v>
      </c>
      <c r="E280" s="78">
        <v>84</v>
      </c>
      <c r="F280" s="78">
        <v>69</v>
      </c>
      <c r="G280" s="78">
        <v>520</v>
      </c>
      <c r="H280" s="78" t="s">
        <v>602</v>
      </c>
    </row>
    <row r="281" spans="1:8" ht="15" customHeight="1">
      <c r="A281" s="78" t="s">
        <v>660</v>
      </c>
      <c r="B281" s="78">
        <v>79</v>
      </c>
      <c r="C281" s="78">
        <v>51</v>
      </c>
      <c r="D281" s="78">
        <v>95</v>
      </c>
      <c r="E281" s="78">
        <v>94</v>
      </c>
      <c r="F281" s="78">
        <v>80</v>
      </c>
      <c r="G281" s="78">
        <v>1360</v>
      </c>
      <c r="H281" s="78" t="s">
        <v>602</v>
      </c>
    </row>
    <row r="282" spans="1:8" ht="15" customHeight="1">
      <c r="A282" s="78" t="s">
        <v>781</v>
      </c>
      <c r="B282" s="78">
        <v>80</v>
      </c>
      <c r="C282" s="78">
        <v>50</v>
      </c>
      <c r="D282" s="78">
        <v>89</v>
      </c>
      <c r="E282" s="78">
        <v>92</v>
      </c>
      <c r="F282" s="78">
        <v>78</v>
      </c>
      <c r="G282" s="78">
        <v>660</v>
      </c>
      <c r="H282" s="78" t="s">
        <v>602</v>
      </c>
    </row>
    <row r="283" spans="1:8" ht="15" customHeight="1">
      <c r="A283" s="78" t="s">
        <v>677</v>
      </c>
      <c r="B283" s="78">
        <v>80</v>
      </c>
      <c r="C283" s="78">
        <v>46</v>
      </c>
      <c r="D283" s="78">
        <v>95</v>
      </c>
      <c r="E283" s="78">
        <v>85</v>
      </c>
      <c r="F283" s="78">
        <v>76</v>
      </c>
      <c r="G283" s="78">
        <v>1385</v>
      </c>
      <c r="H283" s="78" t="s">
        <v>602</v>
      </c>
    </row>
    <row r="284" spans="1:8" ht="15" customHeight="1">
      <c r="A284" s="82" t="s">
        <v>262</v>
      </c>
      <c r="B284" s="78">
        <v>49</v>
      </c>
      <c r="C284" s="78">
        <v>34</v>
      </c>
      <c r="D284" s="78">
        <v>51</v>
      </c>
      <c r="E284" s="78">
        <v>68</v>
      </c>
      <c r="F284" s="78">
        <v>50</v>
      </c>
      <c r="G284" s="78">
        <v>2120</v>
      </c>
      <c r="H284" s="78" t="s">
        <v>153</v>
      </c>
    </row>
    <row r="285" spans="1:8" ht="15" customHeight="1">
      <c r="A285" s="83" t="s">
        <v>264</v>
      </c>
      <c r="B285" s="78">
        <v>35</v>
      </c>
      <c r="C285" s="78">
        <v>18</v>
      </c>
      <c r="D285" s="78">
        <v>39</v>
      </c>
      <c r="E285" s="78">
        <v>53</v>
      </c>
      <c r="F285" s="78">
        <v>36</v>
      </c>
      <c r="G285" s="78">
        <v>2520</v>
      </c>
      <c r="H285" s="78" t="s">
        <v>153</v>
      </c>
    </row>
    <row r="286" spans="1:8" ht="15" customHeight="1">
      <c r="A286" s="83" t="s">
        <v>265</v>
      </c>
      <c r="B286" s="78">
        <v>46</v>
      </c>
      <c r="C286" s="78">
        <v>26</v>
      </c>
      <c r="D286" s="78">
        <v>56</v>
      </c>
      <c r="E286" s="78">
        <v>56</v>
      </c>
      <c r="F286" s="78">
        <v>46</v>
      </c>
      <c r="G286" s="78">
        <v>600</v>
      </c>
      <c r="H286" s="78" t="s">
        <v>153</v>
      </c>
    </row>
    <row r="287" spans="1:8" ht="15" customHeight="1">
      <c r="A287" s="82" t="s">
        <v>665</v>
      </c>
      <c r="B287" s="78">
        <v>68</v>
      </c>
      <c r="C287" s="78">
        <v>54</v>
      </c>
      <c r="D287" s="78">
        <v>97</v>
      </c>
      <c r="E287" s="78">
        <v>98</v>
      </c>
      <c r="F287" s="78">
        <v>79</v>
      </c>
      <c r="G287" s="78">
        <v>590</v>
      </c>
      <c r="H287" s="78" t="s">
        <v>602</v>
      </c>
    </row>
    <row r="288" spans="1:8" ht="15" customHeight="1">
      <c r="A288" s="78" t="s">
        <v>441</v>
      </c>
      <c r="B288" s="78">
        <v>82</v>
      </c>
      <c r="C288" s="78">
        <v>50</v>
      </c>
      <c r="D288" s="78">
        <v>92</v>
      </c>
      <c r="E288" s="78">
        <v>87</v>
      </c>
      <c r="F288" s="78">
        <v>78</v>
      </c>
      <c r="G288" s="78">
        <v>9010</v>
      </c>
      <c r="H288" s="78" t="s">
        <v>602</v>
      </c>
    </row>
    <row r="289" spans="1:8" ht="15" customHeight="1">
      <c r="A289" s="83" t="s">
        <v>268</v>
      </c>
      <c r="B289" s="78">
        <v>41</v>
      </c>
      <c r="C289" s="78">
        <v>9</v>
      </c>
      <c r="D289" s="78">
        <v>34</v>
      </c>
      <c r="E289" s="78">
        <v>62</v>
      </c>
      <c r="F289" s="78">
        <v>36</v>
      </c>
      <c r="G289" s="78">
        <v>920</v>
      </c>
      <c r="H289" s="78" t="s">
        <v>153</v>
      </c>
    </row>
    <row r="290" spans="1:8" ht="15" customHeight="1">
      <c r="A290" s="78" t="s">
        <v>679</v>
      </c>
      <c r="B290" s="78">
        <v>75</v>
      </c>
      <c r="C290" s="78">
        <v>38</v>
      </c>
      <c r="D290" s="78">
        <v>91</v>
      </c>
      <c r="E290" s="78">
        <v>91</v>
      </c>
      <c r="F290" s="78">
        <v>74</v>
      </c>
      <c r="G290" s="78">
        <v>930</v>
      </c>
      <c r="H290" s="78" t="s">
        <v>602</v>
      </c>
    </row>
    <row r="291" spans="1:8" ht="15" customHeight="1">
      <c r="A291" s="78" t="s">
        <v>678</v>
      </c>
      <c r="B291" s="78">
        <v>74</v>
      </c>
      <c r="C291" s="78">
        <v>44</v>
      </c>
      <c r="D291" s="78">
        <v>96</v>
      </c>
      <c r="E291" s="78">
        <v>87</v>
      </c>
      <c r="F291" s="78">
        <v>75</v>
      </c>
      <c r="G291" s="78">
        <v>905</v>
      </c>
      <c r="H291" s="78" t="s">
        <v>602</v>
      </c>
    </row>
    <row r="292" spans="1:8" ht="15" customHeight="1">
      <c r="A292" s="82" t="s">
        <v>783</v>
      </c>
      <c r="B292" s="78">
        <v>78</v>
      </c>
      <c r="C292" s="78">
        <v>49</v>
      </c>
      <c r="D292" s="78">
        <v>90</v>
      </c>
      <c r="E292" s="78">
        <v>95</v>
      </c>
      <c r="F292" s="78">
        <v>78</v>
      </c>
      <c r="G292" s="78">
        <v>555</v>
      </c>
      <c r="H292" s="78" t="s">
        <v>602</v>
      </c>
    </row>
    <row r="293" spans="1:8" ht="15" customHeight="1">
      <c r="A293" s="78" t="s">
        <v>446</v>
      </c>
      <c r="B293" s="78">
        <v>74</v>
      </c>
      <c r="C293" s="78">
        <v>45</v>
      </c>
      <c r="D293" s="78">
        <v>96</v>
      </c>
      <c r="E293" s="78">
        <v>91</v>
      </c>
      <c r="F293" s="78">
        <v>77</v>
      </c>
      <c r="G293" s="78">
        <v>630</v>
      </c>
      <c r="H293" s="78" t="s">
        <v>602</v>
      </c>
    </row>
    <row r="294" spans="1:8" ht="15" customHeight="1">
      <c r="A294" s="78" t="s">
        <v>629</v>
      </c>
      <c r="B294" s="78">
        <v>69</v>
      </c>
      <c r="C294" s="78">
        <v>48</v>
      </c>
      <c r="D294" s="78">
        <v>93</v>
      </c>
      <c r="E294" s="78">
        <v>86</v>
      </c>
      <c r="F294" s="78">
        <v>74</v>
      </c>
      <c r="G294" s="78">
        <v>795</v>
      </c>
      <c r="H294" s="78" t="s">
        <v>602</v>
      </c>
    </row>
    <row r="295" spans="1:8" ht="15" customHeight="1">
      <c r="A295" s="78" t="s">
        <v>689</v>
      </c>
      <c r="B295" s="78">
        <v>73</v>
      </c>
      <c r="C295" s="78">
        <v>40</v>
      </c>
      <c r="D295" s="78">
        <v>88</v>
      </c>
      <c r="E295" s="78">
        <v>88</v>
      </c>
      <c r="F295" s="78">
        <v>72</v>
      </c>
      <c r="G295" s="78">
        <v>1460</v>
      </c>
      <c r="H295" s="78" t="s">
        <v>602</v>
      </c>
    </row>
    <row r="296" spans="1:8" ht="15" customHeight="1">
      <c r="A296" s="78" t="s">
        <v>676</v>
      </c>
      <c r="B296" s="78">
        <v>86</v>
      </c>
      <c r="C296" s="78">
        <v>46</v>
      </c>
      <c r="D296" s="78">
        <v>94</v>
      </c>
      <c r="E296" s="78">
        <v>94</v>
      </c>
      <c r="F296" s="78">
        <v>80</v>
      </c>
      <c r="G296" s="78">
        <v>480</v>
      </c>
      <c r="H296" s="78" t="s">
        <v>602</v>
      </c>
    </row>
    <row r="297" spans="1:8" ht="15" customHeight="1">
      <c r="A297" s="78" t="s">
        <v>269</v>
      </c>
      <c r="B297" s="78">
        <v>47</v>
      </c>
      <c r="C297" s="78">
        <v>36</v>
      </c>
      <c r="D297" s="78">
        <v>70</v>
      </c>
      <c r="E297" s="78">
        <v>67</v>
      </c>
      <c r="F297" s="78">
        <v>55</v>
      </c>
      <c r="G297" s="78">
        <v>1080</v>
      </c>
      <c r="H297" s="78" t="s">
        <v>153</v>
      </c>
    </row>
    <row r="298" spans="1:8" ht="15" customHeight="1">
      <c r="A298" s="83" t="s">
        <v>270</v>
      </c>
      <c r="B298" s="78">
        <v>46</v>
      </c>
      <c r="C298" s="78">
        <v>24</v>
      </c>
      <c r="D298" s="78">
        <v>56</v>
      </c>
      <c r="E298" s="78">
        <v>63</v>
      </c>
      <c r="F298" s="78">
        <v>47</v>
      </c>
      <c r="G298" s="78">
        <v>390</v>
      </c>
      <c r="H298" s="78" t="s">
        <v>153</v>
      </c>
    </row>
    <row r="299" spans="1:8" ht="15" customHeight="1">
      <c r="A299" s="78" t="s">
        <v>448</v>
      </c>
      <c r="B299" s="78">
        <v>96</v>
      </c>
      <c r="C299" s="78">
        <v>53</v>
      </c>
      <c r="D299" s="78">
        <v>96</v>
      </c>
      <c r="E299" s="78">
        <v>84</v>
      </c>
      <c r="F299" s="78">
        <v>82</v>
      </c>
      <c r="G299" s="78">
        <v>770</v>
      </c>
      <c r="H299" s="78" t="s">
        <v>602</v>
      </c>
    </row>
    <row r="300" spans="1:8" ht="15" customHeight="1">
      <c r="A300" s="78" t="s">
        <v>449</v>
      </c>
      <c r="B300" s="78">
        <v>79</v>
      </c>
      <c r="C300" s="78">
        <v>45</v>
      </c>
      <c r="D300" s="78">
        <v>100</v>
      </c>
      <c r="E300" s="78">
        <v>91</v>
      </c>
      <c r="F300" s="78">
        <v>79</v>
      </c>
      <c r="G300" s="78">
        <v>425</v>
      </c>
      <c r="H300" s="78" t="s">
        <v>602</v>
      </c>
    </row>
    <row r="301" spans="1:8" ht="15" customHeight="1">
      <c r="A301" s="82" t="s">
        <v>450</v>
      </c>
      <c r="B301" s="78">
        <v>81</v>
      </c>
      <c r="C301" s="78">
        <v>55</v>
      </c>
      <c r="D301" s="78">
        <v>97</v>
      </c>
      <c r="E301" s="78">
        <v>88</v>
      </c>
      <c r="F301" s="78">
        <v>80</v>
      </c>
      <c r="G301" s="78">
        <v>1730</v>
      </c>
      <c r="H301" s="78" t="s">
        <v>602</v>
      </c>
    </row>
    <row r="302" spans="1:8" ht="15" customHeight="1">
      <c r="A302" s="78" t="s">
        <v>632</v>
      </c>
      <c r="B302" s="78">
        <v>60</v>
      </c>
      <c r="C302" s="78">
        <v>43</v>
      </c>
      <c r="D302" s="78">
        <v>95</v>
      </c>
      <c r="E302" s="78">
        <v>86</v>
      </c>
      <c r="F302" s="78">
        <v>71</v>
      </c>
      <c r="G302" s="78">
        <v>835</v>
      </c>
      <c r="H302" s="78" t="s">
        <v>602</v>
      </c>
    </row>
    <row r="303" spans="1:8" ht="15" customHeight="1">
      <c r="A303" s="82" t="s">
        <v>640</v>
      </c>
      <c r="B303" s="78">
        <v>72</v>
      </c>
      <c r="C303" s="78">
        <v>40</v>
      </c>
      <c r="D303" s="78">
        <v>94</v>
      </c>
      <c r="E303" s="78">
        <v>88</v>
      </c>
      <c r="F303" s="78">
        <v>74</v>
      </c>
      <c r="G303" s="78">
        <v>1170</v>
      </c>
      <c r="H303" s="78" t="s">
        <v>602</v>
      </c>
    </row>
    <row r="304" spans="1:8" ht="15" customHeight="1">
      <c r="A304" s="78" t="s">
        <v>654</v>
      </c>
      <c r="B304" s="78">
        <v>91</v>
      </c>
      <c r="C304" s="78">
        <v>58</v>
      </c>
      <c r="D304" s="78">
        <v>96</v>
      </c>
      <c r="E304" s="78">
        <v>90</v>
      </c>
      <c r="F304" s="78">
        <v>84</v>
      </c>
      <c r="G304" s="78">
        <v>12950</v>
      </c>
      <c r="H304" s="78" t="s">
        <v>602</v>
      </c>
    </row>
    <row r="305" spans="1:8" ht="15" customHeight="1">
      <c r="A305" s="78" t="s">
        <v>657</v>
      </c>
      <c r="B305" s="78">
        <v>89</v>
      </c>
      <c r="C305" s="78">
        <v>59</v>
      </c>
      <c r="D305" s="78">
        <v>96</v>
      </c>
      <c r="E305" s="78">
        <v>90</v>
      </c>
      <c r="F305" s="78">
        <v>84</v>
      </c>
      <c r="G305" s="78">
        <v>11355</v>
      </c>
      <c r="H305" s="78" t="s">
        <v>602</v>
      </c>
    </row>
    <row r="306" spans="1:8" ht="15" customHeight="1">
      <c r="A306" s="78" t="s">
        <v>429</v>
      </c>
      <c r="B306" s="78">
        <v>80</v>
      </c>
      <c r="C306" s="78">
        <v>51</v>
      </c>
      <c r="D306" s="78">
        <v>96</v>
      </c>
      <c r="E306" s="78">
        <v>94</v>
      </c>
      <c r="F306" s="78">
        <v>80</v>
      </c>
      <c r="G306" s="78">
        <v>560</v>
      </c>
      <c r="H306" s="78" t="s">
        <v>602</v>
      </c>
    </row>
    <row r="307" spans="1:8" ht="15" customHeight="1">
      <c r="A307" s="78" t="s">
        <v>659</v>
      </c>
      <c r="B307" s="78">
        <v>87</v>
      </c>
      <c r="C307" s="78">
        <v>57</v>
      </c>
      <c r="D307" s="78">
        <v>95</v>
      </c>
      <c r="E307" s="78">
        <v>89</v>
      </c>
      <c r="F307" s="78">
        <v>82</v>
      </c>
      <c r="G307" s="78">
        <v>9700</v>
      </c>
      <c r="H307" s="78" t="s">
        <v>602</v>
      </c>
    </row>
    <row r="308" spans="1:8" ht="15" customHeight="1">
      <c r="A308" s="78" t="s">
        <v>652</v>
      </c>
      <c r="B308" s="78">
        <v>90</v>
      </c>
      <c r="C308" s="78">
        <v>63</v>
      </c>
      <c r="D308" s="78">
        <v>97</v>
      </c>
      <c r="E308" s="78">
        <v>93</v>
      </c>
      <c r="F308" s="78">
        <v>86</v>
      </c>
      <c r="G308" s="78">
        <v>1090</v>
      </c>
      <c r="H308" s="78" t="s">
        <v>602</v>
      </c>
    </row>
    <row r="309" spans="1:8" ht="15" customHeight="1">
      <c r="A309" s="78" t="s">
        <v>432</v>
      </c>
      <c r="B309" s="78">
        <v>75</v>
      </c>
      <c r="C309" s="78">
        <v>42</v>
      </c>
      <c r="D309" s="78">
        <v>87</v>
      </c>
      <c r="E309" s="78">
        <v>85</v>
      </c>
      <c r="F309" s="78">
        <v>72</v>
      </c>
      <c r="G309" s="78">
        <v>1445</v>
      </c>
      <c r="H309" s="78" t="s">
        <v>602</v>
      </c>
    </row>
    <row r="310" spans="1:8" ht="15" customHeight="1">
      <c r="A310" t="s">
        <v>261</v>
      </c>
      <c r="B310" s="78">
        <v>45</v>
      </c>
      <c r="C310" s="78">
        <v>25</v>
      </c>
      <c r="D310" s="78">
        <v>39</v>
      </c>
      <c r="E310" s="78">
        <v>61</v>
      </c>
      <c r="F310" s="78">
        <v>43</v>
      </c>
      <c r="G310" s="78">
        <v>2635</v>
      </c>
      <c r="H310" s="78" t="s">
        <v>153</v>
      </c>
    </row>
    <row r="311" spans="1:8" ht="15" customHeight="1">
      <c r="A311" s="78" t="s">
        <v>613</v>
      </c>
      <c r="B311" s="78">
        <v>66</v>
      </c>
      <c r="C311" s="78">
        <v>39</v>
      </c>
      <c r="D311" s="78">
        <v>91</v>
      </c>
      <c r="E311" s="78">
        <v>90</v>
      </c>
      <c r="F311" s="78">
        <v>72</v>
      </c>
      <c r="G311" s="78">
        <v>6365</v>
      </c>
      <c r="H311" s="78" t="s">
        <v>602</v>
      </c>
    </row>
    <row r="312" spans="1:8" ht="15" customHeight="1">
      <c r="A312" s="78" t="s">
        <v>784</v>
      </c>
      <c r="B312" s="78">
        <v>77</v>
      </c>
      <c r="C312" s="78">
        <v>43</v>
      </c>
      <c r="D312" s="78">
        <v>94</v>
      </c>
      <c r="E312" s="78">
        <v>88</v>
      </c>
      <c r="F312" s="78">
        <v>75</v>
      </c>
      <c r="G312" s="78">
        <v>4510</v>
      </c>
      <c r="H312" s="78" t="s">
        <v>602</v>
      </c>
    </row>
    <row r="313" spans="1:8" ht="15" customHeight="1">
      <c r="A313" s="78" t="s">
        <v>428</v>
      </c>
      <c r="B313" s="78">
        <v>78</v>
      </c>
      <c r="C313" s="78">
        <v>48</v>
      </c>
      <c r="D313" s="78">
        <v>94</v>
      </c>
      <c r="E313" s="78">
        <v>90</v>
      </c>
      <c r="F313" s="78">
        <v>77</v>
      </c>
      <c r="G313" s="78">
        <v>1460</v>
      </c>
      <c r="H313" s="78" t="s">
        <v>602</v>
      </c>
    </row>
    <row r="314" spans="1:8" ht="15" customHeight="1">
      <c r="A314" s="78" t="s">
        <v>681</v>
      </c>
      <c r="B314" s="78">
        <v>72</v>
      </c>
      <c r="C314" s="78">
        <v>44</v>
      </c>
      <c r="D314" s="78">
        <v>94</v>
      </c>
      <c r="E314" s="78">
        <v>92</v>
      </c>
      <c r="F314" s="78">
        <v>76</v>
      </c>
      <c r="G314" s="78">
        <v>785</v>
      </c>
      <c r="H314" s="78" t="s">
        <v>602</v>
      </c>
    </row>
    <row r="315" spans="1:8" ht="15" customHeight="1">
      <c r="A315" s="78" t="s">
        <v>435</v>
      </c>
      <c r="B315" s="78">
        <v>75</v>
      </c>
      <c r="C315" s="78">
        <v>41</v>
      </c>
      <c r="D315" s="78">
        <v>92</v>
      </c>
      <c r="E315" s="78">
        <v>83</v>
      </c>
      <c r="F315" s="78">
        <v>73</v>
      </c>
      <c r="G315" s="78">
        <v>920</v>
      </c>
      <c r="H315" s="78" t="s">
        <v>602</v>
      </c>
    </row>
    <row r="316" spans="1:8" ht="15" customHeight="1">
      <c r="A316" s="78" t="s">
        <v>457</v>
      </c>
      <c r="B316" s="78">
        <v>80</v>
      </c>
      <c r="C316" s="78">
        <v>49</v>
      </c>
      <c r="D316" s="78">
        <v>96</v>
      </c>
      <c r="E316" s="78">
        <v>90</v>
      </c>
      <c r="F316" s="78">
        <v>79</v>
      </c>
      <c r="G316" s="78">
        <v>10845</v>
      </c>
      <c r="H316" s="78" t="s">
        <v>602</v>
      </c>
    </row>
    <row r="317" spans="1:8" ht="15" customHeight="1">
      <c r="A317" s="78" t="s">
        <v>437</v>
      </c>
      <c r="B317" s="78">
        <v>87</v>
      </c>
      <c r="C317" s="78">
        <v>45</v>
      </c>
      <c r="D317" s="78">
        <v>100</v>
      </c>
      <c r="E317" s="78">
        <v>88</v>
      </c>
      <c r="F317" s="78">
        <v>80</v>
      </c>
      <c r="G317" s="78">
        <v>265</v>
      </c>
      <c r="H317" s="78" t="s">
        <v>602</v>
      </c>
    </row>
    <row r="318" spans="1:8" ht="15" customHeight="1">
      <c r="A318" s="78" t="s">
        <v>458</v>
      </c>
      <c r="B318" s="78">
        <v>86</v>
      </c>
      <c r="C318" s="78">
        <v>56</v>
      </c>
      <c r="D318" s="78">
        <v>98</v>
      </c>
      <c r="E318" s="78">
        <v>91</v>
      </c>
      <c r="F318" s="78">
        <v>83</v>
      </c>
      <c r="G318" s="78">
        <v>4310</v>
      </c>
      <c r="H318" s="78" t="s">
        <v>602</v>
      </c>
    </row>
    <row r="319" spans="1:8" ht="15" customHeight="1">
      <c r="A319" t="s">
        <v>434</v>
      </c>
      <c r="B319" s="78">
        <v>77</v>
      </c>
      <c r="C319" s="78">
        <v>48</v>
      </c>
      <c r="D319" s="78">
        <v>98</v>
      </c>
      <c r="E319" s="78">
        <v>93</v>
      </c>
      <c r="F319" s="78">
        <v>79</v>
      </c>
      <c r="G319" s="78">
        <v>815</v>
      </c>
      <c r="H319" s="78" t="s">
        <v>602</v>
      </c>
    </row>
    <row r="320" spans="1:8" ht="15" customHeight="1">
      <c r="A320" s="78" t="s">
        <v>670</v>
      </c>
      <c r="B320" s="78">
        <v>75</v>
      </c>
      <c r="C320" s="78">
        <v>49</v>
      </c>
      <c r="D320" s="78">
        <v>94</v>
      </c>
      <c r="E320" s="78">
        <v>90</v>
      </c>
      <c r="F320" s="78">
        <v>77</v>
      </c>
      <c r="G320" s="78">
        <v>840</v>
      </c>
      <c r="H320" s="78" t="s">
        <v>602</v>
      </c>
    </row>
    <row r="321" spans="1:8" ht="15" customHeight="1">
      <c r="A321" s="78" t="s">
        <v>628</v>
      </c>
      <c r="B321" s="78">
        <v>76</v>
      </c>
      <c r="C321" s="78">
        <v>43</v>
      </c>
      <c r="D321" s="78">
        <v>91</v>
      </c>
      <c r="E321" s="78">
        <v>90</v>
      </c>
      <c r="F321" s="78">
        <v>75</v>
      </c>
      <c r="G321" s="78">
        <v>725</v>
      </c>
      <c r="H321" s="78" t="s">
        <v>602</v>
      </c>
    </row>
    <row r="322" spans="1:8" ht="15" customHeight="1">
      <c r="A322" s="78" t="s">
        <v>460</v>
      </c>
      <c r="B322" s="78">
        <v>69</v>
      </c>
      <c r="C322" s="78">
        <v>34</v>
      </c>
      <c r="D322" s="78">
        <v>89</v>
      </c>
      <c r="E322" s="78">
        <v>87</v>
      </c>
      <c r="F322" s="78">
        <v>70</v>
      </c>
      <c r="G322" s="78">
        <v>1580</v>
      </c>
      <c r="H322" s="78" t="s">
        <v>602</v>
      </c>
    </row>
    <row r="323" spans="1:8" ht="15" customHeight="1">
      <c r="A323" t="s">
        <v>835</v>
      </c>
      <c r="B323" s="78"/>
      <c r="C323" s="78"/>
      <c r="D323" s="78"/>
      <c r="E323" s="78"/>
      <c r="F323" s="78">
        <v>24</v>
      </c>
      <c r="G323" s="78">
        <v>150</v>
      </c>
      <c r="H323" s="78" t="s">
        <v>153</v>
      </c>
    </row>
    <row r="324" spans="1:8" ht="15" customHeight="1">
      <c r="A324" t="s">
        <v>272</v>
      </c>
      <c r="B324" s="78">
        <v>45</v>
      </c>
      <c r="C324" s="78">
        <v>21</v>
      </c>
      <c r="D324" s="78">
        <v>68</v>
      </c>
      <c r="E324" s="78">
        <v>61</v>
      </c>
      <c r="F324" s="78">
        <v>49</v>
      </c>
      <c r="G324" s="78">
        <v>345</v>
      </c>
      <c r="H324" s="78" t="s">
        <v>153</v>
      </c>
    </row>
    <row r="325" spans="1:8" ht="15" customHeight="1">
      <c r="A325" s="78" t="s">
        <v>785</v>
      </c>
      <c r="B325" s="78">
        <v>80</v>
      </c>
      <c r="C325" s="78">
        <v>47</v>
      </c>
      <c r="D325" s="78">
        <v>90</v>
      </c>
      <c r="E325" s="78">
        <v>92</v>
      </c>
      <c r="F325" s="78">
        <v>77</v>
      </c>
      <c r="G325" s="78">
        <v>2780</v>
      </c>
      <c r="H325" s="78" t="s">
        <v>602</v>
      </c>
    </row>
    <row r="326" spans="1:8" ht="15" customHeight="1">
      <c r="A326" s="78" t="s">
        <v>697</v>
      </c>
      <c r="B326" s="78">
        <v>80</v>
      </c>
      <c r="C326" s="78">
        <v>48</v>
      </c>
      <c r="D326" s="78">
        <v>95</v>
      </c>
      <c r="E326" s="78">
        <v>87</v>
      </c>
      <c r="F326" s="78">
        <v>77</v>
      </c>
      <c r="G326" s="78">
        <v>3730</v>
      </c>
      <c r="H326" s="78" t="s">
        <v>602</v>
      </c>
    </row>
    <row r="327" spans="1:8" ht="15" customHeight="1">
      <c r="A327" s="78" t="s">
        <v>609</v>
      </c>
      <c r="B327" s="78">
        <v>81</v>
      </c>
      <c r="C327" s="78">
        <v>57</v>
      </c>
      <c r="D327" s="78">
        <v>94</v>
      </c>
      <c r="E327" s="78">
        <v>92</v>
      </c>
      <c r="F327" s="78">
        <v>81</v>
      </c>
      <c r="G327" s="78">
        <v>9085</v>
      </c>
      <c r="H327" s="78" t="s">
        <v>602</v>
      </c>
    </row>
    <row r="328" spans="1:8" ht="15" customHeight="1">
      <c r="A328" s="83" t="s">
        <v>273</v>
      </c>
      <c r="B328" s="78"/>
      <c r="C328" s="78"/>
      <c r="D328" s="78"/>
      <c r="E328" s="78"/>
      <c r="F328" s="78"/>
      <c r="G328" s="78"/>
      <c r="H328" s="78" t="s">
        <v>153</v>
      </c>
    </row>
    <row r="329" spans="1:8" ht="15" customHeight="1">
      <c r="A329" s="82" t="s">
        <v>464</v>
      </c>
      <c r="B329" s="78">
        <v>81</v>
      </c>
      <c r="C329" s="78">
        <v>42</v>
      </c>
      <c r="D329" s="78">
        <v>97</v>
      </c>
      <c r="E329" s="78">
        <v>83</v>
      </c>
      <c r="F329" s="78">
        <v>76</v>
      </c>
      <c r="G329" s="78">
        <v>1100</v>
      </c>
      <c r="H329" s="78" t="s">
        <v>602</v>
      </c>
    </row>
    <row r="330" spans="1:8" ht="15" customHeight="1">
      <c r="A330" s="78" t="s">
        <v>465</v>
      </c>
      <c r="B330" s="78">
        <v>84</v>
      </c>
      <c r="C330" s="78">
        <v>54</v>
      </c>
      <c r="D330" s="78">
        <v>92</v>
      </c>
      <c r="E330" s="78">
        <v>86</v>
      </c>
      <c r="F330" s="78">
        <v>79</v>
      </c>
      <c r="G330" s="78">
        <v>5520</v>
      </c>
      <c r="H330" s="78" t="s">
        <v>602</v>
      </c>
    </row>
    <row r="331" spans="1:8" ht="15" customHeight="1">
      <c r="A331" s="78" t="s">
        <v>772</v>
      </c>
      <c r="B331" s="78">
        <v>68</v>
      </c>
      <c r="C331" s="78">
        <v>41</v>
      </c>
      <c r="D331" s="78">
        <v>95</v>
      </c>
      <c r="E331" s="78">
        <v>92</v>
      </c>
      <c r="F331" s="78">
        <v>74</v>
      </c>
      <c r="G331" s="78">
        <v>1255</v>
      </c>
      <c r="H331" s="78" t="s">
        <v>602</v>
      </c>
    </row>
    <row r="332" spans="1:8" ht="15" customHeight="1">
      <c r="A332" s="78" t="s">
        <v>466</v>
      </c>
      <c r="B332" s="78">
        <v>87</v>
      </c>
      <c r="C332" s="78">
        <v>52</v>
      </c>
      <c r="D332" s="78">
        <v>90</v>
      </c>
      <c r="E332" s="78">
        <v>88</v>
      </c>
      <c r="F332" s="78">
        <v>79</v>
      </c>
      <c r="G332" s="78">
        <v>13405</v>
      </c>
      <c r="H332" s="78" t="s">
        <v>602</v>
      </c>
    </row>
    <row r="333" spans="1:8" ht="15" customHeight="1">
      <c r="A333" s="83" t="s">
        <v>275</v>
      </c>
      <c r="B333" s="78">
        <v>36</v>
      </c>
      <c r="C333" s="78">
        <v>27</v>
      </c>
      <c r="D333" s="78">
        <v>60</v>
      </c>
      <c r="E333" s="78">
        <v>65</v>
      </c>
      <c r="F333" s="78">
        <v>47</v>
      </c>
      <c r="G333" s="78">
        <v>430</v>
      </c>
      <c r="H333" s="78" t="s">
        <v>153</v>
      </c>
    </row>
    <row r="334" spans="1:8" ht="15" customHeight="1">
      <c r="A334" s="78" t="s">
        <v>468</v>
      </c>
      <c r="B334" s="78">
        <v>81</v>
      </c>
      <c r="C334" s="78">
        <v>49</v>
      </c>
      <c r="D334" s="78">
        <v>96</v>
      </c>
      <c r="E334" s="78">
        <v>91</v>
      </c>
      <c r="F334" s="78">
        <v>79</v>
      </c>
      <c r="G334" s="78">
        <v>620</v>
      </c>
      <c r="H334" s="78" t="s">
        <v>602</v>
      </c>
    </row>
    <row r="335" spans="1:8" ht="15" customHeight="1">
      <c r="A335" s="82" t="s">
        <v>619</v>
      </c>
      <c r="B335" s="78">
        <v>77</v>
      </c>
      <c r="C335" s="78">
        <v>52</v>
      </c>
      <c r="D335" s="78">
        <v>95</v>
      </c>
      <c r="E335" s="78">
        <v>94</v>
      </c>
      <c r="F335" s="78">
        <v>79</v>
      </c>
      <c r="G335" s="78">
        <v>1100</v>
      </c>
      <c r="H335" s="78" t="s">
        <v>602</v>
      </c>
    </row>
    <row r="336" spans="1:8" ht="15" customHeight="1">
      <c r="A336" s="78" t="s">
        <v>642</v>
      </c>
      <c r="B336" s="78">
        <v>73</v>
      </c>
      <c r="C336" s="78">
        <v>45</v>
      </c>
      <c r="D336" s="78">
        <v>97</v>
      </c>
      <c r="E336" s="78">
        <v>93</v>
      </c>
      <c r="F336" s="78">
        <v>77</v>
      </c>
      <c r="G336" s="78">
        <v>1145</v>
      </c>
      <c r="H336" s="78" t="s">
        <v>602</v>
      </c>
    </row>
    <row r="337" spans="1:8" ht="15" customHeight="1">
      <c r="A337" s="78" t="s">
        <v>604</v>
      </c>
      <c r="B337" s="78">
        <v>100</v>
      </c>
      <c r="C337" s="78">
        <v>69</v>
      </c>
      <c r="D337" s="78">
        <v>94</v>
      </c>
      <c r="E337" s="78">
        <v>71</v>
      </c>
      <c r="F337" s="78">
        <v>83</v>
      </c>
      <c r="G337" s="78">
        <v>385</v>
      </c>
      <c r="H337" s="78" t="s">
        <v>602</v>
      </c>
    </row>
    <row r="338" spans="1:8" ht="15" customHeight="1">
      <c r="A338" s="78" t="s">
        <v>472</v>
      </c>
      <c r="B338" s="78">
        <v>84</v>
      </c>
      <c r="C338" s="78">
        <v>49</v>
      </c>
      <c r="D338" s="78">
        <v>96</v>
      </c>
      <c r="E338" s="78">
        <v>90</v>
      </c>
      <c r="F338" s="78">
        <v>80</v>
      </c>
      <c r="G338" s="78">
        <v>2895</v>
      </c>
      <c r="H338" s="78" t="s">
        <v>602</v>
      </c>
    </row>
    <row r="339" spans="1:8" ht="15" customHeight="1">
      <c r="A339" s="78" t="s">
        <v>630</v>
      </c>
      <c r="B339" s="78">
        <v>69</v>
      </c>
      <c r="C339" s="78">
        <v>47</v>
      </c>
      <c r="D339" s="78">
        <v>95</v>
      </c>
      <c r="E339" s="78">
        <v>93</v>
      </c>
      <c r="F339" s="78">
        <v>76</v>
      </c>
      <c r="G339" s="78">
        <v>1505</v>
      </c>
      <c r="H339" s="78" t="s">
        <v>602</v>
      </c>
    </row>
    <row r="340" spans="1:8" ht="15" customHeight="1">
      <c r="A340" s="82" t="s">
        <v>276</v>
      </c>
      <c r="B340" s="78"/>
      <c r="C340" s="78"/>
      <c r="D340" s="78"/>
      <c r="E340" s="78"/>
      <c r="F340" s="78">
        <v>62</v>
      </c>
      <c r="G340" s="78">
        <v>115</v>
      </c>
      <c r="H340" s="78" t="s">
        <v>153</v>
      </c>
    </row>
    <row r="341" spans="1:8" ht="15" customHeight="1">
      <c r="A341" s="83" t="s">
        <v>277</v>
      </c>
      <c r="B341" s="78">
        <v>45</v>
      </c>
      <c r="C341" s="78">
        <v>21</v>
      </c>
      <c r="D341" s="78">
        <v>48</v>
      </c>
      <c r="E341" s="78">
        <v>61</v>
      </c>
      <c r="F341" s="78">
        <v>44</v>
      </c>
      <c r="G341" s="78">
        <v>1160</v>
      </c>
      <c r="H341" s="78" t="s">
        <v>153</v>
      </c>
    </row>
    <row r="342" spans="1:8" ht="15" customHeight="1">
      <c r="A342" s="82" t="s">
        <v>476</v>
      </c>
      <c r="B342" s="78"/>
      <c r="C342" s="78"/>
      <c r="D342" s="78"/>
      <c r="E342" s="78"/>
      <c r="F342" s="78">
        <v>74</v>
      </c>
      <c r="G342" s="78">
        <v>200</v>
      </c>
      <c r="H342" s="78" t="s">
        <v>602</v>
      </c>
    </row>
    <row r="343" spans="1:8" ht="15" customHeight="1">
      <c r="A343" s="78" t="s">
        <v>477</v>
      </c>
      <c r="B343" s="78">
        <v>85</v>
      </c>
      <c r="C343" s="78">
        <v>63</v>
      </c>
      <c r="D343" s="78">
        <v>91</v>
      </c>
      <c r="E343" s="78">
        <v>93</v>
      </c>
      <c r="F343" s="78">
        <v>83</v>
      </c>
      <c r="G343" s="78">
        <v>510</v>
      </c>
      <c r="H343" s="78" t="s">
        <v>602</v>
      </c>
    </row>
    <row r="344" spans="1:8" ht="15" customHeight="1">
      <c r="A344" t="s">
        <v>279</v>
      </c>
      <c r="B344" s="78">
        <v>42</v>
      </c>
      <c r="C344" s="78">
        <v>26</v>
      </c>
      <c r="D344" s="78">
        <v>67</v>
      </c>
      <c r="E344" s="78">
        <v>63</v>
      </c>
      <c r="F344" s="78">
        <v>50</v>
      </c>
      <c r="G344" s="78">
        <v>1125</v>
      </c>
      <c r="H344" s="78" t="s">
        <v>153</v>
      </c>
    </row>
    <row r="345" spans="1:8" ht="15" customHeight="1">
      <c r="A345" s="78" t="s">
        <v>478</v>
      </c>
      <c r="B345" s="78">
        <v>88</v>
      </c>
      <c r="C345" s="78">
        <v>60</v>
      </c>
      <c r="D345" s="78">
        <v>98</v>
      </c>
      <c r="E345" s="78">
        <v>90</v>
      </c>
      <c r="F345" s="78">
        <v>84</v>
      </c>
      <c r="G345" s="78">
        <v>4165</v>
      </c>
      <c r="H345" s="78" t="s">
        <v>602</v>
      </c>
    </row>
    <row r="346" spans="1:8" ht="15" customHeight="1">
      <c r="A346" s="78" t="s">
        <v>646</v>
      </c>
      <c r="B346" s="78">
        <v>65</v>
      </c>
      <c r="C346" s="78">
        <v>40</v>
      </c>
      <c r="D346" s="78">
        <v>95</v>
      </c>
      <c r="E346" s="78">
        <v>96</v>
      </c>
      <c r="F346" s="78">
        <v>74</v>
      </c>
      <c r="G346" s="78">
        <v>1945</v>
      </c>
      <c r="H346" s="78" t="s">
        <v>602</v>
      </c>
    </row>
    <row r="347" spans="1:8" ht="15" customHeight="1">
      <c r="A347" s="78" t="s">
        <v>635</v>
      </c>
      <c r="B347" s="78">
        <v>87</v>
      </c>
      <c r="C347" s="78">
        <v>60</v>
      </c>
      <c r="D347" s="78">
        <v>96</v>
      </c>
      <c r="E347" s="78">
        <v>95</v>
      </c>
      <c r="F347" s="78">
        <v>84</v>
      </c>
      <c r="G347" s="78">
        <v>1405</v>
      </c>
      <c r="H347" s="78" t="s">
        <v>602</v>
      </c>
    </row>
    <row r="348" spans="1:8" ht="15" customHeight="1">
      <c r="A348" s="78" t="s">
        <v>479</v>
      </c>
      <c r="B348" s="78">
        <v>75</v>
      </c>
      <c r="C348" s="78">
        <v>39</v>
      </c>
      <c r="D348" s="78">
        <v>92</v>
      </c>
      <c r="E348" s="78">
        <v>89</v>
      </c>
      <c r="F348" s="78">
        <v>74</v>
      </c>
      <c r="G348" s="78">
        <v>1460</v>
      </c>
      <c r="H348" s="78" t="s">
        <v>602</v>
      </c>
    </row>
    <row r="349" spans="1:8" ht="15" customHeight="1">
      <c r="A349" s="78" t="s">
        <v>626</v>
      </c>
      <c r="B349" s="78">
        <v>71</v>
      </c>
      <c r="C349" s="78">
        <v>41</v>
      </c>
      <c r="D349" s="78">
        <v>89</v>
      </c>
      <c r="E349" s="78">
        <v>89</v>
      </c>
      <c r="F349" s="78">
        <v>73</v>
      </c>
      <c r="G349" s="78">
        <v>645</v>
      </c>
      <c r="H349" s="78" t="s">
        <v>602</v>
      </c>
    </row>
    <row r="350" spans="1:8" ht="15" customHeight="1">
      <c r="A350" s="78" t="s">
        <v>621</v>
      </c>
      <c r="B350" s="78">
        <v>72</v>
      </c>
      <c r="C350" s="78">
        <v>49</v>
      </c>
      <c r="D350" s="78">
        <v>100</v>
      </c>
      <c r="E350" s="78">
        <v>89</v>
      </c>
      <c r="F350" s="78">
        <v>77</v>
      </c>
      <c r="G350" s="78">
        <v>595</v>
      </c>
      <c r="H350" s="78" t="s">
        <v>602</v>
      </c>
    </row>
    <row r="351" spans="1:8" ht="15" customHeight="1">
      <c r="A351" s="78" t="s">
        <v>480</v>
      </c>
      <c r="B351" s="78">
        <v>74</v>
      </c>
      <c r="C351" s="78">
        <v>35</v>
      </c>
      <c r="D351" s="78">
        <v>97</v>
      </c>
      <c r="E351" s="78">
        <v>88</v>
      </c>
      <c r="F351" s="78">
        <v>73</v>
      </c>
      <c r="G351" s="78">
        <v>8925</v>
      </c>
      <c r="H351" s="78" t="s">
        <v>602</v>
      </c>
    </row>
    <row r="352" spans="1:8" ht="15" customHeight="1">
      <c r="A352" s="78" t="s">
        <v>481</v>
      </c>
      <c r="B352" s="78">
        <v>86</v>
      </c>
      <c r="C352" s="78">
        <v>61</v>
      </c>
      <c r="D352" s="78">
        <v>94</v>
      </c>
      <c r="E352" s="78">
        <v>88</v>
      </c>
      <c r="F352" s="78">
        <v>82</v>
      </c>
      <c r="G352" s="78">
        <v>625695</v>
      </c>
      <c r="H352" s="78" t="s">
        <v>602</v>
      </c>
    </row>
    <row r="353" spans="1:8" ht="15" customHeight="1">
      <c r="A353" s="78" t="s">
        <v>482</v>
      </c>
      <c r="B353" s="78">
        <v>83</v>
      </c>
      <c r="C353" s="78">
        <v>46</v>
      </c>
      <c r="D353" s="78">
        <v>92</v>
      </c>
      <c r="E353" s="78">
        <v>82</v>
      </c>
      <c r="F353" s="78">
        <v>76</v>
      </c>
      <c r="G353" s="78">
        <v>1030</v>
      </c>
      <c r="H353" s="78" t="s">
        <v>602</v>
      </c>
    </row>
    <row r="354" spans="1:8" ht="15" customHeight="1">
      <c r="A354" s="78" t="s">
        <v>685</v>
      </c>
      <c r="B354" s="78">
        <v>87</v>
      </c>
      <c r="C354" s="78">
        <v>36</v>
      </c>
      <c r="D354" s="78">
        <v>91</v>
      </c>
      <c r="E354" s="78">
        <v>75</v>
      </c>
      <c r="F354" s="78">
        <v>72</v>
      </c>
      <c r="G354" s="78">
        <v>595</v>
      </c>
      <c r="H354" s="78" t="s">
        <v>602</v>
      </c>
    </row>
    <row r="355" spans="1:8" ht="15" customHeight="1">
      <c r="A355" s="78" t="s">
        <v>661</v>
      </c>
      <c r="B355" s="78">
        <v>77</v>
      </c>
      <c r="C355" s="78">
        <v>49</v>
      </c>
      <c r="D355" s="78">
        <v>95</v>
      </c>
      <c r="E355" s="78">
        <v>90</v>
      </c>
      <c r="F355" s="78">
        <v>78</v>
      </c>
      <c r="G355" s="78">
        <v>3560</v>
      </c>
      <c r="H355" s="78" t="s">
        <v>602</v>
      </c>
    </row>
    <row r="356" spans="1:8" ht="15" customHeight="1">
      <c r="A356" s="78" t="s">
        <v>631</v>
      </c>
      <c r="B356" s="78">
        <v>76</v>
      </c>
      <c r="C356" s="78">
        <v>54</v>
      </c>
      <c r="D356" s="78">
        <v>86</v>
      </c>
      <c r="E356" s="78">
        <v>93</v>
      </c>
      <c r="F356" s="78">
        <v>77</v>
      </c>
      <c r="G356" s="78">
        <v>885</v>
      </c>
      <c r="H356" s="78" t="s">
        <v>602</v>
      </c>
    </row>
    <row r="357" spans="1:8" ht="15" customHeight="1">
      <c r="A357" s="78" t="s">
        <v>591</v>
      </c>
      <c r="B357" s="78">
        <v>53</v>
      </c>
      <c r="C357" s="78">
        <v>29</v>
      </c>
      <c r="D357" s="78">
        <v>68</v>
      </c>
      <c r="E357" s="78">
        <v>77</v>
      </c>
      <c r="F357" s="78">
        <v>57</v>
      </c>
      <c r="G357" s="78">
        <v>415</v>
      </c>
      <c r="H357" s="78" t="s">
        <v>153</v>
      </c>
    </row>
    <row r="358" spans="1:8">
      <c r="A358" t="s">
        <v>593</v>
      </c>
    </row>
  </sheetData>
  <sortState ref="A2:J279">
    <sortCondition ref="A279"/>
  </sortState>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7"/>
  <dimension ref="A1:AE436"/>
  <sheetViews>
    <sheetView workbookViewId="0">
      <pane ySplit="1" topLeftCell="A2" activePane="bottomLeft" state="frozen"/>
      <selection activeCell="P1" sqref="P1"/>
      <selection pane="bottomLeft" activeCell="B3" sqref="B3"/>
    </sheetView>
  </sheetViews>
  <sheetFormatPr defaultRowHeight="15"/>
  <cols>
    <col min="1" max="1" width="36.5703125" customWidth="1"/>
    <col min="21" max="21" width="30" customWidth="1"/>
    <col min="224" max="224" width="25.7109375" customWidth="1"/>
    <col min="480" max="480" width="25.7109375" customWidth="1"/>
    <col min="736" max="736" width="25.7109375" customWidth="1"/>
    <col min="992" max="992" width="25.7109375" customWidth="1"/>
    <col min="1248" max="1248" width="25.7109375" customWidth="1"/>
    <col min="1504" max="1504" width="25.7109375" customWidth="1"/>
    <col min="1760" max="1760" width="25.7109375" customWidth="1"/>
    <col min="2016" max="2016" width="25.7109375" customWidth="1"/>
    <col min="2272" max="2272" width="25.7109375" customWidth="1"/>
    <col min="2528" max="2528" width="25.7109375" customWidth="1"/>
    <col min="2784" max="2784" width="25.7109375" customWidth="1"/>
    <col min="3040" max="3040" width="25.7109375" customWidth="1"/>
    <col min="3296" max="3296" width="25.7109375" customWidth="1"/>
    <col min="3552" max="3552" width="25.7109375" customWidth="1"/>
    <col min="3808" max="3808" width="25.7109375" customWidth="1"/>
    <col min="4064" max="4064" width="25.7109375" customWidth="1"/>
    <col min="4320" max="4320" width="25.7109375" customWidth="1"/>
    <col min="4576" max="4576" width="25.7109375" customWidth="1"/>
    <col min="4832" max="4832" width="25.7109375" customWidth="1"/>
    <col min="5088" max="5088" width="25.7109375" customWidth="1"/>
    <col min="5344" max="5344" width="25.7109375" customWidth="1"/>
    <col min="5600" max="5600" width="25.7109375" customWidth="1"/>
    <col min="5856" max="5856" width="25.7109375" customWidth="1"/>
    <col min="6112" max="6112" width="25.7109375" customWidth="1"/>
    <col min="6368" max="6368" width="25.7109375" customWidth="1"/>
    <col min="6624" max="6624" width="25.7109375" customWidth="1"/>
    <col min="6880" max="6880" width="25.7109375" customWidth="1"/>
    <col min="7136" max="7136" width="25.7109375" customWidth="1"/>
    <col min="7392" max="7392" width="25.7109375" customWidth="1"/>
    <col min="7648" max="7648" width="25.7109375" customWidth="1"/>
    <col min="7904" max="7904" width="25.7109375" customWidth="1"/>
    <col min="8160" max="8160" width="25.7109375" customWidth="1"/>
    <col min="8416" max="8416" width="25.7109375" customWidth="1"/>
    <col min="8672" max="8672" width="25.7109375" customWidth="1"/>
    <col min="8928" max="8928" width="25.7109375" customWidth="1"/>
    <col min="9184" max="9184" width="25.7109375" customWidth="1"/>
    <col min="9440" max="9440" width="25.7109375" customWidth="1"/>
    <col min="9696" max="9696" width="25.7109375" customWidth="1"/>
    <col min="9952" max="9952" width="25.7109375" customWidth="1"/>
    <col min="10208" max="10208" width="25.7109375" customWidth="1"/>
    <col min="10464" max="10464" width="25.7109375" customWidth="1"/>
    <col min="10720" max="10720" width="25.7109375" customWidth="1"/>
    <col min="10976" max="10976" width="25.7109375" customWidth="1"/>
    <col min="11232" max="11232" width="25.7109375" customWidth="1"/>
    <col min="11488" max="11488" width="25.7109375" customWidth="1"/>
    <col min="11744" max="11744" width="25.7109375" customWidth="1"/>
    <col min="12000" max="12000" width="25.7109375" customWidth="1"/>
    <col min="12256" max="12256" width="25.7109375" customWidth="1"/>
    <col min="12512" max="12512" width="25.7109375" customWidth="1"/>
    <col min="12768" max="12768" width="25.7109375" customWidth="1"/>
    <col min="13024" max="13024" width="25.7109375" customWidth="1"/>
    <col min="13280" max="13280" width="25.7109375" customWidth="1"/>
    <col min="13536" max="13536" width="25.7109375" customWidth="1"/>
    <col min="13792" max="13792" width="25.7109375" customWidth="1"/>
    <col min="14048" max="14048" width="25.7109375" customWidth="1"/>
    <col min="14304" max="14304" width="25.7109375" customWidth="1"/>
    <col min="14560" max="14560" width="25.7109375" customWidth="1"/>
    <col min="14816" max="14816" width="25.7109375" customWidth="1"/>
    <col min="15072" max="15072" width="25.7109375" customWidth="1"/>
    <col min="15328" max="15328" width="25.7109375" customWidth="1"/>
    <col min="15584" max="15584" width="25.7109375" customWidth="1"/>
    <col min="15840" max="15840" width="25.7109375" customWidth="1"/>
    <col min="16096" max="16096" width="25.7109375" customWidth="1"/>
  </cols>
  <sheetData>
    <row r="1" spans="1:31">
      <c r="A1">
        <v>1996</v>
      </c>
      <c r="B1" t="s">
        <v>715</v>
      </c>
      <c r="C1" t="s">
        <v>716</v>
      </c>
      <c r="D1" t="s">
        <v>717</v>
      </c>
      <c r="E1" t="s">
        <v>718</v>
      </c>
      <c r="F1" t="s">
        <v>719</v>
      </c>
      <c r="G1" t="s">
        <v>720</v>
      </c>
      <c r="H1" t="s">
        <v>721</v>
      </c>
      <c r="I1" t="s">
        <v>722</v>
      </c>
      <c r="J1" t="s">
        <v>723</v>
      </c>
      <c r="K1" t="s">
        <v>724</v>
      </c>
      <c r="L1" t="s">
        <v>837</v>
      </c>
      <c r="M1" t="s">
        <v>838</v>
      </c>
      <c r="N1" t="s">
        <v>839</v>
      </c>
      <c r="W1" t="s">
        <v>840</v>
      </c>
      <c r="X1" t="s">
        <v>841</v>
      </c>
      <c r="Y1" t="s">
        <v>842</v>
      </c>
      <c r="Z1" t="s">
        <v>799</v>
      </c>
      <c r="AA1" t="s">
        <v>800</v>
      </c>
      <c r="AB1" t="s">
        <v>878</v>
      </c>
      <c r="AC1" t="s">
        <v>806</v>
      </c>
      <c r="AD1" t="s">
        <v>877</v>
      </c>
      <c r="AE1" t="s">
        <v>807</v>
      </c>
    </row>
    <row r="2" spans="1:31">
      <c r="A2" t="s">
        <v>725</v>
      </c>
      <c r="B2">
        <v>1100290</v>
      </c>
      <c r="C2">
        <v>1087145</v>
      </c>
      <c r="D2">
        <v>1.2</v>
      </c>
      <c r="E2">
        <v>50236</v>
      </c>
      <c r="F2">
        <v>16.3</v>
      </c>
      <c r="G2">
        <v>419390</v>
      </c>
      <c r="H2">
        <v>121950</v>
      </c>
      <c r="I2">
        <v>44880</v>
      </c>
      <c r="J2">
        <v>66.400000000000006</v>
      </c>
      <c r="K2">
        <v>31.4</v>
      </c>
      <c r="L2">
        <v>66.3</v>
      </c>
      <c r="M2">
        <v>61.1</v>
      </c>
      <c r="N2">
        <v>7.9</v>
      </c>
      <c r="T2">
        <f>IFERROR(VLOOKUP(A2,$U$12:$U$74,1,0),0)</f>
        <v>0</v>
      </c>
      <c r="W2">
        <v>0</v>
      </c>
      <c r="X2">
        <v>28304</v>
      </c>
      <c r="Y2">
        <v>18049</v>
      </c>
      <c r="Z2">
        <v>23150</v>
      </c>
      <c r="AA2">
        <v>13643</v>
      </c>
      <c r="AB2">
        <v>244410</v>
      </c>
      <c r="AC2">
        <v>713720</v>
      </c>
      <c r="AD2">
        <v>222670</v>
      </c>
      <c r="AE2">
        <v>142135</v>
      </c>
    </row>
    <row r="3" spans="1:31">
      <c r="A3" t="s">
        <v>192</v>
      </c>
      <c r="B3">
        <v>16</v>
      </c>
      <c r="T3">
        <f t="shared" ref="T3:T66" si="0">IFERROR(VLOOKUP(A3,$U$12:$U$74,1,0),0)</f>
        <v>0</v>
      </c>
      <c r="AB3">
        <v>0</v>
      </c>
      <c r="AC3">
        <v>0</v>
      </c>
      <c r="AD3">
        <v>0</v>
      </c>
      <c r="AE3">
        <v>0</v>
      </c>
    </row>
    <row r="4" spans="1:31">
      <c r="A4" t="s">
        <v>280</v>
      </c>
      <c r="B4">
        <v>495</v>
      </c>
      <c r="C4">
        <v>495</v>
      </c>
      <c r="D4">
        <v>1.5</v>
      </c>
      <c r="E4">
        <v>29621</v>
      </c>
      <c r="F4">
        <v>22.2</v>
      </c>
      <c r="G4">
        <v>160</v>
      </c>
      <c r="H4">
        <v>50</v>
      </c>
      <c r="I4">
        <v>30</v>
      </c>
      <c r="J4">
        <v>81.3</v>
      </c>
      <c r="K4">
        <v>21.9</v>
      </c>
      <c r="L4">
        <v>91.7</v>
      </c>
      <c r="M4">
        <v>90.3</v>
      </c>
      <c r="N4">
        <v>0</v>
      </c>
      <c r="T4">
        <f t="shared" si="0"/>
        <v>0</v>
      </c>
      <c r="W4">
        <v>0</v>
      </c>
      <c r="X4">
        <v>14248</v>
      </c>
      <c r="Y4">
        <v>8810</v>
      </c>
      <c r="Z4">
        <v>17325</v>
      </c>
      <c r="AA4">
        <v>8480</v>
      </c>
      <c r="AB4">
        <v>125</v>
      </c>
      <c r="AC4">
        <v>300</v>
      </c>
      <c r="AD4">
        <v>85</v>
      </c>
      <c r="AE4">
        <v>65</v>
      </c>
    </row>
    <row r="5" spans="1:31">
      <c r="A5" t="s">
        <v>281</v>
      </c>
      <c r="B5">
        <v>2550</v>
      </c>
      <c r="C5">
        <v>2545</v>
      </c>
      <c r="D5">
        <v>1.1000000000000001</v>
      </c>
      <c r="E5">
        <v>48643</v>
      </c>
      <c r="F5">
        <v>5.4</v>
      </c>
      <c r="G5">
        <v>985</v>
      </c>
      <c r="H5">
        <v>385</v>
      </c>
      <c r="I5">
        <v>95</v>
      </c>
      <c r="J5">
        <v>84.8</v>
      </c>
      <c r="K5">
        <v>15.2</v>
      </c>
      <c r="L5">
        <v>56.9</v>
      </c>
      <c r="M5">
        <v>52.6</v>
      </c>
      <c r="N5">
        <v>7.2</v>
      </c>
      <c r="T5">
        <f t="shared" si="0"/>
        <v>0</v>
      </c>
      <c r="W5">
        <v>0</v>
      </c>
      <c r="X5">
        <v>29923</v>
      </c>
      <c r="Y5">
        <v>15119</v>
      </c>
      <c r="Z5">
        <v>27774</v>
      </c>
      <c r="AA5">
        <v>11670</v>
      </c>
      <c r="AB5">
        <v>590</v>
      </c>
      <c r="AC5">
        <v>1585</v>
      </c>
      <c r="AD5">
        <v>705</v>
      </c>
      <c r="AE5">
        <v>360</v>
      </c>
    </row>
    <row r="6" spans="1:31">
      <c r="A6" t="s">
        <v>282</v>
      </c>
      <c r="B6">
        <v>1765</v>
      </c>
      <c r="C6">
        <v>1750</v>
      </c>
      <c r="D6">
        <v>1.2</v>
      </c>
      <c r="E6">
        <v>28736</v>
      </c>
      <c r="F6">
        <v>36</v>
      </c>
      <c r="G6">
        <v>630</v>
      </c>
      <c r="H6">
        <v>230</v>
      </c>
      <c r="I6">
        <v>120</v>
      </c>
      <c r="J6">
        <v>73</v>
      </c>
      <c r="K6">
        <v>27</v>
      </c>
      <c r="L6">
        <v>57.7</v>
      </c>
      <c r="M6">
        <v>51.1</v>
      </c>
      <c r="N6">
        <v>12.1</v>
      </c>
      <c r="T6">
        <f t="shared" si="0"/>
        <v>0</v>
      </c>
      <c r="W6">
        <v>0</v>
      </c>
      <c r="X6">
        <v>14421</v>
      </c>
      <c r="Y6">
        <v>13575</v>
      </c>
      <c r="Z6">
        <v>10734</v>
      </c>
      <c r="AA6">
        <v>8542</v>
      </c>
      <c r="AB6">
        <v>395</v>
      </c>
      <c r="AC6">
        <v>1145</v>
      </c>
      <c r="AD6">
        <v>465</v>
      </c>
      <c r="AE6">
        <v>225</v>
      </c>
    </row>
    <row r="7" spans="1:31">
      <c r="A7" t="s">
        <v>283</v>
      </c>
      <c r="B7">
        <v>3205</v>
      </c>
      <c r="C7">
        <v>3205</v>
      </c>
      <c r="D7">
        <v>1.1000000000000001</v>
      </c>
      <c r="E7">
        <v>46310</v>
      </c>
      <c r="F7">
        <v>8.6</v>
      </c>
      <c r="G7">
        <v>1285</v>
      </c>
      <c r="H7">
        <v>315</v>
      </c>
      <c r="I7">
        <v>60</v>
      </c>
      <c r="J7">
        <v>68.5</v>
      </c>
      <c r="K7">
        <v>31.5</v>
      </c>
      <c r="L7">
        <v>61.7</v>
      </c>
      <c r="M7">
        <v>58.1</v>
      </c>
      <c r="N7">
        <v>5.8</v>
      </c>
      <c r="T7">
        <f t="shared" si="0"/>
        <v>0</v>
      </c>
      <c r="W7">
        <v>0</v>
      </c>
      <c r="X7">
        <v>26884</v>
      </c>
      <c r="Y7">
        <v>13376</v>
      </c>
      <c r="Z7">
        <v>25975</v>
      </c>
      <c r="AA7">
        <v>12108</v>
      </c>
      <c r="AB7">
        <v>675</v>
      </c>
      <c r="AC7">
        <v>1845</v>
      </c>
      <c r="AD7">
        <v>535</v>
      </c>
      <c r="AE7">
        <v>665</v>
      </c>
    </row>
    <row r="8" spans="1:31">
      <c r="A8" t="s">
        <v>284</v>
      </c>
      <c r="T8">
        <f t="shared" si="0"/>
        <v>0</v>
      </c>
      <c r="AB8">
        <v>0</v>
      </c>
      <c r="AC8">
        <v>0</v>
      </c>
      <c r="AD8">
        <v>0</v>
      </c>
      <c r="AE8">
        <v>0</v>
      </c>
    </row>
    <row r="9" spans="1:31">
      <c r="A9" t="s">
        <v>285</v>
      </c>
      <c r="T9">
        <f t="shared" si="0"/>
        <v>0</v>
      </c>
      <c r="AB9">
        <v>0</v>
      </c>
      <c r="AC9">
        <v>0</v>
      </c>
      <c r="AD9">
        <v>0</v>
      </c>
      <c r="AE9">
        <v>0</v>
      </c>
    </row>
    <row r="10" spans="1:31">
      <c r="A10" t="s">
        <v>286</v>
      </c>
      <c r="B10">
        <v>960</v>
      </c>
      <c r="C10">
        <v>960</v>
      </c>
      <c r="D10">
        <v>1.2</v>
      </c>
      <c r="E10">
        <v>37397</v>
      </c>
      <c r="F10">
        <v>16.600000000000001</v>
      </c>
      <c r="G10">
        <v>420</v>
      </c>
      <c r="H10">
        <v>155</v>
      </c>
      <c r="I10">
        <v>50</v>
      </c>
      <c r="J10">
        <v>72.599999999999994</v>
      </c>
      <c r="K10">
        <v>26.2</v>
      </c>
      <c r="L10">
        <v>59.4</v>
      </c>
      <c r="M10">
        <v>53.5</v>
      </c>
      <c r="N10">
        <v>9.8000000000000007</v>
      </c>
      <c r="T10">
        <f t="shared" si="0"/>
        <v>0</v>
      </c>
      <c r="W10">
        <v>0</v>
      </c>
      <c r="X10">
        <v>22140</v>
      </c>
      <c r="Y10">
        <v>10550</v>
      </c>
      <c r="Z10">
        <v>16348</v>
      </c>
      <c r="AA10">
        <v>10903</v>
      </c>
      <c r="AB10">
        <v>190</v>
      </c>
      <c r="AC10">
        <v>530</v>
      </c>
      <c r="AD10">
        <v>130</v>
      </c>
      <c r="AE10">
        <v>230</v>
      </c>
    </row>
    <row r="11" spans="1:31">
      <c r="A11" t="s">
        <v>668</v>
      </c>
      <c r="B11">
        <v>440</v>
      </c>
      <c r="C11">
        <v>440</v>
      </c>
      <c r="D11">
        <v>1.1000000000000001</v>
      </c>
      <c r="E11">
        <v>35960</v>
      </c>
      <c r="F11">
        <v>15.7</v>
      </c>
      <c r="G11">
        <v>170</v>
      </c>
      <c r="H11">
        <v>80</v>
      </c>
      <c r="I11">
        <v>15</v>
      </c>
      <c r="J11">
        <v>88.2</v>
      </c>
      <c r="K11">
        <v>14.7</v>
      </c>
      <c r="L11">
        <v>77.099999999999994</v>
      </c>
      <c r="M11">
        <v>70</v>
      </c>
      <c r="N11">
        <v>11.1</v>
      </c>
      <c r="T11">
        <f t="shared" si="0"/>
        <v>0</v>
      </c>
      <c r="W11">
        <v>0</v>
      </c>
      <c r="X11">
        <v>18414</v>
      </c>
      <c r="Y11">
        <v>10913</v>
      </c>
      <c r="Z11">
        <v>17714</v>
      </c>
      <c r="AA11">
        <v>9364</v>
      </c>
      <c r="AB11">
        <v>85</v>
      </c>
      <c r="AC11">
        <v>285</v>
      </c>
      <c r="AD11">
        <v>130</v>
      </c>
      <c r="AE11">
        <v>75</v>
      </c>
    </row>
    <row r="12" spans="1:31">
      <c r="A12" t="s">
        <v>287</v>
      </c>
      <c r="B12">
        <v>1185</v>
      </c>
      <c r="C12">
        <v>1110</v>
      </c>
      <c r="D12">
        <v>1.2</v>
      </c>
      <c r="E12">
        <v>43444</v>
      </c>
      <c r="F12">
        <v>16</v>
      </c>
      <c r="G12">
        <v>435</v>
      </c>
      <c r="H12">
        <v>190</v>
      </c>
      <c r="I12">
        <v>35</v>
      </c>
      <c r="J12">
        <v>83.9</v>
      </c>
      <c r="K12">
        <v>16.100000000000001</v>
      </c>
      <c r="L12">
        <v>74.099999999999994</v>
      </c>
      <c r="M12">
        <v>72.400000000000006</v>
      </c>
      <c r="N12">
        <v>2.2000000000000002</v>
      </c>
      <c r="T12">
        <f t="shared" si="0"/>
        <v>0</v>
      </c>
      <c r="U12" s="102" t="s">
        <v>194</v>
      </c>
      <c r="V12">
        <v>487</v>
      </c>
      <c r="W12">
        <v>0</v>
      </c>
      <c r="X12">
        <v>16121</v>
      </c>
      <c r="Y12">
        <v>15017</v>
      </c>
      <c r="Z12">
        <v>16279</v>
      </c>
      <c r="AA12">
        <v>12079</v>
      </c>
      <c r="AB12">
        <v>260</v>
      </c>
      <c r="AC12">
        <v>720</v>
      </c>
      <c r="AD12">
        <v>280</v>
      </c>
      <c r="AE12">
        <v>205</v>
      </c>
    </row>
    <row r="13" spans="1:31">
      <c r="A13" t="s">
        <v>687</v>
      </c>
      <c r="B13">
        <v>1865</v>
      </c>
      <c r="C13">
        <v>1865</v>
      </c>
      <c r="D13">
        <v>0.9</v>
      </c>
      <c r="E13">
        <v>34215</v>
      </c>
      <c r="F13">
        <v>15.4</v>
      </c>
      <c r="G13">
        <v>755</v>
      </c>
      <c r="H13">
        <v>245</v>
      </c>
      <c r="I13">
        <v>115</v>
      </c>
      <c r="J13">
        <v>84.1</v>
      </c>
      <c r="K13">
        <v>15.2</v>
      </c>
      <c r="L13">
        <v>70.599999999999994</v>
      </c>
      <c r="M13">
        <v>65.3</v>
      </c>
      <c r="N13">
        <v>7.9</v>
      </c>
      <c r="T13">
        <f t="shared" si="0"/>
        <v>0</v>
      </c>
      <c r="U13" s="102" t="s">
        <v>197</v>
      </c>
      <c r="V13">
        <v>1608</v>
      </c>
      <c r="W13">
        <v>0</v>
      </c>
      <c r="X13">
        <v>17793</v>
      </c>
      <c r="Y13">
        <v>11089</v>
      </c>
      <c r="Z13">
        <v>16678</v>
      </c>
      <c r="AA13">
        <v>10904</v>
      </c>
      <c r="AB13">
        <v>340</v>
      </c>
      <c r="AC13">
        <v>1155</v>
      </c>
      <c r="AD13">
        <v>490</v>
      </c>
      <c r="AE13">
        <v>355</v>
      </c>
    </row>
    <row r="14" spans="1:31">
      <c r="A14" t="s">
        <v>623</v>
      </c>
      <c r="B14">
        <v>530</v>
      </c>
      <c r="C14">
        <v>525</v>
      </c>
      <c r="D14">
        <v>1.3</v>
      </c>
      <c r="E14">
        <v>43427</v>
      </c>
      <c r="F14">
        <v>9.6999999999999993</v>
      </c>
      <c r="G14">
        <v>185</v>
      </c>
      <c r="H14">
        <v>50</v>
      </c>
      <c r="I14">
        <v>30</v>
      </c>
      <c r="J14">
        <v>86.5</v>
      </c>
      <c r="K14">
        <v>10.8</v>
      </c>
      <c r="L14">
        <v>83.1</v>
      </c>
      <c r="M14">
        <v>81.900000000000006</v>
      </c>
      <c r="N14">
        <v>2.9</v>
      </c>
      <c r="T14">
        <f t="shared" si="0"/>
        <v>0</v>
      </c>
      <c r="U14" s="102" t="s">
        <v>198</v>
      </c>
      <c r="V14">
        <v>457</v>
      </c>
      <c r="W14">
        <v>0</v>
      </c>
      <c r="X14">
        <v>17714</v>
      </c>
      <c r="Y14">
        <v>12302</v>
      </c>
      <c r="Z14">
        <v>16436</v>
      </c>
      <c r="AA14">
        <v>11065</v>
      </c>
      <c r="AB14">
        <v>105</v>
      </c>
      <c r="AC14">
        <v>365</v>
      </c>
      <c r="AD14">
        <v>150</v>
      </c>
      <c r="AE14">
        <v>45</v>
      </c>
    </row>
    <row r="15" spans="1:31">
      <c r="A15" t="s">
        <v>288</v>
      </c>
      <c r="T15">
        <f t="shared" si="0"/>
        <v>0</v>
      </c>
      <c r="U15" s="102" t="s">
        <v>544</v>
      </c>
      <c r="V15">
        <v>565</v>
      </c>
      <c r="AB15">
        <v>0</v>
      </c>
      <c r="AC15">
        <v>0</v>
      </c>
      <c r="AD15">
        <v>0</v>
      </c>
      <c r="AE15">
        <v>0</v>
      </c>
    </row>
    <row r="16" spans="1:31">
      <c r="A16" t="s">
        <v>289</v>
      </c>
      <c r="T16">
        <f t="shared" si="0"/>
        <v>0</v>
      </c>
      <c r="U16" s="102" t="s">
        <v>200</v>
      </c>
      <c r="V16">
        <v>958</v>
      </c>
      <c r="AB16">
        <v>0</v>
      </c>
      <c r="AC16">
        <v>0</v>
      </c>
      <c r="AD16">
        <v>0</v>
      </c>
      <c r="AE16">
        <v>0</v>
      </c>
    </row>
    <row r="17" spans="1:31">
      <c r="A17" t="s">
        <v>726</v>
      </c>
      <c r="T17">
        <f t="shared" si="0"/>
        <v>0</v>
      </c>
      <c r="U17" s="102" t="s">
        <v>201</v>
      </c>
      <c r="V17">
        <v>564</v>
      </c>
      <c r="W17">
        <v>0</v>
      </c>
      <c r="X17">
        <v>0</v>
      </c>
      <c r="Y17">
        <v>0</v>
      </c>
      <c r="Z17">
        <v>0</v>
      </c>
      <c r="AA17">
        <v>0</v>
      </c>
      <c r="AB17">
        <v>0</v>
      </c>
      <c r="AC17">
        <v>0</v>
      </c>
      <c r="AD17">
        <v>0</v>
      </c>
      <c r="AE17">
        <v>0</v>
      </c>
    </row>
    <row r="18" spans="1:31">
      <c r="A18" t="s">
        <v>788</v>
      </c>
      <c r="T18">
        <f t="shared" si="0"/>
        <v>0</v>
      </c>
      <c r="U18" s="102" t="s">
        <v>202</v>
      </c>
      <c r="V18">
        <v>44</v>
      </c>
      <c r="AB18">
        <v>0</v>
      </c>
      <c r="AC18">
        <v>0</v>
      </c>
      <c r="AD18">
        <v>0</v>
      </c>
      <c r="AE18">
        <v>0</v>
      </c>
    </row>
    <row r="19" spans="1:31">
      <c r="A19" t="s">
        <v>193</v>
      </c>
      <c r="B19">
        <v>37</v>
      </c>
      <c r="T19">
        <f t="shared" si="0"/>
        <v>0</v>
      </c>
      <c r="U19" s="102" t="s">
        <v>203</v>
      </c>
      <c r="V19">
        <v>1789</v>
      </c>
      <c r="AB19">
        <v>0</v>
      </c>
      <c r="AC19">
        <v>0</v>
      </c>
      <c r="AD19">
        <v>0</v>
      </c>
      <c r="AE19">
        <v>0</v>
      </c>
    </row>
    <row r="20" spans="1:31">
      <c r="A20" t="s">
        <v>291</v>
      </c>
      <c r="T20">
        <f t="shared" si="0"/>
        <v>0</v>
      </c>
      <c r="U20" s="102" t="s">
        <v>204</v>
      </c>
      <c r="V20">
        <v>268</v>
      </c>
      <c r="AB20">
        <v>0</v>
      </c>
      <c r="AC20">
        <v>0</v>
      </c>
      <c r="AD20">
        <v>0</v>
      </c>
      <c r="AE20">
        <v>0</v>
      </c>
    </row>
    <row r="21" spans="1:31">
      <c r="A21" t="s">
        <v>292</v>
      </c>
      <c r="T21">
        <f t="shared" si="0"/>
        <v>0</v>
      </c>
      <c r="U21" s="102" t="s">
        <v>205</v>
      </c>
      <c r="V21">
        <v>1049</v>
      </c>
      <c r="AB21">
        <v>0</v>
      </c>
      <c r="AC21">
        <v>0</v>
      </c>
      <c r="AD21">
        <v>0</v>
      </c>
      <c r="AE21">
        <v>0</v>
      </c>
    </row>
    <row r="22" spans="1:31">
      <c r="A22" t="s">
        <v>293</v>
      </c>
      <c r="T22">
        <f t="shared" si="0"/>
        <v>0</v>
      </c>
      <c r="U22" s="102" t="s">
        <v>207</v>
      </c>
      <c r="V22">
        <v>4016</v>
      </c>
      <c r="AB22">
        <v>0</v>
      </c>
      <c r="AC22">
        <v>0</v>
      </c>
      <c r="AD22">
        <v>0</v>
      </c>
      <c r="AE22">
        <v>0</v>
      </c>
    </row>
    <row r="23" spans="1:31">
      <c r="A23" t="s">
        <v>194</v>
      </c>
      <c r="B23">
        <v>240</v>
      </c>
      <c r="C23">
        <v>245</v>
      </c>
      <c r="D23">
        <v>2.8</v>
      </c>
      <c r="E23">
        <v>0</v>
      </c>
      <c r="F23">
        <v>0</v>
      </c>
      <c r="G23">
        <v>50</v>
      </c>
      <c r="H23">
        <v>20</v>
      </c>
      <c r="I23">
        <v>15</v>
      </c>
      <c r="J23">
        <v>20</v>
      </c>
      <c r="K23">
        <v>0</v>
      </c>
      <c r="L23">
        <v>32.1</v>
      </c>
      <c r="M23">
        <v>28.6</v>
      </c>
      <c r="N23">
        <v>22.2</v>
      </c>
      <c r="T23" t="str">
        <f t="shared" si="0"/>
        <v>Barren Lands First Nation</v>
      </c>
      <c r="U23" s="102" t="s">
        <v>208</v>
      </c>
      <c r="V23">
        <v>200</v>
      </c>
      <c r="W23">
        <v>0</v>
      </c>
      <c r="X23">
        <v>0</v>
      </c>
      <c r="Y23">
        <v>0</v>
      </c>
      <c r="Z23">
        <v>0</v>
      </c>
      <c r="AA23">
        <v>0</v>
      </c>
      <c r="AB23">
        <v>100</v>
      </c>
      <c r="AC23">
        <v>115</v>
      </c>
      <c r="AD23">
        <v>10</v>
      </c>
      <c r="AE23">
        <v>0</v>
      </c>
    </row>
    <row r="24" spans="1:31">
      <c r="A24" t="s">
        <v>195</v>
      </c>
      <c r="B24">
        <v>148</v>
      </c>
      <c r="T24">
        <f t="shared" si="0"/>
        <v>0</v>
      </c>
      <c r="U24" s="102" t="s">
        <v>209</v>
      </c>
      <c r="V24">
        <v>112</v>
      </c>
      <c r="AB24">
        <v>0</v>
      </c>
      <c r="AC24">
        <v>0</v>
      </c>
      <c r="AD24">
        <v>0</v>
      </c>
      <c r="AE24">
        <v>0</v>
      </c>
    </row>
    <row r="25" spans="1:31">
      <c r="A25" t="s">
        <v>294</v>
      </c>
      <c r="B25">
        <v>2650</v>
      </c>
      <c r="C25">
        <v>2650</v>
      </c>
      <c r="D25">
        <v>0.9</v>
      </c>
      <c r="E25">
        <v>43366</v>
      </c>
      <c r="F25">
        <v>14.4</v>
      </c>
      <c r="G25">
        <v>1190</v>
      </c>
      <c r="H25">
        <v>400</v>
      </c>
      <c r="I25">
        <v>90</v>
      </c>
      <c r="J25">
        <v>68.900000000000006</v>
      </c>
      <c r="K25">
        <v>31.1</v>
      </c>
      <c r="L25">
        <v>54.1</v>
      </c>
      <c r="M25">
        <v>48.4</v>
      </c>
      <c r="N25">
        <v>10.5</v>
      </c>
      <c r="T25">
        <f t="shared" si="0"/>
        <v>0</v>
      </c>
      <c r="U25" s="102" t="s">
        <v>212</v>
      </c>
      <c r="V25">
        <v>131</v>
      </c>
      <c r="W25">
        <v>0</v>
      </c>
      <c r="X25">
        <v>29139</v>
      </c>
      <c r="Y25">
        <v>13876</v>
      </c>
      <c r="Z25">
        <v>24061</v>
      </c>
      <c r="AA25">
        <v>11265</v>
      </c>
      <c r="AB25">
        <v>455</v>
      </c>
      <c r="AC25">
        <v>1520</v>
      </c>
      <c r="AD25">
        <v>560</v>
      </c>
      <c r="AE25">
        <v>665</v>
      </c>
    </row>
    <row r="26" spans="1:31">
      <c r="A26" t="s">
        <v>295</v>
      </c>
      <c r="B26">
        <v>440</v>
      </c>
      <c r="C26">
        <v>435</v>
      </c>
      <c r="D26">
        <v>0.8</v>
      </c>
      <c r="E26">
        <v>24706</v>
      </c>
      <c r="F26">
        <v>11.8</v>
      </c>
      <c r="G26">
        <v>220</v>
      </c>
      <c r="H26">
        <v>60</v>
      </c>
      <c r="I26">
        <v>25</v>
      </c>
      <c r="J26">
        <v>75</v>
      </c>
      <c r="K26">
        <v>22.7</v>
      </c>
      <c r="L26">
        <v>46.4</v>
      </c>
      <c r="M26">
        <v>44.9</v>
      </c>
      <c r="N26">
        <v>6.2</v>
      </c>
      <c r="T26">
        <f t="shared" si="0"/>
        <v>0</v>
      </c>
      <c r="U26" s="102" t="s">
        <v>214</v>
      </c>
      <c r="V26">
        <v>1022</v>
      </c>
      <c r="W26">
        <v>0</v>
      </c>
      <c r="X26">
        <v>22556</v>
      </c>
      <c r="Y26">
        <v>12522</v>
      </c>
      <c r="Z26">
        <v>15465</v>
      </c>
      <c r="AA26">
        <v>10905</v>
      </c>
      <c r="AB26">
        <v>90</v>
      </c>
      <c r="AC26">
        <v>200</v>
      </c>
      <c r="AD26">
        <v>65</v>
      </c>
      <c r="AE26">
        <v>130</v>
      </c>
    </row>
    <row r="27" spans="1:31">
      <c r="A27" t="s">
        <v>196</v>
      </c>
      <c r="B27">
        <v>105</v>
      </c>
      <c r="T27">
        <f t="shared" si="0"/>
        <v>0</v>
      </c>
      <c r="U27" s="102" t="s">
        <v>216</v>
      </c>
      <c r="V27">
        <v>1550</v>
      </c>
      <c r="AB27">
        <v>0</v>
      </c>
      <c r="AC27">
        <v>0</v>
      </c>
      <c r="AD27">
        <v>0</v>
      </c>
      <c r="AE27">
        <v>0</v>
      </c>
    </row>
    <row r="28" spans="1:31">
      <c r="A28" t="s">
        <v>197</v>
      </c>
      <c r="B28">
        <v>790</v>
      </c>
      <c r="C28">
        <v>790</v>
      </c>
      <c r="D28">
        <v>2.7</v>
      </c>
      <c r="E28">
        <v>26184</v>
      </c>
      <c r="F28">
        <v>0</v>
      </c>
      <c r="G28">
        <v>175</v>
      </c>
      <c r="H28">
        <v>60</v>
      </c>
      <c r="I28">
        <v>70</v>
      </c>
      <c r="J28">
        <v>11.4</v>
      </c>
      <c r="K28">
        <v>8.6</v>
      </c>
      <c r="L28">
        <v>46.5</v>
      </c>
      <c r="M28">
        <v>24.4</v>
      </c>
      <c r="N28">
        <v>50</v>
      </c>
      <c r="T28" t="str">
        <f t="shared" si="0"/>
        <v>Berens River First Nation</v>
      </c>
      <c r="U28" s="102" t="s">
        <v>217</v>
      </c>
      <c r="V28">
        <v>395</v>
      </c>
      <c r="W28">
        <v>0</v>
      </c>
      <c r="X28">
        <v>16734</v>
      </c>
      <c r="Y28">
        <v>15079</v>
      </c>
      <c r="Z28">
        <v>10464</v>
      </c>
      <c r="AA28">
        <v>5736</v>
      </c>
      <c r="AB28">
        <v>350</v>
      </c>
      <c r="AC28">
        <v>420</v>
      </c>
      <c r="AD28">
        <v>90</v>
      </c>
      <c r="AE28">
        <v>40</v>
      </c>
    </row>
    <row r="29" spans="1:31">
      <c r="A29" t="s">
        <v>692</v>
      </c>
      <c r="B29">
        <v>2815</v>
      </c>
      <c r="C29">
        <v>2815</v>
      </c>
      <c r="D29">
        <v>1.5</v>
      </c>
      <c r="E29">
        <v>37957</v>
      </c>
      <c r="F29">
        <v>17.3</v>
      </c>
      <c r="G29">
        <v>925</v>
      </c>
      <c r="H29">
        <v>350</v>
      </c>
      <c r="I29">
        <v>95</v>
      </c>
      <c r="J29">
        <v>90.8</v>
      </c>
      <c r="K29">
        <v>9.1999999999999993</v>
      </c>
      <c r="L29">
        <v>68.400000000000006</v>
      </c>
      <c r="M29">
        <v>64.099999999999994</v>
      </c>
      <c r="N29">
        <v>5.9</v>
      </c>
      <c r="T29">
        <f t="shared" si="0"/>
        <v>0</v>
      </c>
      <c r="U29" s="102" t="s">
        <v>756</v>
      </c>
      <c r="V29">
        <v>37</v>
      </c>
      <c r="W29">
        <v>0</v>
      </c>
      <c r="X29">
        <v>17499</v>
      </c>
      <c r="Y29">
        <v>10790</v>
      </c>
      <c r="Z29">
        <v>16841</v>
      </c>
      <c r="AA29">
        <v>10900</v>
      </c>
      <c r="AB29">
        <v>720</v>
      </c>
      <c r="AC29">
        <v>1745</v>
      </c>
      <c r="AD29">
        <v>635</v>
      </c>
      <c r="AE29">
        <v>335</v>
      </c>
    </row>
    <row r="30" spans="1:31">
      <c r="A30" t="s">
        <v>296</v>
      </c>
      <c r="B30">
        <v>460</v>
      </c>
      <c r="C30">
        <v>465</v>
      </c>
      <c r="D30">
        <v>1</v>
      </c>
      <c r="E30">
        <v>40683</v>
      </c>
      <c r="F30">
        <v>13.6</v>
      </c>
      <c r="G30">
        <v>210</v>
      </c>
      <c r="H30">
        <v>70</v>
      </c>
      <c r="I30">
        <v>35</v>
      </c>
      <c r="J30">
        <v>83.3</v>
      </c>
      <c r="K30">
        <v>19</v>
      </c>
      <c r="L30">
        <v>57.1</v>
      </c>
      <c r="M30">
        <v>53.2</v>
      </c>
      <c r="N30">
        <v>6.8</v>
      </c>
      <c r="T30">
        <f t="shared" si="0"/>
        <v>0</v>
      </c>
      <c r="U30" s="102" t="s">
        <v>219</v>
      </c>
      <c r="V30">
        <v>2852</v>
      </c>
      <c r="W30">
        <v>0</v>
      </c>
      <c r="X30">
        <v>21783</v>
      </c>
      <c r="Y30">
        <v>13980</v>
      </c>
      <c r="Z30">
        <v>17361</v>
      </c>
      <c r="AA30">
        <v>12885</v>
      </c>
      <c r="AB30">
        <v>65</v>
      </c>
      <c r="AC30">
        <v>265</v>
      </c>
      <c r="AD30">
        <v>80</v>
      </c>
      <c r="AE30">
        <v>125</v>
      </c>
    </row>
    <row r="31" spans="1:31">
      <c r="A31" t="s">
        <v>297</v>
      </c>
      <c r="T31">
        <f t="shared" si="0"/>
        <v>0</v>
      </c>
      <c r="U31" s="102" t="s">
        <v>492</v>
      </c>
      <c r="V31">
        <v>2041</v>
      </c>
      <c r="AB31">
        <v>0</v>
      </c>
      <c r="AC31">
        <v>0</v>
      </c>
      <c r="AD31">
        <v>0</v>
      </c>
      <c r="AE31">
        <v>0</v>
      </c>
    </row>
    <row r="32" spans="1:31">
      <c r="A32" t="s">
        <v>491</v>
      </c>
      <c r="T32">
        <f t="shared" si="0"/>
        <v>0</v>
      </c>
      <c r="U32" s="102" t="s">
        <v>223</v>
      </c>
      <c r="V32">
        <v>803</v>
      </c>
      <c r="AB32">
        <v>0</v>
      </c>
      <c r="AC32">
        <v>0</v>
      </c>
      <c r="AD32">
        <v>0</v>
      </c>
      <c r="AE32">
        <v>0</v>
      </c>
    </row>
    <row r="33" spans="1:31">
      <c r="A33" t="s">
        <v>298</v>
      </c>
      <c r="T33">
        <f t="shared" si="0"/>
        <v>0</v>
      </c>
      <c r="U33" s="102" t="s">
        <v>225</v>
      </c>
      <c r="V33">
        <v>643</v>
      </c>
      <c r="AB33">
        <v>0</v>
      </c>
      <c r="AC33">
        <v>0</v>
      </c>
      <c r="AD33">
        <v>0</v>
      </c>
      <c r="AE33">
        <v>0</v>
      </c>
    </row>
    <row r="34" spans="1:31">
      <c r="A34" t="s">
        <v>198</v>
      </c>
      <c r="B34">
        <v>305</v>
      </c>
      <c r="C34">
        <v>305</v>
      </c>
      <c r="D34">
        <v>2.2000000000000002</v>
      </c>
      <c r="E34">
        <v>21618</v>
      </c>
      <c r="F34">
        <v>0</v>
      </c>
      <c r="G34">
        <v>70</v>
      </c>
      <c r="H34">
        <v>10</v>
      </c>
      <c r="I34">
        <v>35</v>
      </c>
      <c r="J34">
        <v>0</v>
      </c>
      <c r="K34">
        <v>0</v>
      </c>
      <c r="L34">
        <v>52.8</v>
      </c>
      <c r="M34">
        <v>30.6</v>
      </c>
      <c r="N34">
        <v>42.1</v>
      </c>
      <c r="T34" t="str">
        <f t="shared" si="0"/>
        <v>Birdtail Sioux First Nation</v>
      </c>
      <c r="U34" s="102" t="s">
        <v>226</v>
      </c>
      <c r="V34">
        <v>243</v>
      </c>
      <c r="W34">
        <v>0</v>
      </c>
      <c r="X34">
        <v>13154</v>
      </c>
      <c r="Y34">
        <v>12136</v>
      </c>
      <c r="Z34">
        <v>7936</v>
      </c>
      <c r="AA34">
        <v>7792</v>
      </c>
      <c r="AB34">
        <v>125</v>
      </c>
      <c r="AC34">
        <v>170</v>
      </c>
      <c r="AD34">
        <v>30</v>
      </c>
      <c r="AE34">
        <v>20</v>
      </c>
    </row>
    <row r="35" spans="1:31">
      <c r="A35" t="s">
        <v>299</v>
      </c>
      <c r="B35">
        <v>705</v>
      </c>
      <c r="C35">
        <v>705</v>
      </c>
      <c r="D35">
        <v>0.9</v>
      </c>
      <c r="E35">
        <v>39134</v>
      </c>
      <c r="F35">
        <v>14.6</v>
      </c>
      <c r="G35">
        <v>325</v>
      </c>
      <c r="H35">
        <v>105</v>
      </c>
      <c r="I35">
        <v>25</v>
      </c>
      <c r="J35">
        <v>78.5</v>
      </c>
      <c r="K35">
        <v>21.5</v>
      </c>
      <c r="L35">
        <v>64.7</v>
      </c>
      <c r="M35">
        <v>62.2</v>
      </c>
      <c r="N35">
        <v>2.6</v>
      </c>
      <c r="T35">
        <f>IFERROR(VLOOKUP(A35,$U$12:$U$74,1,0),0)</f>
        <v>0</v>
      </c>
      <c r="U35" s="102" t="s">
        <v>228</v>
      </c>
      <c r="V35">
        <v>1178</v>
      </c>
      <c r="W35">
        <v>0</v>
      </c>
      <c r="X35">
        <v>24071</v>
      </c>
      <c r="Y35">
        <v>15326</v>
      </c>
      <c r="Z35">
        <v>21892</v>
      </c>
      <c r="AA35">
        <v>11039</v>
      </c>
      <c r="AB35">
        <v>105</v>
      </c>
      <c r="AC35">
        <v>425</v>
      </c>
      <c r="AD35">
        <v>160</v>
      </c>
      <c r="AE35">
        <v>165</v>
      </c>
    </row>
    <row r="36" spans="1:31">
      <c r="A36" t="s">
        <v>774</v>
      </c>
      <c r="B36">
        <v>860</v>
      </c>
      <c r="C36">
        <v>855</v>
      </c>
      <c r="D36">
        <v>1.3</v>
      </c>
      <c r="E36">
        <v>41973</v>
      </c>
      <c r="F36">
        <v>7.9</v>
      </c>
      <c r="G36">
        <v>315</v>
      </c>
      <c r="H36">
        <v>95</v>
      </c>
      <c r="I36">
        <v>35</v>
      </c>
      <c r="J36">
        <v>84.1</v>
      </c>
      <c r="K36">
        <v>15.9</v>
      </c>
      <c r="L36">
        <v>76.3</v>
      </c>
      <c r="M36">
        <v>74.099999999999994</v>
      </c>
      <c r="N36">
        <v>2.9</v>
      </c>
      <c r="T36">
        <f>IFERROR(VLOOKUP(A36,$U$12:$U$74,1,0),0)</f>
        <v>0</v>
      </c>
      <c r="U36" s="103" t="s">
        <v>227</v>
      </c>
      <c r="V36">
        <v>1043</v>
      </c>
      <c r="W36">
        <v>0</v>
      </c>
      <c r="X36">
        <v>14841</v>
      </c>
      <c r="Y36">
        <v>13879</v>
      </c>
      <c r="Z36">
        <v>15497</v>
      </c>
      <c r="AA36">
        <v>12991</v>
      </c>
      <c r="AB36">
        <v>195</v>
      </c>
      <c r="AC36">
        <v>545</v>
      </c>
      <c r="AD36">
        <v>210</v>
      </c>
      <c r="AE36">
        <v>125</v>
      </c>
    </row>
    <row r="37" spans="1:31">
      <c r="A37" t="s">
        <v>199</v>
      </c>
      <c r="B37">
        <v>159</v>
      </c>
      <c r="T37">
        <f t="shared" si="0"/>
        <v>0</v>
      </c>
      <c r="U37" s="102" t="s">
        <v>229</v>
      </c>
      <c r="V37">
        <v>1073</v>
      </c>
      <c r="AB37">
        <v>0</v>
      </c>
      <c r="AC37">
        <v>0</v>
      </c>
      <c r="AD37">
        <v>0</v>
      </c>
      <c r="AE37">
        <v>0</v>
      </c>
    </row>
    <row r="38" spans="1:31">
      <c r="A38" t="s">
        <v>544</v>
      </c>
      <c r="B38">
        <v>340</v>
      </c>
      <c r="C38">
        <v>340</v>
      </c>
      <c r="D38">
        <v>2.4</v>
      </c>
      <c r="E38">
        <v>24395</v>
      </c>
      <c r="F38">
        <v>0</v>
      </c>
      <c r="G38">
        <v>85</v>
      </c>
      <c r="H38">
        <v>35</v>
      </c>
      <c r="I38">
        <v>20</v>
      </c>
      <c r="J38">
        <v>11.8</v>
      </c>
      <c r="K38">
        <v>0</v>
      </c>
      <c r="L38">
        <v>52.6</v>
      </c>
      <c r="M38">
        <v>39.5</v>
      </c>
      <c r="N38">
        <v>30</v>
      </c>
      <c r="T38" t="str">
        <f t="shared" si="0"/>
        <v>Black River First Nation</v>
      </c>
      <c r="U38" s="102" t="s">
        <v>230</v>
      </c>
      <c r="V38">
        <v>512</v>
      </c>
      <c r="W38">
        <v>0</v>
      </c>
      <c r="X38">
        <v>9994</v>
      </c>
      <c r="Y38">
        <v>15122</v>
      </c>
      <c r="Z38">
        <v>6608</v>
      </c>
      <c r="AA38">
        <v>7200</v>
      </c>
      <c r="AB38">
        <v>145</v>
      </c>
      <c r="AC38">
        <v>190</v>
      </c>
      <c r="AD38">
        <v>40</v>
      </c>
      <c r="AE38">
        <v>10</v>
      </c>
    </row>
    <row r="39" spans="1:31">
      <c r="A39" t="s">
        <v>666</v>
      </c>
      <c r="B39">
        <v>675</v>
      </c>
      <c r="C39">
        <v>675</v>
      </c>
      <c r="D39">
        <v>1.3</v>
      </c>
      <c r="E39">
        <v>36986</v>
      </c>
      <c r="F39">
        <v>16.7</v>
      </c>
      <c r="G39">
        <v>240</v>
      </c>
      <c r="H39">
        <v>85</v>
      </c>
      <c r="I39">
        <v>45</v>
      </c>
      <c r="J39">
        <v>95.8</v>
      </c>
      <c r="K39">
        <v>4.2</v>
      </c>
      <c r="L39">
        <v>68.400000000000006</v>
      </c>
      <c r="M39">
        <v>66.3</v>
      </c>
      <c r="N39">
        <v>3</v>
      </c>
      <c r="T39">
        <f t="shared" si="0"/>
        <v>0</v>
      </c>
      <c r="U39" s="102" t="s">
        <v>712</v>
      </c>
      <c r="V39">
        <v>1467</v>
      </c>
      <c r="W39">
        <v>0</v>
      </c>
      <c r="X39">
        <v>20572</v>
      </c>
      <c r="Y39">
        <v>12551</v>
      </c>
      <c r="Z39">
        <v>21902</v>
      </c>
      <c r="AA39">
        <v>10572</v>
      </c>
      <c r="AB39">
        <v>180</v>
      </c>
      <c r="AC39">
        <v>380</v>
      </c>
      <c r="AD39">
        <v>140</v>
      </c>
      <c r="AE39">
        <v>120</v>
      </c>
    </row>
    <row r="40" spans="1:31">
      <c r="A40" t="s">
        <v>200</v>
      </c>
      <c r="B40">
        <v>450</v>
      </c>
      <c r="C40">
        <v>455</v>
      </c>
      <c r="D40">
        <v>2.2999999999999998</v>
      </c>
      <c r="E40">
        <v>21661</v>
      </c>
      <c r="F40">
        <v>0</v>
      </c>
      <c r="G40">
        <v>105</v>
      </c>
      <c r="H40">
        <v>25</v>
      </c>
      <c r="I40">
        <v>50</v>
      </c>
      <c r="J40">
        <v>28.6</v>
      </c>
      <c r="K40">
        <v>9.5</v>
      </c>
      <c r="L40">
        <v>26.4</v>
      </c>
      <c r="M40">
        <v>22.6</v>
      </c>
      <c r="N40">
        <v>21.4</v>
      </c>
      <c r="T40" t="str">
        <f t="shared" si="0"/>
        <v>Bloodvein First Nation</v>
      </c>
      <c r="U40" s="102" t="s">
        <v>234</v>
      </c>
      <c r="V40">
        <v>500</v>
      </c>
      <c r="W40">
        <v>0</v>
      </c>
      <c r="X40">
        <v>11151</v>
      </c>
      <c r="Y40">
        <v>19074</v>
      </c>
      <c r="Z40">
        <v>5504</v>
      </c>
      <c r="AA40">
        <v>4496</v>
      </c>
      <c r="AB40">
        <v>185</v>
      </c>
      <c r="AC40">
        <v>265</v>
      </c>
      <c r="AD40">
        <v>50</v>
      </c>
      <c r="AE40">
        <v>10</v>
      </c>
    </row>
    <row r="41" spans="1:31">
      <c r="A41" t="s">
        <v>300</v>
      </c>
      <c r="T41">
        <f t="shared" si="0"/>
        <v>0</v>
      </c>
      <c r="U41" s="102" t="s">
        <v>235</v>
      </c>
      <c r="V41">
        <v>201</v>
      </c>
      <c r="AB41">
        <v>0</v>
      </c>
      <c r="AC41">
        <v>0</v>
      </c>
      <c r="AD41">
        <v>0</v>
      </c>
      <c r="AE41">
        <v>0</v>
      </c>
    </row>
    <row r="42" spans="1:31">
      <c r="A42" t="s">
        <v>301</v>
      </c>
      <c r="B42">
        <v>1470</v>
      </c>
      <c r="C42">
        <v>1470</v>
      </c>
      <c r="D42">
        <v>0.9</v>
      </c>
      <c r="E42">
        <v>42368</v>
      </c>
      <c r="F42">
        <v>10.8</v>
      </c>
      <c r="G42">
        <v>635</v>
      </c>
      <c r="H42">
        <v>235</v>
      </c>
      <c r="I42">
        <v>45</v>
      </c>
      <c r="J42">
        <v>79.5</v>
      </c>
      <c r="K42">
        <v>21.3</v>
      </c>
      <c r="L42">
        <v>62.9</v>
      </c>
      <c r="M42">
        <v>61.2</v>
      </c>
      <c r="N42">
        <v>2.6</v>
      </c>
      <c r="T42">
        <f t="shared" si="0"/>
        <v>0</v>
      </c>
      <c r="U42" s="102" t="s">
        <v>237</v>
      </c>
      <c r="V42">
        <v>1940</v>
      </c>
      <c r="W42">
        <v>0</v>
      </c>
      <c r="X42">
        <v>22595</v>
      </c>
      <c r="Y42">
        <v>13207</v>
      </c>
      <c r="Z42">
        <v>18716</v>
      </c>
      <c r="AA42">
        <v>13810</v>
      </c>
      <c r="AB42">
        <v>270</v>
      </c>
      <c r="AC42">
        <v>855</v>
      </c>
      <c r="AD42">
        <v>285</v>
      </c>
      <c r="AE42">
        <v>345</v>
      </c>
    </row>
    <row r="43" spans="1:31">
      <c r="A43" t="s">
        <v>302</v>
      </c>
      <c r="B43">
        <v>355</v>
      </c>
      <c r="C43">
        <v>360</v>
      </c>
      <c r="D43">
        <v>1</v>
      </c>
      <c r="E43">
        <v>30484</v>
      </c>
      <c r="F43">
        <v>29.3</v>
      </c>
      <c r="G43">
        <v>160</v>
      </c>
      <c r="H43">
        <v>50</v>
      </c>
      <c r="I43">
        <v>10</v>
      </c>
      <c r="J43">
        <v>78.099999999999994</v>
      </c>
      <c r="K43">
        <v>21.9</v>
      </c>
      <c r="L43">
        <v>42.1</v>
      </c>
      <c r="M43">
        <v>40.4</v>
      </c>
      <c r="N43">
        <v>8.3000000000000007</v>
      </c>
      <c r="T43">
        <f t="shared" si="0"/>
        <v>0</v>
      </c>
      <c r="U43" s="102" t="s">
        <v>494</v>
      </c>
      <c r="V43">
        <v>738</v>
      </c>
      <c r="W43">
        <v>0</v>
      </c>
      <c r="X43">
        <v>23158</v>
      </c>
      <c r="Y43">
        <v>10631</v>
      </c>
      <c r="Z43">
        <v>14360</v>
      </c>
      <c r="AA43">
        <v>10896</v>
      </c>
      <c r="AB43">
        <v>75</v>
      </c>
      <c r="AC43">
        <v>170</v>
      </c>
      <c r="AD43">
        <v>55</v>
      </c>
      <c r="AE43">
        <v>85</v>
      </c>
    </row>
    <row r="44" spans="1:31">
      <c r="A44" t="s">
        <v>303</v>
      </c>
      <c r="B44">
        <v>38340</v>
      </c>
      <c r="C44">
        <v>38230</v>
      </c>
      <c r="D44">
        <v>1.1000000000000001</v>
      </c>
      <c r="E44">
        <v>49065</v>
      </c>
      <c r="F44">
        <v>15.6</v>
      </c>
      <c r="G44">
        <v>15975</v>
      </c>
      <c r="H44">
        <v>4530</v>
      </c>
      <c r="I44">
        <v>1215</v>
      </c>
      <c r="J44">
        <v>60.8</v>
      </c>
      <c r="K44">
        <v>39.200000000000003</v>
      </c>
      <c r="L44">
        <v>67</v>
      </c>
      <c r="M44">
        <v>62</v>
      </c>
      <c r="N44">
        <v>7.4</v>
      </c>
      <c r="T44">
        <f t="shared" si="0"/>
        <v>0</v>
      </c>
      <c r="U44" s="102" t="s">
        <v>758</v>
      </c>
      <c r="V44">
        <v>926</v>
      </c>
      <c r="W44">
        <v>0</v>
      </c>
      <c r="X44">
        <v>28410</v>
      </c>
      <c r="Y44">
        <v>17186</v>
      </c>
      <c r="Z44">
        <v>24482</v>
      </c>
      <c r="AA44">
        <v>13870</v>
      </c>
      <c r="AB44">
        <v>7750</v>
      </c>
      <c r="AC44">
        <v>24995</v>
      </c>
      <c r="AD44">
        <v>7530</v>
      </c>
      <c r="AE44">
        <v>5580</v>
      </c>
    </row>
    <row r="45" spans="1:31">
      <c r="A45" t="s">
        <v>727</v>
      </c>
      <c r="T45">
        <f t="shared" si="0"/>
        <v>0</v>
      </c>
      <c r="U45" s="102" t="s">
        <v>241</v>
      </c>
      <c r="V45">
        <v>3237</v>
      </c>
      <c r="W45">
        <v>0</v>
      </c>
      <c r="X45">
        <v>0</v>
      </c>
      <c r="Y45">
        <v>0</v>
      </c>
      <c r="Z45">
        <v>0</v>
      </c>
      <c r="AA45">
        <v>0</v>
      </c>
      <c r="AB45">
        <v>0</v>
      </c>
      <c r="AC45">
        <v>0</v>
      </c>
      <c r="AD45">
        <v>0</v>
      </c>
      <c r="AE45">
        <v>0</v>
      </c>
    </row>
    <row r="46" spans="1:31">
      <c r="A46" t="s">
        <v>622</v>
      </c>
      <c r="B46">
        <v>730</v>
      </c>
      <c r="C46">
        <v>730</v>
      </c>
      <c r="D46">
        <v>1.4</v>
      </c>
      <c r="E46">
        <v>57290</v>
      </c>
      <c r="F46">
        <v>10.7</v>
      </c>
      <c r="G46">
        <v>250</v>
      </c>
      <c r="H46">
        <v>120</v>
      </c>
      <c r="I46">
        <v>20</v>
      </c>
      <c r="J46">
        <v>96</v>
      </c>
      <c r="K46">
        <v>4</v>
      </c>
      <c r="L46">
        <v>70.400000000000006</v>
      </c>
      <c r="M46">
        <v>67.599999999999994</v>
      </c>
      <c r="N46">
        <v>3.9</v>
      </c>
      <c r="T46">
        <f t="shared" si="0"/>
        <v>0</v>
      </c>
      <c r="U46" s="102" t="s">
        <v>242</v>
      </c>
      <c r="V46">
        <v>702</v>
      </c>
      <c r="W46">
        <v>0</v>
      </c>
      <c r="X46">
        <v>22951</v>
      </c>
      <c r="Y46">
        <v>22479</v>
      </c>
      <c r="Z46">
        <v>20358</v>
      </c>
      <c r="AA46">
        <v>14403</v>
      </c>
      <c r="AB46">
        <v>190</v>
      </c>
      <c r="AC46">
        <v>460</v>
      </c>
      <c r="AD46">
        <v>150</v>
      </c>
      <c r="AE46">
        <v>75</v>
      </c>
    </row>
    <row r="47" spans="1:31">
      <c r="A47" t="s">
        <v>304</v>
      </c>
      <c r="B47">
        <v>250</v>
      </c>
      <c r="T47">
        <f t="shared" si="0"/>
        <v>0</v>
      </c>
      <c r="U47" s="102" t="s">
        <v>243</v>
      </c>
      <c r="V47">
        <v>3972</v>
      </c>
      <c r="W47">
        <v>0</v>
      </c>
      <c r="X47">
        <v>0</v>
      </c>
      <c r="Y47">
        <v>0</v>
      </c>
      <c r="Z47">
        <v>0</v>
      </c>
      <c r="AA47">
        <v>0</v>
      </c>
      <c r="AB47">
        <v>100</v>
      </c>
      <c r="AC47">
        <v>115</v>
      </c>
      <c r="AD47">
        <v>10</v>
      </c>
      <c r="AE47">
        <v>0</v>
      </c>
    </row>
    <row r="48" spans="1:31">
      <c r="A48" t="s">
        <v>655</v>
      </c>
      <c r="B48">
        <v>3835</v>
      </c>
      <c r="C48">
        <v>3835</v>
      </c>
      <c r="D48">
        <v>1.1000000000000001</v>
      </c>
      <c r="E48">
        <v>43640</v>
      </c>
      <c r="F48">
        <v>9.1</v>
      </c>
      <c r="G48">
        <v>1410</v>
      </c>
      <c r="H48">
        <v>545</v>
      </c>
      <c r="I48">
        <v>145</v>
      </c>
      <c r="J48">
        <v>90.8</v>
      </c>
      <c r="K48">
        <v>9.1999999999999993</v>
      </c>
      <c r="L48">
        <v>71.900000000000006</v>
      </c>
      <c r="M48">
        <v>66.7</v>
      </c>
      <c r="N48">
        <v>7.1</v>
      </c>
      <c r="T48">
        <f t="shared" si="0"/>
        <v>0</v>
      </c>
      <c r="U48" s="102" t="s">
        <v>843</v>
      </c>
      <c r="V48">
        <v>292</v>
      </c>
      <c r="W48">
        <v>0</v>
      </c>
      <c r="X48">
        <v>14746</v>
      </c>
      <c r="Y48">
        <v>14846</v>
      </c>
      <c r="Z48">
        <v>10528</v>
      </c>
      <c r="AA48">
        <v>8352</v>
      </c>
      <c r="AB48">
        <v>115</v>
      </c>
      <c r="AC48">
        <v>200</v>
      </c>
      <c r="AD48">
        <v>30</v>
      </c>
      <c r="AE48">
        <v>10</v>
      </c>
    </row>
    <row r="49" spans="1:31">
      <c r="A49" t="s">
        <v>201</v>
      </c>
      <c r="B49">
        <v>330</v>
      </c>
      <c r="C49">
        <v>320</v>
      </c>
      <c r="D49">
        <v>1.7</v>
      </c>
      <c r="E49">
        <v>25693</v>
      </c>
      <c r="F49">
        <v>0</v>
      </c>
      <c r="G49">
        <v>105</v>
      </c>
      <c r="H49">
        <v>35</v>
      </c>
      <c r="I49">
        <v>35</v>
      </c>
      <c r="J49">
        <v>0</v>
      </c>
      <c r="K49">
        <v>19</v>
      </c>
      <c r="L49">
        <v>59.1</v>
      </c>
      <c r="M49">
        <v>45.5</v>
      </c>
      <c r="N49">
        <v>23.1</v>
      </c>
      <c r="T49" t="str">
        <f t="shared" si="0"/>
        <v>Brokenhead Ojibway Nation</v>
      </c>
      <c r="U49" s="102" t="s">
        <v>245</v>
      </c>
      <c r="V49">
        <v>2489</v>
      </c>
      <c r="W49">
        <v>0</v>
      </c>
      <c r="X49">
        <v>25568</v>
      </c>
      <c r="Y49">
        <v>14213</v>
      </c>
      <c r="Z49">
        <v>22929</v>
      </c>
      <c r="AA49">
        <v>11011</v>
      </c>
      <c r="AB49">
        <v>820</v>
      </c>
      <c r="AC49">
        <v>2565</v>
      </c>
      <c r="AD49">
        <v>915</v>
      </c>
      <c r="AE49">
        <v>445</v>
      </c>
    </row>
    <row r="50" spans="1:31">
      <c r="A50" t="s">
        <v>305</v>
      </c>
      <c r="T50">
        <f t="shared" si="0"/>
        <v>0</v>
      </c>
      <c r="U50" s="102" t="s">
        <v>844</v>
      </c>
      <c r="V50">
        <f>VLOOKUP(U50,$A$3:$B$435,2,0)</f>
        <v>880</v>
      </c>
      <c r="AB50">
        <v>0</v>
      </c>
      <c r="AC50">
        <v>0</v>
      </c>
      <c r="AD50">
        <v>0</v>
      </c>
      <c r="AE50">
        <v>0</v>
      </c>
    </row>
    <row r="51" spans="1:31">
      <c r="A51" t="s">
        <v>202</v>
      </c>
      <c r="B51">
        <v>65</v>
      </c>
      <c r="C51">
        <v>65</v>
      </c>
      <c r="D51">
        <v>0.6</v>
      </c>
      <c r="E51">
        <v>0</v>
      </c>
      <c r="F51">
        <v>0</v>
      </c>
      <c r="G51">
        <v>30</v>
      </c>
      <c r="H51">
        <v>0</v>
      </c>
      <c r="I51">
        <v>0</v>
      </c>
      <c r="J51">
        <v>83.3</v>
      </c>
      <c r="K51">
        <v>0</v>
      </c>
      <c r="L51">
        <v>60</v>
      </c>
      <c r="M51">
        <v>50</v>
      </c>
      <c r="N51">
        <v>0</v>
      </c>
      <c r="T51" t="str">
        <f t="shared" si="0"/>
        <v>Buffalo Point First Nation</v>
      </c>
      <c r="U51" s="102" t="s">
        <v>246</v>
      </c>
      <c r="V51">
        <v>491</v>
      </c>
      <c r="W51">
        <v>0</v>
      </c>
      <c r="X51">
        <v>0</v>
      </c>
      <c r="Y51">
        <v>0</v>
      </c>
      <c r="Z51">
        <v>0</v>
      </c>
      <c r="AA51">
        <v>0</v>
      </c>
      <c r="AB51">
        <v>0</v>
      </c>
      <c r="AC51">
        <v>50</v>
      </c>
      <c r="AD51">
        <v>30</v>
      </c>
      <c r="AE51">
        <v>10</v>
      </c>
    </row>
    <row r="52" spans="1:31">
      <c r="A52" t="s">
        <v>203</v>
      </c>
      <c r="B52">
        <v>1570</v>
      </c>
      <c r="C52">
        <v>1540</v>
      </c>
      <c r="D52">
        <v>2.8</v>
      </c>
      <c r="E52">
        <v>29560</v>
      </c>
      <c r="F52">
        <v>0</v>
      </c>
      <c r="G52">
        <v>300</v>
      </c>
      <c r="H52">
        <v>105</v>
      </c>
      <c r="I52">
        <v>105</v>
      </c>
      <c r="J52">
        <v>3.3</v>
      </c>
      <c r="K52">
        <v>6.7</v>
      </c>
      <c r="L52">
        <v>48.7</v>
      </c>
      <c r="M52">
        <v>31.1</v>
      </c>
      <c r="N52">
        <v>36.200000000000003</v>
      </c>
      <c r="T52" t="str">
        <f t="shared" si="0"/>
        <v>Bunibonibee Cree Nation</v>
      </c>
      <c r="U52" s="102" t="s">
        <v>247</v>
      </c>
      <c r="V52">
        <v>3053</v>
      </c>
      <c r="W52">
        <v>0</v>
      </c>
      <c r="X52">
        <v>12246</v>
      </c>
      <c r="Y52">
        <v>13756</v>
      </c>
      <c r="Z52">
        <v>7952</v>
      </c>
      <c r="AA52">
        <v>6576</v>
      </c>
      <c r="AB52">
        <v>610</v>
      </c>
      <c r="AC52">
        <v>885</v>
      </c>
      <c r="AD52">
        <v>170</v>
      </c>
      <c r="AE52">
        <v>95</v>
      </c>
    </row>
    <row r="53" spans="1:31">
      <c r="A53" t="s">
        <v>728</v>
      </c>
      <c r="T53">
        <f t="shared" si="0"/>
        <v>0</v>
      </c>
      <c r="U53" s="102" t="s">
        <v>249</v>
      </c>
      <c r="V53">
        <v>1123</v>
      </c>
      <c r="W53">
        <v>0</v>
      </c>
      <c r="X53">
        <v>0</v>
      </c>
      <c r="Y53">
        <v>0</v>
      </c>
      <c r="Z53">
        <v>0</v>
      </c>
      <c r="AA53">
        <v>0</v>
      </c>
      <c r="AB53">
        <v>0</v>
      </c>
      <c r="AC53">
        <v>0</v>
      </c>
      <c r="AD53">
        <v>0</v>
      </c>
      <c r="AE53">
        <v>0</v>
      </c>
    </row>
    <row r="54" spans="1:31">
      <c r="A54" t="s">
        <v>306</v>
      </c>
      <c r="T54">
        <f t="shared" si="0"/>
        <v>0</v>
      </c>
      <c r="U54" s="102" t="s">
        <v>250</v>
      </c>
      <c r="V54">
        <v>921</v>
      </c>
      <c r="AB54">
        <v>0</v>
      </c>
      <c r="AC54">
        <v>0</v>
      </c>
      <c r="AD54">
        <v>0</v>
      </c>
      <c r="AE54">
        <v>0</v>
      </c>
    </row>
    <row r="55" spans="1:31">
      <c r="A55" t="s">
        <v>625</v>
      </c>
      <c r="B55">
        <v>555</v>
      </c>
      <c r="C55">
        <v>460</v>
      </c>
      <c r="D55">
        <v>1.2</v>
      </c>
      <c r="E55">
        <v>42974</v>
      </c>
      <c r="F55">
        <v>25.7</v>
      </c>
      <c r="G55">
        <v>165</v>
      </c>
      <c r="H55">
        <v>80</v>
      </c>
      <c r="I55">
        <v>20</v>
      </c>
      <c r="J55">
        <v>93.9</v>
      </c>
      <c r="K55">
        <v>9.1</v>
      </c>
      <c r="L55">
        <v>82.7</v>
      </c>
      <c r="M55">
        <v>81.5</v>
      </c>
      <c r="N55">
        <v>0</v>
      </c>
      <c r="T55">
        <f t="shared" si="0"/>
        <v>0</v>
      </c>
      <c r="U55" s="102" t="s">
        <v>252</v>
      </c>
      <c r="V55">
        <v>981</v>
      </c>
      <c r="W55">
        <v>0</v>
      </c>
      <c r="X55">
        <v>21367</v>
      </c>
      <c r="Y55">
        <v>13323</v>
      </c>
      <c r="Z55">
        <v>23997</v>
      </c>
      <c r="AA55">
        <v>11777</v>
      </c>
      <c r="AB55">
        <v>145</v>
      </c>
      <c r="AC55">
        <v>365</v>
      </c>
      <c r="AD55">
        <v>125</v>
      </c>
      <c r="AE55">
        <v>35</v>
      </c>
    </row>
    <row r="56" spans="1:31">
      <c r="A56" t="s">
        <v>307</v>
      </c>
      <c r="B56">
        <v>623</v>
      </c>
      <c r="T56">
        <f t="shared" si="0"/>
        <v>0</v>
      </c>
      <c r="U56" s="102" t="s">
        <v>257</v>
      </c>
      <c r="V56">
        <v>679</v>
      </c>
      <c r="AB56">
        <v>0</v>
      </c>
      <c r="AC56">
        <v>0</v>
      </c>
      <c r="AD56">
        <v>0</v>
      </c>
      <c r="AE56">
        <v>0</v>
      </c>
    </row>
    <row r="57" spans="1:31">
      <c r="A57" t="s">
        <v>204</v>
      </c>
      <c r="B57">
        <v>290</v>
      </c>
      <c r="C57">
        <v>290</v>
      </c>
      <c r="D57">
        <v>1.8</v>
      </c>
      <c r="E57">
        <v>18118</v>
      </c>
      <c r="F57">
        <v>0</v>
      </c>
      <c r="G57">
        <v>85</v>
      </c>
      <c r="H57">
        <v>25</v>
      </c>
      <c r="I57">
        <v>30</v>
      </c>
      <c r="J57">
        <v>0</v>
      </c>
      <c r="K57">
        <v>0</v>
      </c>
      <c r="L57">
        <v>42.9</v>
      </c>
      <c r="M57">
        <v>34.299999999999997</v>
      </c>
      <c r="N57">
        <v>20</v>
      </c>
      <c r="T57" t="str">
        <f t="shared" si="0"/>
        <v>Canupawakpa Dakota First Nation</v>
      </c>
      <c r="U57" s="102" t="s">
        <v>259</v>
      </c>
      <c r="V57">
        <v>359</v>
      </c>
      <c r="W57">
        <v>0</v>
      </c>
      <c r="X57">
        <v>9520</v>
      </c>
      <c r="Y57">
        <v>11835</v>
      </c>
      <c r="Z57">
        <v>4688</v>
      </c>
      <c r="AA57">
        <v>8704</v>
      </c>
      <c r="AB57">
        <v>120</v>
      </c>
      <c r="AC57">
        <v>195</v>
      </c>
      <c r="AD57">
        <v>60</v>
      </c>
      <c r="AE57">
        <v>10</v>
      </c>
    </row>
    <row r="58" spans="1:31">
      <c r="A58" t="s">
        <v>308</v>
      </c>
      <c r="B58">
        <v>1460</v>
      </c>
      <c r="C58">
        <v>1455</v>
      </c>
      <c r="D58">
        <v>0.9</v>
      </c>
      <c r="E58">
        <v>48283</v>
      </c>
      <c r="F58">
        <v>4.5999999999999996</v>
      </c>
      <c r="G58">
        <v>660</v>
      </c>
      <c r="H58">
        <v>240</v>
      </c>
      <c r="I58">
        <v>65</v>
      </c>
      <c r="J58">
        <v>74.2</v>
      </c>
      <c r="K58">
        <v>25.8</v>
      </c>
      <c r="L58">
        <v>65.3</v>
      </c>
      <c r="M58">
        <v>62.4</v>
      </c>
      <c r="N58">
        <v>4.4000000000000004</v>
      </c>
      <c r="T58">
        <f t="shared" si="0"/>
        <v>0</v>
      </c>
      <c r="U58" s="102" t="s">
        <v>260</v>
      </c>
      <c r="V58">
        <v>972</v>
      </c>
      <c r="W58">
        <v>0</v>
      </c>
      <c r="X58">
        <v>24877</v>
      </c>
      <c r="Y58">
        <v>17211</v>
      </c>
      <c r="Z58">
        <v>23172</v>
      </c>
      <c r="AA58">
        <v>16656</v>
      </c>
      <c r="AB58">
        <v>235</v>
      </c>
      <c r="AC58">
        <v>860</v>
      </c>
      <c r="AD58">
        <v>310</v>
      </c>
      <c r="AE58">
        <v>350</v>
      </c>
    </row>
    <row r="59" spans="1:31">
      <c r="A59" t="s">
        <v>309</v>
      </c>
      <c r="B59">
        <v>2625</v>
      </c>
      <c r="C59">
        <v>2625</v>
      </c>
      <c r="D59">
        <v>0.9</v>
      </c>
      <c r="E59">
        <v>47095</v>
      </c>
      <c r="F59">
        <v>6.8</v>
      </c>
      <c r="G59">
        <v>1185</v>
      </c>
      <c r="H59">
        <v>240</v>
      </c>
      <c r="I59">
        <v>110</v>
      </c>
      <c r="J59">
        <v>68.8</v>
      </c>
      <c r="K59">
        <v>31.2</v>
      </c>
      <c r="L59">
        <v>55.1</v>
      </c>
      <c r="M59">
        <v>53.6</v>
      </c>
      <c r="N59">
        <v>2.6</v>
      </c>
      <c r="T59">
        <f t="shared" si="0"/>
        <v>0</v>
      </c>
      <c r="U59" s="102" t="s">
        <v>262</v>
      </c>
      <c r="V59">
        <v>3108</v>
      </c>
      <c r="W59">
        <v>0</v>
      </c>
      <c r="X59">
        <v>27981</v>
      </c>
      <c r="Y59">
        <v>15196</v>
      </c>
      <c r="Z59">
        <v>25467</v>
      </c>
      <c r="AA59">
        <v>14377</v>
      </c>
      <c r="AB59">
        <v>485</v>
      </c>
      <c r="AC59">
        <v>1355</v>
      </c>
      <c r="AD59">
        <v>475</v>
      </c>
      <c r="AE59">
        <v>740</v>
      </c>
    </row>
    <row r="60" spans="1:31">
      <c r="A60" t="s">
        <v>651</v>
      </c>
      <c r="B60">
        <v>3040</v>
      </c>
      <c r="C60">
        <v>2020</v>
      </c>
      <c r="D60">
        <v>1.4</v>
      </c>
      <c r="E60">
        <v>65534</v>
      </c>
      <c r="F60">
        <v>4.9000000000000004</v>
      </c>
      <c r="G60">
        <v>680</v>
      </c>
      <c r="H60">
        <v>205</v>
      </c>
      <c r="I60">
        <v>45</v>
      </c>
      <c r="J60">
        <v>87.5</v>
      </c>
      <c r="K60">
        <v>12.5</v>
      </c>
      <c r="L60">
        <v>79</v>
      </c>
      <c r="M60">
        <v>77.099999999999994</v>
      </c>
      <c r="N60">
        <v>2.4</v>
      </c>
      <c r="T60">
        <f t="shared" si="0"/>
        <v>0</v>
      </c>
      <c r="U60" s="102" t="s">
        <v>264</v>
      </c>
      <c r="V60">
        <v>2942</v>
      </c>
      <c r="W60">
        <v>0</v>
      </c>
      <c r="X60">
        <v>35785</v>
      </c>
      <c r="Y60">
        <v>16326</v>
      </c>
      <c r="Z60">
        <v>31355</v>
      </c>
      <c r="AA60">
        <v>13900</v>
      </c>
      <c r="AB60">
        <v>935</v>
      </c>
      <c r="AC60">
        <v>1855</v>
      </c>
      <c r="AD60">
        <v>525</v>
      </c>
      <c r="AE60">
        <v>235</v>
      </c>
    </row>
    <row r="61" spans="1:31">
      <c r="A61" t="s">
        <v>310</v>
      </c>
      <c r="B61">
        <v>335</v>
      </c>
      <c r="C61">
        <v>340</v>
      </c>
      <c r="D61">
        <v>0.7</v>
      </c>
      <c r="E61">
        <v>37025</v>
      </c>
      <c r="F61">
        <v>3.7</v>
      </c>
      <c r="G61">
        <v>165</v>
      </c>
      <c r="H61">
        <v>40</v>
      </c>
      <c r="I61">
        <v>20</v>
      </c>
      <c r="J61">
        <v>75.8</v>
      </c>
      <c r="K61">
        <v>24.2</v>
      </c>
      <c r="L61">
        <v>57.4</v>
      </c>
      <c r="M61">
        <v>54.1</v>
      </c>
      <c r="N61">
        <v>5.7</v>
      </c>
      <c r="T61">
        <f t="shared" si="0"/>
        <v>0</v>
      </c>
      <c r="U61" s="102" t="s">
        <v>265</v>
      </c>
      <c r="V61">
        <v>815</v>
      </c>
      <c r="W61">
        <v>0</v>
      </c>
      <c r="X61">
        <v>22296</v>
      </c>
      <c r="Y61">
        <v>18643</v>
      </c>
      <c r="Z61">
        <v>15601</v>
      </c>
      <c r="AA61">
        <v>10517</v>
      </c>
      <c r="AB61">
        <v>25</v>
      </c>
      <c r="AC61">
        <v>165</v>
      </c>
      <c r="AD61">
        <v>75</v>
      </c>
      <c r="AE61">
        <v>110</v>
      </c>
    </row>
    <row r="62" spans="1:31">
      <c r="A62" t="s">
        <v>729</v>
      </c>
      <c r="T62">
        <f>IFERROR(VLOOKUP(A62,$U$12:$U$74,1,0),0)</f>
        <v>0</v>
      </c>
      <c r="U62" s="102" t="s">
        <v>268</v>
      </c>
      <c r="V62">
        <v>933</v>
      </c>
      <c r="W62">
        <v>0</v>
      </c>
      <c r="X62">
        <v>0</v>
      </c>
      <c r="Y62">
        <v>0</v>
      </c>
      <c r="Z62">
        <v>0</v>
      </c>
      <c r="AA62">
        <v>0</v>
      </c>
      <c r="AB62">
        <v>0</v>
      </c>
      <c r="AC62">
        <v>0</v>
      </c>
      <c r="AD62">
        <v>0</v>
      </c>
      <c r="AE62">
        <v>0</v>
      </c>
    </row>
    <row r="63" spans="1:31">
      <c r="A63" t="s">
        <v>311</v>
      </c>
      <c r="T63">
        <f>IFERROR(VLOOKUP(A63,$U$12:$U$74,1,0),0)</f>
        <v>0</v>
      </c>
      <c r="U63" s="103" t="s">
        <v>266</v>
      </c>
      <c r="V63">
        <v>339</v>
      </c>
      <c r="AB63">
        <v>0</v>
      </c>
      <c r="AC63">
        <v>0</v>
      </c>
      <c r="AD63">
        <v>0</v>
      </c>
      <c r="AE63">
        <v>0</v>
      </c>
    </row>
    <row r="64" spans="1:31">
      <c r="A64" t="s">
        <v>205</v>
      </c>
      <c r="T64" t="str">
        <f t="shared" si="0"/>
        <v>Chemawawin Cree Nation</v>
      </c>
      <c r="U64" s="102" t="s">
        <v>269</v>
      </c>
      <c r="V64">
        <v>1156</v>
      </c>
      <c r="W64">
        <v>0</v>
      </c>
      <c r="X64">
        <v>0</v>
      </c>
      <c r="Y64">
        <v>0</v>
      </c>
      <c r="Z64">
        <v>0</v>
      </c>
      <c r="AA64">
        <v>0</v>
      </c>
      <c r="AB64">
        <v>0</v>
      </c>
      <c r="AC64">
        <v>0</v>
      </c>
      <c r="AD64">
        <v>0</v>
      </c>
      <c r="AE64">
        <v>0</v>
      </c>
    </row>
    <row r="65" spans="1:31">
      <c r="A65" t="s">
        <v>312</v>
      </c>
      <c r="B65">
        <v>1080</v>
      </c>
      <c r="C65">
        <v>1075</v>
      </c>
      <c r="D65">
        <v>1.3</v>
      </c>
      <c r="E65">
        <v>50257</v>
      </c>
      <c r="F65">
        <v>19.600000000000001</v>
      </c>
      <c r="G65">
        <v>410</v>
      </c>
      <c r="H65">
        <v>140</v>
      </c>
      <c r="I65">
        <v>55</v>
      </c>
      <c r="J65">
        <v>26.8</v>
      </c>
      <c r="K65">
        <v>73.2</v>
      </c>
      <c r="L65">
        <v>81</v>
      </c>
      <c r="M65">
        <v>64.599999999999994</v>
      </c>
      <c r="N65">
        <v>20.3</v>
      </c>
      <c r="T65">
        <f t="shared" si="0"/>
        <v>0</v>
      </c>
      <c r="U65" s="102" t="s">
        <v>270</v>
      </c>
      <c r="V65">
        <v>535</v>
      </c>
      <c r="W65">
        <v>0</v>
      </c>
      <c r="X65">
        <v>28646</v>
      </c>
      <c r="Y65">
        <v>21596</v>
      </c>
      <c r="Z65">
        <v>29291</v>
      </c>
      <c r="AA65">
        <v>18144</v>
      </c>
      <c r="AB65">
        <v>295</v>
      </c>
      <c r="AC65">
        <v>745</v>
      </c>
      <c r="AD65">
        <v>170</v>
      </c>
      <c r="AE65">
        <v>50</v>
      </c>
    </row>
    <row r="66" spans="1:31">
      <c r="A66" t="s">
        <v>710</v>
      </c>
      <c r="B66">
        <v>320</v>
      </c>
      <c r="C66">
        <v>315</v>
      </c>
      <c r="D66">
        <v>1.9</v>
      </c>
      <c r="E66">
        <v>24051</v>
      </c>
      <c r="F66">
        <v>0</v>
      </c>
      <c r="G66">
        <v>100</v>
      </c>
      <c r="H66">
        <v>20</v>
      </c>
      <c r="I66">
        <v>70</v>
      </c>
      <c r="J66">
        <v>0</v>
      </c>
      <c r="K66">
        <v>10</v>
      </c>
      <c r="L66">
        <v>55.8</v>
      </c>
      <c r="M66">
        <v>39.5</v>
      </c>
      <c r="N66">
        <v>29.2</v>
      </c>
      <c r="T66">
        <f t="shared" si="0"/>
        <v>0</v>
      </c>
      <c r="U66" s="102" t="s">
        <v>261</v>
      </c>
      <c r="V66">
        <v>2539</v>
      </c>
      <c r="W66">
        <v>0</v>
      </c>
      <c r="X66">
        <v>11224</v>
      </c>
      <c r="Y66">
        <v>9411</v>
      </c>
      <c r="Z66">
        <v>7696</v>
      </c>
      <c r="AA66">
        <v>10272</v>
      </c>
      <c r="AB66">
        <v>100</v>
      </c>
      <c r="AC66">
        <v>200</v>
      </c>
      <c r="AD66">
        <v>40</v>
      </c>
      <c r="AE66">
        <v>30</v>
      </c>
    </row>
    <row r="67" spans="1:31">
      <c r="A67" t="s">
        <v>730</v>
      </c>
      <c r="T67">
        <f t="shared" ref="T67:T91" si="1">IFERROR(VLOOKUP(A67,$U$12:$U$74,1,0),0)</f>
        <v>0</v>
      </c>
      <c r="U67" t="s">
        <v>272</v>
      </c>
      <c r="V67">
        <v>540</v>
      </c>
      <c r="W67">
        <v>0</v>
      </c>
      <c r="X67">
        <v>0</v>
      </c>
      <c r="Y67">
        <v>0</v>
      </c>
      <c r="Z67">
        <v>0</v>
      </c>
      <c r="AA67">
        <v>0</v>
      </c>
      <c r="AB67">
        <v>0</v>
      </c>
      <c r="AC67">
        <v>0</v>
      </c>
      <c r="AD67">
        <v>0</v>
      </c>
      <c r="AE67">
        <v>0</v>
      </c>
    </row>
    <row r="68" spans="1:31">
      <c r="A68" t="s">
        <v>674</v>
      </c>
      <c r="B68">
        <v>495</v>
      </c>
      <c r="C68">
        <v>495</v>
      </c>
      <c r="D68">
        <v>1.2</v>
      </c>
      <c r="E68">
        <v>32905</v>
      </c>
      <c r="F68">
        <v>27.8</v>
      </c>
      <c r="G68">
        <v>185</v>
      </c>
      <c r="H68">
        <v>75</v>
      </c>
      <c r="I68">
        <v>15</v>
      </c>
      <c r="J68">
        <v>100</v>
      </c>
      <c r="K68">
        <v>5.4</v>
      </c>
      <c r="L68">
        <v>75.900000000000006</v>
      </c>
      <c r="M68">
        <v>72.2</v>
      </c>
      <c r="N68">
        <v>3.3</v>
      </c>
      <c r="T68">
        <f t="shared" ref="T68:T73" si="2">IFERROR(VLOOKUP(A68,$U$12:$U$74,1,0),0)</f>
        <v>0</v>
      </c>
      <c r="U68" s="102" t="s">
        <v>273</v>
      </c>
      <c r="V68">
        <v>1763</v>
      </c>
      <c r="W68">
        <v>0</v>
      </c>
      <c r="X68">
        <v>13696</v>
      </c>
      <c r="Y68">
        <v>10315</v>
      </c>
      <c r="Z68">
        <v>16609</v>
      </c>
      <c r="AA68">
        <v>8917</v>
      </c>
      <c r="AB68">
        <v>100</v>
      </c>
      <c r="AC68">
        <v>345</v>
      </c>
      <c r="AD68">
        <v>160</v>
      </c>
      <c r="AE68">
        <v>50</v>
      </c>
    </row>
    <row r="69" spans="1:31">
      <c r="A69" t="s">
        <v>313</v>
      </c>
      <c r="T69">
        <f t="shared" si="2"/>
        <v>0</v>
      </c>
      <c r="U69" s="102" t="s">
        <v>275</v>
      </c>
      <c r="V69">
        <v>586</v>
      </c>
      <c r="AB69">
        <v>0</v>
      </c>
      <c r="AC69">
        <v>0</v>
      </c>
      <c r="AD69">
        <v>0</v>
      </c>
      <c r="AE69">
        <v>0</v>
      </c>
    </row>
    <row r="70" spans="1:31">
      <c r="A70" t="s">
        <v>688</v>
      </c>
      <c r="B70">
        <v>1380</v>
      </c>
      <c r="C70">
        <v>1380</v>
      </c>
      <c r="D70">
        <v>1.4</v>
      </c>
      <c r="E70">
        <v>38707</v>
      </c>
      <c r="F70">
        <v>18.100000000000001</v>
      </c>
      <c r="G70">
        <v>535</v>
      </c>
      <c r="H70">
        <v>200</v>
      </c>
      <c r="I70">
        <v>100</v>
      </c>
      <c r="J70">
        <v>78.5</v>
      </c>
      <c r="K70">
        <v>20.6</v>
      </c>
      <c r="L70">
        <v>69.3</v>
      </c>
      <c r="M70">
        <v>62.3</v>
      </c>
      <c r="N70">
        <v>10.199999999999999</v>
      </c>
      <c r="T70">
        <f t="shared" si="2"/>
        <v>0</v>
      </c>
      <c r="U70" s="102" t="s">
        <v>276</v>
      </c>
      <c r="V70">
        <v>152</v>
      </c>
      <c r="W70">
        <v>0</v>
      </c>
      <c r="X70">
        <v>19249</v>
      </c>
      <c r="Y70">
        <v>12075</v>
      </c>
      <c r="Z70">
        <v>13231</v>
      </c>
      <c r="AA70">
        <v>11373</v>
      </c>
      <c r="AB70">
        <v>320</v>
      </c>
      <c r="AC70">
        <v>860</v>
      </c>
      <c r="AD70">
        <v>320</v>
      </c>
      <c r="AE70">
        <v>205</v>
      </c>
    </row>
    <row r="71" spans="1:31">
      <c r="A71" t="s">
        <v>315</v>
      </c>
      <c r="B71">
        <v>436</v>
      </c>
      <c r="T71">
        <f t="shared" si="2"/>
        <v>0</v>
      </c>
      <c r="U71" s="102" t="s">
        <v>279</v>
      </c>
      <c r="V71">
        <v>1407</v>
      </c>
      <c r="AB71">
        <v>0</v>
      </c>
      <c r="AC71">
        <v>0</v>
      </c>
      <c r="AD71">
        <v>0</v>
      </c>
      <c r="AE71">
        <v>0</v>
      </c>
    </row>
    <row r="72" spans="1:31">
      <c r="A72" t="s">
        <v>636</v>
      </c>
      <c r="B72">
        <v>4280</v>
      </c>
      <c r="C72">
        <v>4205</v>
      </c>
      <c r="D72">
        <v>1.3</v>
      </c>
      <c r="E72">
        <v>49631</v>
      </c>
      <c r="F72">
        <v>4.2</v>
      </c>
      <c r="G72">
        <v>1385</v>
      </c>
      <c r="H72">
        <v>415</v>
      </c>
      <c r="I72">
        <v>150</v>
      </c>
      <c r="J72">
        <v>56.7</v>
      </c>
      <c r="K72">
        <v>43.7</v>
      </c>
      <c r="L72">
        <v>78.900000000000006</v>
      </c>
      <c r="M72">
        <v>76.599999999999994</v>
      </c>
      <c r="N72">
        <v>2.7</v>
      </c>
      <c r="T72">
        <f t="shared" si="2"/>
        <v>0</v>
      </c>
      <c r="U72" s="103" t="s">
        <v>551</v>
      </c>
      <c r="V72">
        <v>335</v>
      </c>
      <c r="W72">
        <v>0</v>
      </c>
      <c r="X72">
        <v>29421</v>
      </c>
      <c r="Y72">
        <v>13939</v>
      </c>
      <c r="Z72">
        <v>34590</v>
      </c>
      <c r="AA72">
        <v>11461</v>
      </c>
      <c r="AB72">
        <v>1170</v>
      </c>
      <c r="AC72">
        <v>2875</v>
      </c>
      <c r="AD72">
        <v>700</v>
      </c>
      <c r="AE72">
        <v>200</v>
      </c>
    </row>
    <row r="73" spans="1:31">
      <c r="A73" t="s">
        <v>314</v>
      </c>
      <c r="T73">
        <f t="shared" si="2"/>
        <v>0</v>
      </c>
      <c r="U73" s="102" t="s">
        <v>277</v>
      </c>
      <c r="V73">
        <v>1207</v>
      </c>
      <c r="AB73">
        <v>0</v>
      </c>
      <c r="AC73">
        <v>0</v>
      </c>
      <c r="AD73">
        <v>0</v>
      </c>
      <c r="AE73">
        <v>0</v>
      </c>
    </row>
    <row r="74" spans="1:31">
      <c r="A74" t="s">
        <v>316</v>
      </c>
      <c r="T74">
        <f t="shared" si="1"/>
        <v>0</v>
      </c>
      <c r="U74" s="103" t="s">
        <v>591</v>
      </c>
      <c r="V74">
        <v>416</v>
      </c>
      <c r="AB74">
        <v>0</v>
      </c>
      <c r="AC74">
        <v>0</v>
      </c>
      <c r="AD74">
        <v>0</v>
      </c>
      <c r="AE74">
        <v>0</v>
      </c>
    </row>
    <row r="75" spans="1:31">
      <c r="A75" t="s">
        <v>206</v>
      </c>
      <c r="B75">
        <v>178</v>
      </c>
      <c r="T75">
        <f t="shared" si="1"/>
        <v>0</v>
      </c>
      <c r="AB75">
        <v>0</v>
      </c>
      <c r="AC75">
        <v>0</v>
      </c>
      <c r="AD75">
        <v>0</v>
      </c>
      <c r="AE75">
        <v>0</v>
      </c>
    </row>
    <row r="76" spans="1:31">
      <c r="A76" t="s">
        <v>317</v>
      </c>
      <c r="B76">
        <v>412</v>
      </c>
      <c r="T76">
        <f t="shared" si="1"/>
        <v>0</v>
      </c>
      <c r="W76">
        <v>0</v>
      </c>
      <c r="X76">
        <v>18783</v>
      </c>
      <c r="Y76">
        <v>18023</v>
      </c>
      <c r="Z76">
        <v>8784</v>
      </c>
      <c r="AA76">
        <v>8864</v>
      </c>
      <c r="AB76">
        <v>600</v>
      </c>
      <c r="AC76">
        <v>860</v>
      </c>
      <c r="AD76">
        <v>170</v>
      </c>
      <c r="AE76">
        <v>45</v>
      </c>
    </row>
    <row r="77" spans="1:31">
      <c r="A77" t="s">
        <v>207</v>
      </c>
      <c r="B77">
        <f>SUM(B78:B80)</f>
        <v>2575</v>
      </c>
      <c r="C77">
        <f>SUM(C78:C80)</f>
        <v>2565</v>
      </c>
      <c r="D77" s="116">
        <f>(D78*$B78+D79*$B79+D80*$B80)/$B77</f>
        <v>2.7691262135922332</v>
      </c>
      <c r="E77" s="117">
        <f>(E78*$B78+E79*$B79+E80*$B80)/$B77</f>
        <v>32060.050485436892</v>
      </c>
      <c r="F77" s="117">
        <f>(F78*$B78+F79*$B79+F80*$B80)/$B77</f>
        <v>0</v>
      </c>
      <c r="G77">
        <f>SUM(G78:G80)</f>
        <v>545</v>
      </c>
      <c r="H77">
        <f>SUM(H78:H80)</f>
        <v>145</v>
      </c>
      <c r="I77">
        <f>SUM(I78:I80)</f>
        <v>215</v>
      </c>
      <c r="J77" s="117">
        <f>(J78*$B78+J79*$B79+J80*$B80)/$B77</f>
        <v>4.2</v>
      </c>
      <c r="K77" s="117">
        <f>(K78*$B78+K79*$B79+K80*$B80)/$B77</f>
        <v>5.0932038834951454</v>
      </c>
      <c r="L77" s="117">
        <f>(L78*$B78+L79*$B79+L80*$B80)/$B77</f>
        <v>43.156504854368933</v>
      </c>
      <c r="M77" s="117">
        <f>(M78*$B78+M79*$B79+M80*$B80)/$B77</f>
        <v>30.37106796116505</v>
      </c>
      <c r="N77" s="117">
        <f>(N78*$B78+N79*$B79+N80*$B80)/$B77</f>
        <v>30.862524271844659</v>
      </c>
      <c r="T77" t="str">
        <f t="shared" si="1"/>
        <v>Cross Lake First Nation</v>
      </c>
      <c r="X77">
        <v>18357.046601941747</v>
      </c>
      <c r="Y77">
        <v>16113.998058252428</v>
      </c>
      <c r="Z77">
        <v>9299.4174757281562</v>
      </c>
      <c r="AA77">
        <v>7392.7766990291266</v>
      </c>
      <c r="AB77">
        <v>1045</v>
      </c>
      <c r="AC77">
        <v>1405</v>
      </c>
      <c r="AD77">
        <v>250</v>
      </c>
      <c r="AE77">
        <v>85</v>
      </c>
    </row>
    <row r="78" spans="1:31">
      <c r="A78" t="s">
        <v>836</v>
      </c>
      <c r="B78">
        <v>1525</v>
      </c>
      <c r="C78">
        <v>1520</v>
      </c>
      <c r="D78">
        <v>2.5</v>
      </c>
      <c r="E78">
        <v>32742</v>
      </c>
      <c r="F78">
        <v>0</v>
      </c>
      <c r="G78">
        <v>350</v>
      </c>
      <c r="H78">
        <v>105</v>
      </c>
      <c r="I78">
        <v>125</v>
      </c>
      <c r="J78">
        <v>0</v>
      </c>
      <c r="K78">
        <v>8.6</v>
      </c>
      <c r="L78">
        <v>44.6</v>
      </c>
      <c r="M78">
        <v>32.1</v>
      </c>
      <c r="N78">
        <v>28</v>
      </c>
      <c r="T78">
        <f t="shared" si="1"/>
        <v>0</v>
      </c>
      <c r="W78">
        <v>0</v>
      </c>
      <c r="X78">
        <v>18783</v>
      </c>
      <c r="Y78">
        <v>18023</v>
      </c>
      <c r="Z78">
        <v>8784</v>
      </c>
      <c r="AA78">
        <v>8864</v>
      </c>
      <c r="AB78">
        <v>600</v>
      </c>
      <c r="AC78">
        <v>860</v>
      </c>
      <c r="AD78">
        <v>170</v>
      </c>
      <c r="AE78">
        <v>45</v>
      </c>
    </row>
    <row r="79" spans="1:31">
      <c r="A79" t="s">
        <v>836</v>
      </c>
      <c r="B79">
        <v>420</v>
      </c>
      <c r="C79">
        <v>420</v>
      </c>
      <c r="D79">
        <v>3.4</v>
      </c>
      <c r="E79">
        <v>35680</v>
      </c>
      <c r="F79">
        <v>0</v>
      </c>
      <c r="G79">
        <v>75</v>
      </c>
      <c r="H79">
        <v>15</v>
      </c>
      <c r="I79">
        <v>15</v>
      </c>
      <c r="J79">
        <v>13.3</v>
      </c>
      <c r="K79">
        <v>0</v>
      </c>
      <c r="L79">
        <v>46.7</v>
      </c>
      <c r="M79">
        <v>35.6</v>
      </c>
      <c r="N79">
        <v>28.6</v>
      </c>
      <c r="T79">
        <f t="shared" si="1"/>
        <v>0</v>
      </c>
      <c r="W79">
        <v>0</v>
      </c>
      <c r="X79">
        <v>15345</v>
      </c>
      <c r="Y79">
        <v>11776</v>
      </c>
      <c r="Z79">
        <v>4144</v>
      </c>
      <c r="AA79">
        <v>7440</v>
      </c>
      <c r="AB79">
        <v>255</v>
      </c>
      <c r="AC79">
        <v>335</v>
      </c>
      <c r="AD79">
        <v>60</v>
      </c>
      <c r="AE79">
        <v>40</v>
      </c>
    </row>
    <row r="80" spans="1:31">
      <c r="A80" t="s">
        <v>836</v>
      </c>
      <c r="B80">
        <v>630</v>
      </c>
      <c r="C80">
        <v>625</v>
      </c>
      <c r="D80">
        <v>3</v>
      </c>
      <c r="E80">
        <v>27996</v>
      </c>
      <c r="F80">
        <v>0</v>
      </c>
      <c r="G80">
        <v>120</v>
      </c>
      <c r="H80">
        <v>25</v>
      </c>
      <c r="I80">
        <v>75</v>
      </c>
      <c r="J80">
        <v>8.3000000000000007</v>
      </c>
      <c r="K80">
        <v>0</v>
      </c>
      <c r="L80">
        <v>37.299999999999997</v>
      </c>
      <c r="M80">
        <v>22.7</v>
      </c>
      <c r="N80">
        <v>39.299999999999997</v>
      </c>
      <c r="T80">
        <f t="shared" si="1"/>
        <v>0</v>
      </c>
      <c r="W80">
        <v>0</v>
      </c>
      <c r="X80">
        <v>19334</v>
      </c>
      <c r="Y80">
        <v>14385</v>
      </c>
      <c r="Z80">
        <v>13984</v>
      </c>
      <c r="AA80">
        <v>3800</v>
      </c>
      <c r="AB80">
        <v>190</v>
      </c>
      <c r="AC80">
        <v>210</v>
      </c>
      <c r="AD80">
        <v>20</v>
      </c>
      <c r="AE80">
        <v>0</v>
      </c>
    </row>
    <row r="81" spans="1:31">
      <c r="A81" t="s">
        <v>318</v>
      </c>
      <c r="B81">
        <v>430</v>
      </c>
      <c r="C81">
        <v>430</v>
      </c>
      <c r="D81">
        <v>0.7</v>
      </c>
      <c r="E81">
        <v>58476</v>
      </c>
      <c r="F81">
        <v>5.3</v>
      </c>
      <c r="G81">
        <v>215</v>
      </c>
      <c r="H81">
        <v>50</v>
      </c>
      <c r="I81">
        <v>25</v>
      </c>
      <c r="J81">
        <v>86</v>
      </c>
      <c r="K81">
        <v>14</v>
      </c>
      <c r="L81">
        <v>48.6</v>
      </c>
      <c r="M81">
        <v>45.9</v>
      </c>
      <c r="N81">
        <v>5.6</v>
      </c>
      <c r="T81">
        <f t="shared" si="1"/>
        <v>0</v>
      </c>
      <c r="W81">
        <v>0</v>
      </c>
      <c r="X81">
        <v>34131</v>
      </c>
      <c r="Y81">
        <v>19763</v>
      </c>
      <c r="Z81">
        <v>28537</v>
      </c>
      <c r="AA81">
        <v>15301</v>
      </c>
      <c r="AB81">
        <v>65</v>
      </c>
      <c r="AC81">
        <v>180</v>
      </c>
      <c r="AD81">
        <v>90</v>
      </c>
      <c r="AE81">
        <v>165</v>
      </c>
    </row>
    <row r="82" spans="1:31">
      <c r="A82" t="s">
        <v>319</v>
      </c>
      <c r="T82">
        <f t="shared" si="1"/>
        <v>0</v>
      </c>
      <c r="AB82">
        <v>0</v>
      </c>
      <c r="AC82">
        <v>0</v>
      </c>
      <c r="AD82">
        <v>0</v>
      </c>
      <c r="AE82">
        <v>0</v>
      </c>
    </row>
    <row r="83" spans="1:31">
      <c r="A83" t="s">
        <v>208</v>
      </c>
      <c r="B83">
        <v>85</v>
      </c>
      <c r="C83">
        <v>85</v>
      </c>
      <c r="D83">
        <v>1.8</v>
      </c>
      <c r="E83">
        <v>0</v>
      </c>
      <c r="F83">
        <v>0</v>
      </c>
      <c r="G83">
        <v>25</v>
      </c>
      <c r="H83">
        <v>10</v>
      </c>
      <c r="I83">
        <v>10</v>
      </c>
      <c r="J83">
        <v>0</v>
      </c>
      <c r="K83">
        <v>0</v>
      </c>
      <c r="L83">
        <v>40</v>
      </c>
      <c r="M83">
        <v>30</v>
      </c>
      <c r="N83">
        <v>0</v>
      </c>
      <c r="T83" t="str">
        <f t="shared" si="1"/>
        <v>Dakota Plains First Nation</v>
      </c>
      <c r="W83">
        <v>0</v>
      </c>
      <c r="X83">
        <v>0</v>
      </c>
      <c r="Y83">
        <v>0</v>
      </c>
      <c r="Z83">
        <v>0</v>
      </c>
      <c r="AA83">
        <v>0</v>
      </c>
      <c r="AB83">
        <v>30</v>
      </c>
      <c r="AC83">
        <v>30</v>
      </c>
      <c r="AD83">
        <v>0</v>
      </c>
      <c r="AE83">
        <v>10</v>
      </c>
    </row>
    <row r="84" spans="1:31">
      <c r="A84" t="s">
        <v>209</v>
      </c>
      <c r="T84" t="str">
        <f t="shared" si="1"/>
        <v>Dakota Tipi First Nation</v>
      </c>
      <c r="W84">
        <v>0</v>
      </c>
      <c r="X84">
        <v>0</v>
      </c>
      <c r="Y84">
        <v>0</v>
      </c>
      <c r="Z84">
        <v>0</v>
      </c>
      <c r="AA84">
        <v>0</v>
      </c>
      <c r="AB84">
        <v>0</v>
      </c>
      <c r="AC84">
        <v>0</v>
      </c>
      <c r="AD84">
        <v>0</v>
      </c>
      <c r="AE84">
        <v>0</v>
      </c>
    </row>
    <row r="85" spans="1:31">
      <c r="A85" t="s">
        <v>210</v>
      </c>
      <c r="B85">
        <v>50</v>
      </c>
      <c r="T85">
        <f t="shared" si="1"/>
        <v>0</v>
      </c>
      <c r="AB85">
        <v>0</v>
      </c>
      <c r="AC85">
        <v>0</v>
      </c>
      <c r="AD85">
        <v>0</v>
      </c>
      <c r="AE85">
        <v>0</v>
      </c>
    </row>
    <row r="86" spans="1:31">
      <c r="A86" t="s">
        <v>639</v>
      </c>
      <c r="B86">
        <v>895</v>
      </c>
      <c r="C86">
        <v>760</v>
      </c>
      <c r="D86">
        <v>1</v>
      </c>
      <c r="E86">
        <v>45697</v>
      </c>
      <c r="F86">
        <v>10.5</v>
      </c>
      <c r="G86">
        <v>285</v>
      </c>
      <c r="H86">
        <v>115</v>
      </c>
      <c r="I86">
        <v>40</v>
      </c>
      <c r="J86">
        <v>93</v>
      </c>
      <c r="K86">
        <v>8.8000000000000007</v>
      </c>
      <c r="L86">
        <v>73.900000000000006</v>
      </c>
      <c r="M86">
        <v>71.599999999999994</v>
      </c>
      <c r="N86">
        <v>2</v>
      </c>
      <c r="T86">
        <f t="shared" si="1"/>
        <v>0</v>
      </c>
      <c r="W86">
        <v>0</v>
      </c>
      <c r="X86">
        <v>24554</v>
      </c>
      <c r="Y86">
        <v>17371</v>
      </c>
      <c r="Z86">
        <v>21930</v>
      </c>
      <c r="AA86">
        <v>11579</v>
      </c>
      <c r="AB86">
        <v>225</v>
      </c>
      <c r="AC86">
        <v>560</v>
      </c>
      <c r="AD86">
        <v>205</v>
      </c>
      <c r="AE86">
        <v>85</v>
      </c>
    </row>
    <row r="87" spans="1:31">
      <c r="A87" t="s">
        <v>320</v>
      </c>
      <c r="B87">
        <v>8090</v>
      </c>
      <c r="C87">
        <v>8040</v>
      </c>
      <c r="D87">
        <v>1</v>
      </c>
      <c r="E87">
        <v>48129</v>
      </c>
      <c r="F87">
        <v>9.4</v>
      </c>
      <c r="G87">
        <v>3670</v>
      </c>
      <c r="H87">
        <v>1120</v>
      </c>
      <c r="I87">
        <v>340</v>
      </c>
      <c r="J87">
        <v>67.8</v>
      </c>
      <c r="K87">
        <v>32.200000000000003</v>
      </c>
      <c r="L87">
        <v>55.2</v>
      </c>
      <c r="M87">
        <v>50.3</v>
      </c>
      <c r="N87">
        <v>8.8000000000000007</v>
      </c>
      <c r="T87">
        <f t="shared" si="1"/>
        <v>0</v>
      </c>
      <c r="W87">
        <v>0</v>
      </c>
      <c r="X87">
        <v>26965</v>
      </c>
      <c r="Y87">
        <v>16547</v>
      </c>
      <c r="Z87">
        <v>18421</v>
      </c>
      <c r="AA87">
        <v>12198</v>
      </c>
      <c r="AB87">
        <v>1330</v>
      </c>
      <c r="AC87">
        <v>4660</v>
      </c>
      <c r="AD87">
        <v>1700</v>
      </c>
      <c r="AE87">
        <v>2110</v>
      </c>
    </row>
    <row r="88" spans="1:31">
      <c r="A88" t="s">
        <v>731</v>
      </c>
      <c r="B88">
        <v>2475</v>
      </c>
      <c r="C88">
        <v>2475</v>
      </c>
      <c r="D88">
        <v>1.1000000000000001</v>
      </c>
      <c r="E88">
        <v>46936</v>
      </c>
      <c r="F88">
        <v>9.3000000000000007</v>
      </c>
      <c r="G88">
        <v>935</v>
      </c>
      <c r="H88">
        <v>340</v>
      </c>
      <c r="I88">
        <v>130</v>
      </c>
      <c r="J88">
        <v>86.1</v>
      </c>
      <c r="K88">
        <v>13.9</v>
      </c>
      <c r="L88">
        <v>74.8</v>
      </c>
      <c r="M88">
        <v>70.7</v>
      </c>
      <c r="N88">
        <v>5.6</v>
      </c>
      <c r="T88">
        <f t="shared" si="1"/>
        <v>0</v>
      </c>
      <c r="W88">
        <v>0</v>
      </c>
      <c r="X88">
        <v>21060</v>
      </c>
      <c r="Y88">
        <v>14723</v>
      </c>
      <c r="Z88">
        <v>19681</v>
      </c>
      <c r="AA88">
        <v>11545</v>
      </c>
      <c r="AB88">
        <v>430</v>
      </c>
      <c r="AC88">
        <v>1690</v>
      </c>
      <c r="AD88">
        <v>660</v>
      </c>
      <c r="AE88">
        <v>345</v>
      </c>
    </row>
    <row r="89" spans="1:31">
      <c r="A89" t="s">
        <v>211</v>
      </c>
      <c r="B89">
        <v>16</v>
      </c>
      <c r="T89">
        <f t="shared" si="1"/>
        <v>0</v>
      </c>
      <c r="AB89">
        <v>0</v>
      </c>
      <c r="AC89">
        <v>0</v>
      </c>
      <c r="AD89">
        <v>0</v>
      </c>
      <c r="AE89">
        <v>0</v>
      </c>
    </row>
    <row r="90" spans="1:31">
      <c r="A90" t="s">
        <v>212</v>
      </c>
      <c r="B90">
        <v>90</v>
      </c>
      <c r="C90">
        <v>90</v>
      </c>
      <c r="D90">
        <v>2.2000000000000002</v>
      </c>
      <c r="E90">
        <v>0</v>
      </c>
      <c r="F90">
        <v>0</v>
      </c>
      <c r="G90">
        <v>25</v>
      </c>
      <c r="H90">
        <v>10</v>
      </c>
      <c r="I90">
        <v>10</v>
      </c>
      <c r="J90">
        <v>0</v>
      </c>
      <c r="K90">
        <v>0</v>
      </c>
      <c r="L90">
        <v>64.3</v>
      </c>
      <c r="M90">
        <v>42.9</v>
      </c>
      <c r="N90">
        <v>33.299999999999997</v>
      </c>
      <c r="T90" t="str">
        <f t="shared" si="1"/>
        <v>Dauphin River First Nation</v>
      </c>
      <c r="W90">
        <v>0</v>
      </c>
      <c r="X90">
        <v>0</v>
      </c>
      <c r="Y90">
        <v>0</v>
      </c>
      <c r="Z90">
        <v>0</v>
      </c>
      <c r="AA90">
        <v>0</v>
      </c>
      <c r="AB90">
        <v>10</v>
      </c>
      <c r="AC90">
        <v>60</v>
      </c>
      <c r="AD90">
        <v>20</v>
      </c>
      <c r="AE90">
        <v>0</v>
      </c>
    </row>
    <row r="91" spans="1:31">
      <c r="A91" t="s">
        <v>213</v>
      </c>
      <c r="B91">
        <v>53</v>
      </c>
      <c r="T91">
        <f t="shared" si="1"/>
        <v>0</v>
      </c>
      <c r="AB91">
        <v>0</v>
      </c>
      <c r="AC91">
        <v>0</v>
      </c>
      <c r="AD91">
        <v>0</v>
      </c>
      <c r="AE91">
        <v>0</v>
      </c>
    </row>
    <row r="92" spans="1:31">
      <c r="A92" t="s">
        <v>607</v>
      </c>
      <c r="B92">
        <v>2975</v>
      </c>
      <c r="C92">
        <v>2685</v>
      </c>
      <c r="D92">
        <v>1.5</v>
      </c>
      <c r="E92">
        <v>44577</v>
      </c>
      <c r="F92">
        <v>12.5</v>
      </c>
      <c r="G92">
        <v>835</v>
      </c>
      <c r="H92">
        <v>200</v>
      </c>
      <c r="I92">
        <v>145</v>
      </c>
      <c r="J92">
        <v>88.6</v>
      </c>
      <c r="K92">
        <v>12</v>
      </c>
      <c r="L92">
        <v>71.8</v>
      </c>
      <c r="M92">
        <v>68.099999999999994</v>
      </c>
      <c r="N92">
        <v>5.2</v>
      </c>
      <c r="T92">
        <f t="shared" ref="T92:T135" si="3">IFERROR(VLOOKUP(A92,$U$12:$U$74,1,0),0)</f>
        <v>0</v>
      </c>
      <c r="W92">
        <v>0</v>
      </c>
      <c r="X92">
        <v>23540</v>
      </c>
      <c r="Y92">
        <v>14425</v>
      </c>
      <c r="Z92">
        <v>20651</v>
      </c>
      <c r="AA92">
        <v>11281</v>
      </c>
      <c r="AB92">
        <v>825</v>
      </c>
      <c r="AC92">
        <v>1880</v>
      </c>
      <c r="AD92">
        <v>585</v>
      </c>
      <c r="AE92">
        <v>260</v>
      </c>
    </row>
    <row r="93" spans="1:31">
      <c r="A93" t="s">
        <v>321</v>
      </c>
      <c r="B93">
        <v>255</v>
      </c>
      <c r="C93">
        <v>255</v>
      </c>
      <c r="D93">
        <v>0.7</v>
      </c>
      <c r="E93">
        <v>42651</v>
      </c>
      <c r="F93">
        <v>5.2</v>
      </c>
      <c r="G93">
        <v>140</v>
      </c>
      <c r="H93">
        <v>30</v>
      </c>
      <c r="I93">
        <v>0</v>
      </c>
      <c r="J93">
        <v>60.7</v>
      </c>
      <c r="K93">
        <v>39.299999999999997</v>
      </c>
      <c r="L93">
        <v>31.8</v>
      </c>
      <c r="M93">
        <v>31.8</v>
      </c>
      <c r="N93">
        <v>14.3</v>
      </c>
      <c r="T93">
        <f t="shared" si="3"/>
        <v>0</v>
      </c>
      <c r="W93">
        <v>0</v>
      </c>
      <c r="X93">
        <v>23506</v>
      </c>
      <c r="Y93">
        <v>19330</v>
      </c>
      <c r="Z93">
        <v>20443</v>
      </c>
      <c r="AA93">
        <v>12942</v>
      </c>
      <c r="AB93">
        <v>60</v>
      </c>
      <c r="AC93">
        <v>105</v>
      </c>
      <c r="AD93">
        <v>40</v>
      </c>
      <c r="AE93">
        <v>120</v>
      </c>
    </row>
    <row r="94" spans="1:31">
      <c r="A94" t="s">
        <v>560</v>
      </c>
      <c r="T94">
        <f t="shared" si="3"/>
        <v>0</v>
      </c>
      <c r="AB94">
        <v>0</v>
      </c>
      <c r="AC94">
        <v>0</v>
      </c>
      <c r="AD94">
        <v>0</v>
      </c>
      <c r="AE94">
        <v>0</v>
      </c>
    </row>
    <row r="95" spans="1:31">
      <c r="A95" t="s">
        <v>732</v>
      </c>
      <c r="B95">
        <v>700</v>
      </c>
      <c r="C95">
        <v>685</v>
      </c>
      <c r="D95">
        <v>0.6</v>
      </c>
      <c r="E95">
        <v>43467</v>
      </c>
      <c r="F95">
        <v>4.5999999999999996</v>
      </c>
      <c r="G95">
        <v>305</v>
      </c>
      <c r="H95">
        <v>70</v>
      </c>
      <c r="I95">
        <v>20</v>
      </c>
      <c r="J95">
        <v>75.400000000000006</v>
      </c>
      <c r="K95">
        <v>23</v>
      </c>
      <c r="L95">
        <v>54.4</v>
      </c>
      <c r="M95">
        <v>53.5</v>
      </c>
      <c r="N95">
        <v>0</v>
      </c>
      <c r="T95">
        <f t="shared" si="3"/>
        <v>0</v>
      </c>
      <c r="W95">
        <v>0</v>
      </c>
      <c r="X95">
        <v>26154</v>
      </c>
      <c r="Y95">
        <v>14740</v>
      </c>
      <c r="Z95">
        <v>29685</v>
      </c>
      <c r="AA95">
        <v>13983</v>
      </c>
      <c r="AB95">
        <v>140</v>
      </c>
      <c r="AC95">
        <v>445</v>
      </c>
      <c r="AD95">
        <v>190</v>
      </c>
      <c r="AE95">
        <v>120</v>
      </c>
    </row>
    <row r="96" spans="1:31">
      <c r="A96" t="s">
        <v>733</v>
      </c>
      <c r="B96">
        <v>16095</v>
      </c>
      <c r="C96">
        <v>15860</v>
      </c>
      <c r="D96">
        <v>1</v>
      </c>
      <c r="E96">
        <v>45917</v>
      </c>
      <c r="F96">
        <v>8.8000000000000007</v>
      </c>
      <c r="G96">
        <v>6370</v>
      </c>
      <c r="H96">
        <v>2185</v>
      </c>
      <c r="I96">
        <v>765</v>
      </c>
      <c r="J96">
        <v>83</v>
      </c>
      <c r="K96">
        <v>17</v>
      </c>
      <c r="L96">
        <v>62</v>
      </c>
      <c r="M96">
        <v>57.6</v>
      </c>
      <c r="N96">
        <v>7.1</v>
      </c>
      <c r="T96">
        <f t="shared" si="3"/>
        <v>0</v>
      </c>
      <c r="AB96">
        <v>0</v>
      </c>
      <c r="AC96">
        <v>0</v>
      </c>
      <c r="AD96">
        <v>0</v>
      </c>
      <c r="AE96">
        <v>0</v>
      </c>
    </row>
    <row r="97" spans="1:31">
      <c r="A97" t="s">
        <v>734</v>
      </c>
      <c r="B97">
        <v>8900</v>
      </c>
      <c r="C97">
        <v>7735</v>
      </c>
      <c r="D97">
        <v>1.4</v>
      </c>
      <c r="E97">
        <v>59444</v>
      </c>
      <c r="F97">
        <v>3.9</v>
      </c>
      <c r="G97">
        <v>2525</v>
      </c>
      <c r="H97">
        <v>790</v>
      </c>
      <c r="I97">
        <v>215</v>
      </c>
      <c r="J97">
        <v>89.7</v>
      </c>
      <c r="K97">
        <v>10.1</v>
      </c>
      <c r="L97">
        <v>78.5</v>
      </c>
      <c r="M97">
        <v>75.5</v>
      </c>
      <c r="N97">
        <v>3.9</v>
      </c>
      <c r="T97">
        <f t="shared" si="3"/>
        <v>0</v>
      </c>
      <c r="AB97">
        <v>0</v>
      </c>
      <c r="AC97">
        <v>0</v>
      </c>
      <c r="AD97">
        <v>0</v>
      </c>
      <c r="AE97">
        <v>0</v>
      </c>
    </row>
    <row r="98" spans="1:31">
      <c r="A98" t="s">
        <v>735</v>
      </c>
      <c r="B98">
        <v>613145</v>
      </c>
      <c r="C98">
        <v>609360</v>
      </c>
      <c r="D98">
        <v>1.2</v>
      </c>
      <c r="E98">
        <v>53201</v>
      </c>
      <c r="F98">
        <v>19.399999999999999</v>
      </c>
      <c r="G98">
        <v>246655</v>
      </c>
      <c r="H98">
        <v>67150</v>
      </c>
      <c r="I98">
        <v>21860</v>
      </c>
      <c r="J98">
        <v>62.1</v>
      </c>
      <c r="K98">
        <v>37.9</v>
      </c>
      <c r="L98">
        <v>66.599999999999994</v>
      </c>
      <c r="M98">
        <v>61.1</v>
      </c>
      <c r="N98">
        <v>8.1999999999999993</v>
      </c>
      <c r="T98">
        <f t="shared" si="3"/>
        <v>0</v>
      </c>
      <c r="AB98">
        <v>0</v>
      </c>
      <c r="AC98">
        <v>0</v>
      </c>
      <c r="AD98">
        <v>0</v>
      </c>
      <c r="AE98">
        <v>0</v>
      </c>
    </row>
    <row r="99" spans="1:31">
      <c r="A99" t="s">
        <v>736</v>
      </c>
      <c r="B99">
        <v>18625</v>
      </c>
      <c r="C99">
        <v>18360</v>
      </c>
      <c r="D99">
        <v>1.2</v>
      </c>
      <c r="E99">
        <v>54384</v>
      </c>
      <c r="F99">
        <v>6.8</v>
      </c>
      <c r="G99">
        <v>6570</v>
      </c>
      <c r="H99">
        <v>2200</v>
      </c>
      <c r="I99">
        <v>630</v>
      </c>
      <c r="J99">
        <v>88.6</v>
      </c>
      <c r="K99">
        <v>11.4</v>
      </c>
      <c r="L99">
        <v>71</v>
      </c>
      <c r="M99">
        <v>66.7</v>
      </c>
      <c r="N99">
        <v>6</v>
      </c>
      <c r="T99">
        <f t="shared" si="3"/>
        <v>0</v>
      </c>
      <c r="AB99">
        <v>0</v>
      </c>
      <c r="AC99">
        <v>0</v>
      </c>
      <c r="AD99">
        <v>0</v>
      </c>
      <c r="AE99">
        <v>0</v>
      </c>
    </row>
    <row r="100" spans="1:31">
      <c r="A100" t="s">
        <v>737</v>
      </c>
      <c r="B100">
        <v>38750</v>
      </c>
      <c r="C100">
        <v>38460</v>
      </c>
      <c r="D100">
        <v>1.2</v>
      </c>
      <c r="E100">
        <v>60940</v>
      </c>
      <c r="F100">
        <v>7.8</v>
      </c>
      <c r="G100">
        <v>13755</v>
      </c>
      <c r="H100">
        <v>4135</v>
      </c>
      <c r="I100">
        <v>1585</v>
      </c>
      <c r="J100">
        <v>86.3</v>
      </c>
      <c r="K100">
        <v>13.1</v>
      </c>
      <c r="L100">
        <v>70.2</v>
      </c>
      <c r="M100">
        <v>65.599999999999994</v>
      </c>
      <c r="N100">
        <v>6.5</v>
      </c>
      <c r="T100">
        <f t="shared" si="3"/>
        <v>0</v>
      </c>
      <c r="AB100">
        <v>0</v>
      </c>
      <c r="AC100">
        <v>0</v>
      </c>
      <c r="AD100">
        <v>0</v>
      </c>
      <c r="AE100">
        <v>0</v>
      </c>
    </row>
    <row r="101" spans="1:31">
      <c r="A101" t="s">
        <v>738</v>
      </c>
      <c r="B101">
        <v>16345</v>
      </c>
      <c r="C101">
        <v>15680</v>
      </c>
      <c r="D101">
        <v>1.2</v>
      </c>
      <c r="E101">
        <v>51591</v>
      </c>
      <c r="F101">
        <v>8.6</v>
      </c>
      <c r="G101">
        <v>5640</v>
      </c>
      <c r="H101">
        <v>1710</v>
      </c>
      <c r="I101">
        <v>500</v>
      </c>
      <c r="J101">
        <v>86</v>
      </c>
      <c r="K101">
        <v>14</v>
      </c>
      <c r="L101">
        <v>72.099999999999994</v>
      </c>
      <c r="M101">
        <v>68.400000000000006</v>
      </c>
      <c r="N101">
        <v>5.2</v>
      </c>
      <c r="T101">
        <f t="shared" si="3"/>
        <v>0</v>
      </c>
      <c r="AB101">
        <v>0</v>
      </c>
      <c r="AC101">
        <v>0</v>
      </c>
      <c r="AD101">
        <v>0</v>
      </c>
      <c r="AE101">
        <v>0</v>
      </c>
    </row>
    <row r="102" spans="1:31">
      <c r="A102" t="s">
        <v>739</v>
      </c>
      <c r="B102">
        <v>22180</v>
      </c>
      <c r="C102">
        <v>21730</v>
      </c>
      <c r="D102">
        <v>1.1000000000000001</v>
      </c>
      <c r="E102">
        <v>41816</v>
      </c>
      <c r="F102">
        <v>11.3</v>
      </c>
      <c r="G102">
        <v>8980</v>
      </c>
      <c r="H102">
        <v>2905</v>
      </c>
      <c r="I102">
        <v>1225</v>
      </c>
      <c r="J102">
        <v>77.7</v>
      </c>
      <c r="K102">
        <v>19.399999999999999</v>
      </c>
      <c r="L102">
        <v>62.6</v>
      </c>
      <c r="M102">
        <v>59.2</v>
      </c>
      <c r="N102">
        <v>5.5</v>
      </c>
      <c r="T102">
        <f t="shared" si="3"/>
        <v>0</v>
      </c>
      <c r="AB102">
        <v>0</v>
      </c>
      <c r="AC102">
        <v>0</v>
      </c>
      <c r="AD102">
        <v>0</v>
      </c>
      <c r="AE102">
        <v>0</v>
      </c>
    </row>
    <row r="103" spans="1:31">
      <c r="A103" t="s">
        <v>740</v>
      </c>
      <c r="B103">
        <v>10570</v>
      </c>
      <c r="C103">
        <v>10560</v>
      </c>
      <c r="D103">
        <v>1.2</v>
      </c>
      <c r="E103">
        <v>38085</v>
      </c>
      <c r="F103">
        <v>12.2</v>
      </c>
      <c r="G103">
        <v>4140</v>
      </c>
      <c r="H103">
        <v>1455</v>
      </c>
      <c r="I103">
        <v>660</v>
      </c>
      <c r="J103">
        <v>75.599999999999994</v>
      </c>
      <c r="K103">
        <v>16.5</v>
      </c>
      <c r="L103">
        <v>61.5</v>
      </c>
      <c r="M103">
        <v>57.5</v>
      </c>
      <c r="N103">
        <v>6.6</v>
      </c>
      <c r="T103">
        <f t="shared" si="3"/>
        <v>0</v>
      </c>
      <c r="AB103">
        <v>0</v>
      </c>
      <c r="AC103">
        <v>0</v>
      </c>
      <c r="AD103">
        <v>0</v>
      </c>
      <c r="AE103">
        <v>0</v>
      </c>
    </row>
    <row r="104" spans="1:31">
      <c r="A104" t="s">
        <v>741</v>
      </c>
      <c r="B104">
        <v>23640</v>
      </c>
      <c r="C104">
        <v>23510</v>
      </c>
      <c r="D104">
        <v>1.1000000000000001</v>
      </c>
      <c r="E104">
        <v>40652</v>
      </c>
      <c r="F104">
        <v>15.3</v>
      </c>
      <c r="G104">
        <v>9780</v>
      </c>
      <c r="H104">
        <v>3320</v>
      </c>
      <c r="I104">
        <v>1340</v>
      </c>
      <c r="J104">
        <v>75.3</v>
      </c>
      <c r="K104">
        <v>22.7</v>
      </c>
      <c r="L104">
        <v>60.6</v>
      </c>
      <c r="M104">
        <v>56</v>
      </c>
      <c r="N104">
        <v>7.7</v>
      </c>
      <c r="T104">
        <f t="shared" si="3"/>
        <v>0</v>
      </c>
      <c r="AB104">
        <v>0</v>
      </c>
      <c r="AC104">
        <v>0</v>
      </c>
      <c r="AD104">
        <v>0</v>
      </c>
      <c r="AE104">
        <v>0</v>
      </c>
    </row>
    <row r="105" spans="1:31">
      <c r="A105" t="s">
        <v>686</v>
      </c>
      <c r="B105">
        <v>85</v>
      </c>
      <c r="C105">
        <v>90</v>
      </c>
      <c r="D105">
        <v>0.8</v>
      </c>
      <c r="E105">
        <v>0</v>
      </c>
      <c r="F105">
        <v>0</v>
      </c>
      <c r="G105">
        <v>35</v>
      </c>
      <c r="H105">
        <v>10</v>
      </c>
      <c r="I105">
        <v>10</v>
      </c>
      <c r="J105">
        <v>57.1</v>
      </c>
      <c r="K105">
        <v>57.1</v>
      </c>
      <c r="L105">
        <v>81.2</v>
      </c>
      <c r="M105">
        <v>68.8</v>
      </c>
      <c r="N105">
        <v>15.4</v>
      </c>
      <c r="T105">
        <f t="shared" si="3"/>
        <v>0</v>
      </c>
      <c r="W105">
        <v>0</v>
      </c>
      <c r="X105">
        <v>0</v>
      </c>
      <c r="Y105">
        <v>0</v>
      </c>
      <c r="Z105">
        <v>0</v>
      </c>
      <c r="AA105">
        <v>0</v>
      </c>
      <c r="AB105">
        <v>10</v>
      </c>
      <c r="AC105">
        <v>80</v>
      </c>
      <c r="AD105">
        <v>30</v>
      </c>
      <c r="AE105">
        <v>10</v>
      </c>
    </row>
    <row r="106" spans="1:31">
      <c r="A106" t="s">
        <v>742</v>
      </c>
      <c r="B106">
        <v>22075</v>
      </c>
      <c r="C106">
        <v>21850</v>
      </c>
      <c r="D106">
        <v>1.2</v>
      </c>
      <c r="E106">
        <v>38083</v>
      </c>
      <c r="F106">
        <v>16.600000000000001</v>
      </c>
      <c r="G106">
        <v>8385</v>
      </c>
      <c r="H106">
        <v>2655</v>
      </c>
      <c r="I106">
        <v>1420</v>
      </c>
      <c r="J106">
        <v>77.599999999999994</v>
      </c>
      <c r="K106">
        <v>18.3</v>
      </c>
      <c r="L106">
        <v>60.6</v>
      </c>
      <c r="M106">
        <v>54.2</v>
      </c>
      <c r="N106">
        <v>10.5</v>
      </c>
      <c r="T106">
        <f t="shared" si="3"/>
        <v>0</v>
      </c>
      <c r="AB106">
        <v>0</v>
      </c>
      <c r="AC106">
        <v>0</v>
      </c>
      <c r="AD106">
        <v>0</v>
      </c>
      <c r="AE106">
        <v>0</v>
      </c>
    </row>
    <row r="107" spans="1:31">
      <c r="A107" t="s">
        <v>693</v>
      </c>
      <c r="B107">
        <v>40</v>
      </c>
      <c r="C107">
        <v>25</v>
      </c>
      <c r="D107">
        <v>0</v>
      </c>
      <c r="E107">
        <v>0</v>
      </c>
      <c r="F107">
        <v>0</v>
      </c>
      <c r="G107">
        <v>20</v>
      </c>
      <c r="H107">
        <v>0</v>
      </c>
      <c r="I107">
        <v>0</v>
      </c>
      <c r="J107">
        <v>75</v>
      </c>
      <c r="K107">
        <v>0</v>
      </c>
      <c r="L107">
        <v>50</v>
      </c>
      <c r="M107">
        <v>37.5</v>
      </c>
      <c r="N107">
        <v>50</v>
      </c>
      <c r="T107">
        <f t="shared" si="3"/>
        <v>0</v>
      </c>
      <c r="W107">
        <v>0</v>
      </c>
      <c r="X107">
        <v>0</v>
      </c>
      <c r="Y107">
        <v>0</v>
      </c>
      <c r="Z107">
        <v>0</v>
      </c>
      <c r="AA107">
        <v>0</v>
      </c>
      <c r="AB107">
        <v>0</v>
      </c>
      <c r="AC107">
        <v>30</v>
      </c>
      <c r="AD107">
        <v>20</v>
      </c>
      <c r="AE107">
        <v>10</v>
      </c>
    </row>
    <row r="108" spans="1:31">
      <c r="A108" t="s">
        <v>694</v>
      </c>
      <c r="T108">
        <f t="shared" si="3"/>
        <v>0</v>
      </c>
      <c r="W108">
        <v>0</v>
      </c>
      <c r="X108">
        <v>0</v>
      </c>
      <c r="Y108">
        <v>0</v>
      </c>
      <c r="Z108">
        <v>0</v>
      </c>
      <c r="AA108">
        <v>0</v>
      </c>
      <c r="AB108">
        <v>0</v>
      </c>
      <c r="AC108">
        <v>0</v>
      </c>
      <c r="AD108">
        <v>0</v>
      </c>
      <c r="AE108">
        <v>0</v>
      </c>
    </row>
    <row r="109" spans="1:31">
      <c r="A109" t="s">
        <v>743</v>
      </c>
      <c r="B109">
        <v>14690</v>
      </c>
      <c r="C109">
        <v>14635</v>
      </c>
      <c r="D109">
        <v>1.9</v>
      </c>
      <c r="E109">
        <v>24757</v>
      </c>
      <c r="F109">
        <v>41.3</v>
      </c>
      <c r="G109">
        <v>4095</v>
      </c>
      <c r="H109">
        <v>1250</v>
      </c>
      <c r="I109">
        <v>1520</v>
      </c>
      <c r="J109">
        <v>24.3</v>
      </c>
      <c r="K109">
        <v>13.9</v>
      </c>
      <c r="L109">
        <v>48.4</v>
      </c>
      <c r="M109">
        <v>35.4</v>
      </c>
      <c r="N109">
        <v>26.8</v>
      </c>
      <c r="T109">
        <f t="shared" si="3"/>
        <v>0</v>
      </c>
      <c r="AB109">
        <v>0</v>
      </c>
      <c r="AC109">
        <v>0</v>
      </c>
      <c r="AD109">
        <v>0</v>
      </c>
      <c r="AE109">
        <v>0</v>
      </c>
    </row>
    <row r="110" spans="1:31">
      <c r="A110" t="s">
        <v>695</v>
      </c>
      <c r="B110">
        <v>3520</v>
      </c>
      <c r="C110">
        <v>3510</v>
      </c>
      <c r="D110">
        <v>1.7</v>
      </c>
      <c r="E110">
        <v>26771</v>
      </c>
      <c r="F110">
        <v>41.5</v>
      </c>
      <c r="G110">
        <v>1120</v>
      </c>
      <c r="H110">
        <v>340</v>
      </c>
      <c r="I110">
        <v>325</v>
      </c>
      <c r="J110">
        <v>61.6</v>
      </c>
      <c r="K110">
        <v>38.4</v>
      </c>
      <c r="L110">
        <v>49</v>
      </c>
      <c r="M110">
        <v>36.799999999999997</v>
      </c>
      <c r="N110">
        <v>24.5</v>
      </c>
      <c r="T110">
        <f t="shared" si="3"/>
        <v>0</v>
      </c>
      <c r="W110">
        <v>0</v>
      </c>
      <c r="X110">
        <v>14408</v>
      </c>
      <c r="Y110">
        <v>13145</v>
      </c>
      <c r="Z110">
        <v>11240</v>
      </c>
      <c r="AA110">
        <v>9169</v>
      </c>
      <c r="AB110">
        <v>1185</v>
      </c>
      <c r="AC110">
        <v>2035</v>
      </c>
      <c r="AD110">
        <v>610</v>
      </c>
      <c r="AE110">
        <v>290</v>
      </c>
    </row>
    <row r="111" spans="1:31">
      <c r="A111" t="s">
        <v>744</v>
      </c>
      <c r="B111">
        <v>47580</v>
      </c>
      <c r="C111">
        <v>47105</v>
      </c>
      <c r="D111">
        <v>1.5</v>
      </c>
      <c r="E111">
        <v>47014</v>
      </c>
      <c r="F111">
        <v>10.6</v>
      </c>
      <c r="G111">
        <v>15300</v>
      </c>
      <c r="H111">
        <v>4360</v>
      </c>
      <c r="I111">
        <v>1465</v>
      </c>
      <c r="J111">
        <v>80.599999999999994</v>
      </c>
      <c r="K111">
        <v>18.5</v>
      </c>
      <c r="L111">
        <v>71.900000000000006</v>
      </c>
      <c r="M111">
        <v>68</v>
      </c>
      <c r="N111">
        <v>5.4</v>
      </c>
      <c r="T111">
        <f t="shared" si="3"/>
        <v>0</v>
      </c>
      <c r="AB111">
        <v>0</v>
      </c>
      <c r="AC111">
        <v>0</v>
      </c>
      <c r="AD111">
        <v>0</v>
      </c>
      <c r="AE111">
        <v>0</v>
      </c>
    </row>
    <row r="112" spans="1:31">
      <c r="A112" t="s">
        <v>745</v>
      </c>
      <c r="B112">
        <v>11270</v>
      </c>
      <c r="C112">
        <v>11260</v>
      </c>
      <c r="D112">
        <v>1.1000000000000001</v>
      </c>
      <c r="E112">
        <v>39559</v>
      </c>
      <c r="F112">
        <v>17.2</v>
      </c>
      <c r="G112">
        <v>4590</v>
      </c>
      <c r="H112">
        <v>1470</v>
      </c>
      <c r="I112">
        <v>605</v>
      </c>
      <c r="J112">
        <v>76.599999999999994</v>
      </c>
      <c r="K112">
        <v>23.5</v>
      </c>
      <c r="L112">
        <v>62.1</v>
      </c>
      <c r="M112">
        <v>58</v>
      </c>
      <c r="N112">
        <v>6.4</v>
      </c>
      <c r="T112">
        <f t="shared" si="3"/>
        <v>0</v>
      </c>
      <c r="AB112">
        <v>0</v>
      </c>
      <c r="AC112">
        <v>0</v>
      </c>
      <c r="AD112">
        <v>0</v>
      </c>
      <c r="AE112">
        <v>0</v>
      </c>
    </row>
    <row r="113" spans="1:31">
      <c r="A113" t="s">
        <v>700</v>
      </c>
      <c r="T113">
        <f t="shared" si="3"/>
        <v>0</v>
      </c>
      <c r="W113">
        <v>0</v>
      </c>
      <c r="X113">
        <v>0</v>
      </c>
      <c r="Y113">
        <v>0</v>
      </c>
      <c r="Z113">
        <v>0</v>
      </c>
      <c r="AA113">
        <v>0</v>
      </c>
      <c r="AB113">
        <v>0</v>
      </c>
      <c r="AC113">
        <v>0</v>
      </c>
      <c r="AD113">
        <v>0</v>
      </c>
      <c r="AE113">
        <v>0</v>
      </c>
    </row>
    <row r="114" spans="1:31">
      <c r="A114" t="s">
        <v>699</v>
      </c>
      <c r="T114">
        <f t="shared" si="3"/>
        <v>0</v>
      </c>
      <c r="W114">
        <v>0</v>
      </c>
      <c r="X114">
        <v>0</v>
      </c>
      <c r="Y114">
        <v>0</v>
      </c>
      <c r="Z114">
        <v>0</v>
      </c>
      <c r="AA114">
        <v>0</v>
      </c>
      <c r="AB114">
        <v>0</v>
      </c>
      <c r="AC114">
        <v>0</v>
      </c>
      <c r="AD114">
        <v>0</v>
      </c>
      <c r="AE114">
        <v>0</v>
      </c>
    </row>
    <row r="115" spans="1:31">
      <c r="A115" t="s">
        <v>746</v>
      </c>
      <c r="B115">
        <v>22965</v>
      </c>
      <c r="C115">
        <v>22845</v>
      </c>
      <c r="D115">
        <v>1.4</v>
      </c>
      <c r="E115">
        <v>51477</v>
      </c>
      <c r="F115">
        <v>15.3</v>
      </c>
      <c r="G115">
        <v>7960</v>
      </c>
      <c r="H115">
        <v>2655</v>
      </c>
      <c r="I115">
        <v>1385</v>
      </c>
      <c r="J115">
        <v>60.1</v>
      </c>
      <c r="K115">
        <v>32.700000000000003</v>
      </c>
      <c r="L115">
        <v>65.5</v>
      </c>
      <c r="M115">
        <v>58.1</v>
      </c>
      <c r="N115">
        <v>11.4</v>
      </c>
      <c r="T115">
        <f t="shared" si="3"/>
        <v>0</v>
      </c>
      <c r="AB115">
        <v>0</v>
      </c>
      <c r="AC115">
        <v>0</v>
      </c>
      <c r="AD115">
        <v>0</v>
      </c>
      <c r="AE115">
        <v>0</v>
      </c>
    </row>
    <row r="116" spans="1:31">
      <c r="A116" t="s">
        <v>703</v>
      </c>
      <c r="B116">
        <v>3475</v>
      </c>
      <c r="C116">
        <v>3450</v>
      </c>
      <c r="D116">
        <v>1.7</v>
      </c>
      <c r="E116">
        <v>47591</v>
      </c>
      <c r="F116">
        <v>18.100000000000001</v>
      </c>
      <c r="G116">
        <v>990</v>
      </c>
      <c r="H116">
        <v>315</v>
      </c>
      <c r="I116">
        <v>260</v>
      </c>
      <c r="J116">
        <v>49</v>
      </c>
      <c r="K116">
        <v>27.8</v>
      </c>
      <c r="L116">
        <v>48.6</v>
      </c>
      <c r="M116">
        <v>41</v>
      </c>
      <c r="N116">
        <v>15.8</v>
      </c>
      <c r="T116">
        <f t="shared" si="3"/>
        <v>0</v>
      </c>
      <c r="W116">
        <v>0</v>
      </c>
      <c r="X116">
        <v>28603</v>
      </c>
      <c r="Y116">
        <v>19501</v>
      </c>
      <c r="Z116">
        <v>15385</v>
      </c>
      <c r="AA116">
        <v>9610</v>
      </c>
      <c r="AB116">
        <v>1070</v>
      </c>
      <c r="AC116">
        <v>2185</v>
      </c>
      <c r="AD116">
        <v>640</v>
      </c>
      <c r="AE116">
        <v>200</v>
      </c>
    </row>
    <row r="117" spans="1:31">
      <c r="A117" t="s">
        <v>747</v>
      </c>
      <c r="B117">
        <v>35480</v>
      </c>
      <c r="C117">
        <v>35385</v>
      </c>
      <c r="D117">
        <v>2</v>
      </c>
      <c r="E117">
        <v>45534</v>
      </c>
      <c r="F117">
        <v>18.7</v>
      </c>
      <c r="G117">
        <v>9545</v>
      </c>
      <c r="H117">
        <v>3150</v>
      </c>
      <c r="I117">
        <v>2370</v>
      </c>
      <c r="J117">
        <v>35.200000000000003</v>
      </c>
      <c r="K117">
        <v>29.8</v>
      </c>
      <c r="L117">
        <v>62</v>
      </c>
      <c r="M117">
        <v>51.2</v>
      </c>
      <c r="N117">
        <v>17.399999999999999</v>
      </c>
      <c r="T117">
        <f t="shared" si="3"/>
        <v>0</v>
      </c>
      <c r="AB117">
        <v>0</v>
      </c>
      <c r="AC117">
        <v>0</v>
      </c>
      <c r="AD117">
        <v>0</v>
      </c>
      <c r="AE117">
        <v>0</v>
      </c>
    </row>
    <row r="118" spans="1:31">
      <c r="A118" t="s">
        <v>705</v>
      </c>
      <c r="B118">
        <v>6105</v>
      </c>
      <c r="C118">
        <v>6080</v>
      </c>
      <c r="D118">
        <v>2</v>
      </c>
      <c r="E118">
        <v>34007</v>
      </c>
      <c r="F118">
        <v>26.7</v>
      </c>
      <c r="G118">
        <v>1495</v>
      </c>
      <c r="H118">
        <v>450</v>
      </c>
      <c r="I118">
        <v>485</v>
      </c>
      <c r="J118">
        <v>28.1</v>
      </c>
      <c r="K118">
        <v>28.1</v>
      </c>
      <c r="L118">
        <v>53.1</v>
      </c>
      <c r="M118">
        <v>41.2</v>
      </c>
      <c r="N118">
        <v>22.2</v>
      </c>
      <c r="T118">
        <f t="shared" si="3"/>
        <v>0</v>
      </c>
      <c r="W118">
        <v>0</v>
      </c>
      <c r="X118">
        <v>19436</v>
      </c>
      <c r="Y118">
        <v>15765</v>
      </c>
      <c r="Z118">
        <v>11848</v>
      </c>
      <c r="AA118">
        <v>8013</v>
      </c>
      <c r="AB118">
        <v>2240</v>
      </c>
      <c r="AC118">
        <v>3650</v>
      </c>
      <c r="AD118">
        <v>760</v>
      </c>
      <c r="AE118">
        <v>200</v>
      </c>
    </row>
    <row r="119" spans="1:31">
      <c r="A119" t="s">
        <v>748</v>
      </c>
      <c r="B119">
        <v>9655</v>
      </c>
      <c r="C119">
        <v>9595</v>
      </c>
      <c r="D119">
        <v>2</v>
      </c>
      <c r="E119">
        <v>51627</v>
      </c>
      <c r="F119">
        <v>13.4</v>
      </c>
      <c r="G119">
        <v>2625</v>
      </c>
      <c r="H119">
        <v>945</v>
      </c>
      <c r="I119">
        <v>630</v>
      </c>
      <c r="J119">
        <v>33.9</v>
      </c>
      <c r="K119">
        <v>49.7</v>
      </c>
      <c r="L119">
        <v>61.9</v>
      </c>
      <c r="M119">
        <v>52.5</v>
      </c>
      <c r="N119">
        <v>15.2</v>
      </c>
      <c r="T119">
        <f t="shared" si="3"/>
        <v>0</v>
      </c>
      <c r="AB119">
        <v>0</v>
      </c>
      <c r="AC119">
        <v>0</v>
      </c>
      <c r="AD119">
        <v>0</v>
      </c>
      <c r="AE119">
        <v>0</v>
      </c>
    </row>
    <row r="120" spans="1:31">
      <c r="A120" t="s">
        <v>711</v>
      </c>
      <c r="B120">
        <v>270</v>
      </c>
      <c r="C120">
        <v>245</v>
      </c>
      <c r="D120">
        <v>2.9</v>
      </c>
      <c r="E120">
        <v>30526</v>
      </c>
      <c r="F120">
        <v>45</v>
      </c>
      <c r="G120">
        <v>50</v>
      </c>
      <c r="H120">
        <v>30</v>
      </c>
      <c r="I120">
        <v>10</v>
      </c>
      <c r="J120">
        <v>0</v>
      </c>
      <c r="K120">
        <v>90</v>
      </c>
      <c r="L120">
        <v>39.4</v>
      </c>
      <c r="M120">
        <v>30.3</v>
      </c>
      <c r="N120">
        <v>15.4</v>
      </c>
      <c r="T120">
        <f t="shared" si="3"/>
        <v>0</v>
      </c>
      <c r="W120">
        <v>0</v>
      </c>
      <c r="X120">
        <v>17286</v>
      </c>
      <c r="Y120">
        <v>17685</v>
      </c>
      <c r="Z120">
        <v>11936</v>
      </c>
      <c r="AA120">
        <v>9696</v>
      </c>
      <c r="AB120">
        <v>90</v>
      </c>
      <c r="AC120">
        <v>145</v>
      </c>
      <c r="AD120">
        <v>20</v>
      </c>
      <c r="AE120">
        <v>20</v>
      </c>
    </row>
    <row r="121" spans="1:31">
      <c r="A121" t="s">
        <v>749</v>
      </c>
      <c r="B121">
        <v>39935</v>
      </c>
      <c r="C121">
        <v>39365</v>
      </c>
      <c r="D121">
        <v>1.4</v>
      </c>
      <c r="E121">
        <v>45852</v>
      </c>
      <c r="F121">
        <v>10.199999999999999</v>
      </c>
      <c r="G121">
        <v>13775</v>
      </c>
      <c r="H121">
        <v>3995</v>
      </c>
      <c r="I121">
        <v>1430</v>
      </c>
      <c r="J121">
        <v>78.5</v>
      </c>
      <c r="K121">
        <v>21.5</v>
      </c>
      <c r="L121">
        <v>66.5</v>
      </c>
      <c r="M121">
        <v>63.6</v>
      </c>
      <c r="N121">
        <v>4.4000000000000004</v>
      </c>
      <c r="T121">
        <f t="shared" si="3"/>
        <v>0</v>
      </c>
      <c r="AB121">
        <v>0</v>
      </c>
      <c r="AC121">
        <v>0</v>
      </c>
      <c r="AD121">
        <v>0</v>
      </c>
      <c r="AE121">
        <v>0</v>
      </c>
    </row>
    <row r="122" spans="1:31">
      <c r="A122" t="s">
        <v>750</v>
      </c>
      <c r="B122">
        <v>10295</v>
      </c>
      <c r="C122">
        <v>9595</v>
      </c>
      <c r="D122">
        <v>1.3</v>
      </c>
      <c r="E122">
        <v>42971</v>
      </c>
      <c r="F122">
        <v>8.6</v>
      </c>
      <c r="G122">
        <v>3645</v>
      </c>
      <c r="H122">
        <v>1115</v>
      </c>
      <c r="I122">
        <v>420</v>
      </c>
      <c r="J122">
        <v>79.8</v>
      </c>
      <c r="K122">
        <v>17.600000000000001</v>
      </c>
      <c r="L122">
        <v>69.400000000000006</v>
      </c>
      <c r="M122">
        <v>66.7</v>
      </c>
      <c r="N122">
        <v>3.9</v>
      </c>
      <c r="T122">
        <f t="shared" si="3"/>
        <v>0</v>
      </c>
      <c r="AB122">
        <v>0</v>
      </c>
      <c r="AC122">
        <v>0</v>
      </c>
      <c r="AD122">
        <v>0</v>
      </c>
      <c r="AE122">
        <v>0</v>
      </c>
    </row>
    <row r="123" spans="1:31">
      <c r="A123" t="s">
        <v>751</v>
      </c>
      <c r="B123">
        <v>14480</v>
      </c>
      <c r="C123">
        <v>14090</v>
      </c>
      <c r="D123">
        <v>1.1000000000000001</v>
      </c>
      <c r="E123">
        <v>44212</v>
      </c>
      <c r="F123">
        <v>12.6</v>
      </c>
      <c r="G123">
        <v>5755</v>
      </c>
      <c r="H123">
        <v>2130</v>
      </c>
      <c r="I123">
        <v>595</v>
      </c>
      <c r="J123">
        <v>81.7</v>
      </c>
      <c r="K123">
        <v>18.3</v>
      </c>
      <c r="L123">
        <v>67.5</v>
      </c>
      <c r="M123">
        <v>65.3</v>
      </c>
      <c r="N123">
        <v>3.4</v>
      </c>
      <c r="T123">
        <f t="shared" si="3"/>
        <v>0</v>
      </c>
      <c r="AB123">
        <v>0</v>
      </c>
      <c r="AC123">
        <v>0</v>
      </c>
      <c r="AD123">
        <v>0</v>
      </c>
      <c r="AE123">
        <v>0</v>
      </c>
    </row>
    <row r="124" spans="1:31">
      <c r="A124" t="s">
        <v>752</v>
      </c>
      <c r="B124">
        <v>10345</v>
      </c>
      <c r="C124">
        <v>10185</v>
      </c>
      <c r="D124">
        <v>1.2</v>
      </c>
      <c r="E124">
        <v>38187</v>
      </c>
      <c r="F124">
        <v>14.1</v>
      </c>
      <c r="G124">
        <v>3915</v>
      </c>
      <c r="H124">
        <v>1315</v>
      </c>
      <c r="I124">
        <v>505</v>
      </c>
      <c r="J124">
        <v>74.8</v>
      </c>
      <c r="K124">
        <v>15.8</v>
      </c>
      <c r="L124">
        <v>62.9</v>
      </c>
      <c r="M124">
        <v>58.8</v>
      </c>
      <c r="N124">
        <v>6.4</v>
      </c>
      <c r="T124">
        <f t="shared" si="3"/>
        <v>0</v>
      </c>
      <c r="AB124">
        <v>0</v>
      </c>
      <c r="AC124">
        <v>0</v>
      </c>
      <c r="AD124">
        <v>0</v>
      </c>
      <c r="AE124">
        <v>0</v>
      </c>
    </row>
    <row r="125" spans="1:31">
      <c r="A125" t="s">
        <v>753</v>
      </c>
      <c r="B125">
        <v>56250</v>
      </c>
      <c r="C125">
        <v>55165</v>
      </c>
      <c r="D125">
        <v>1.1000000000000001</v>
      </c>
      <c r="E125">
        <v>48514</v>
      </c>
      <c r="F125">
        <v>13</v>
      </c>
      <c r="G125">
        <v>22325</v>
      </c>
      <c r="H125">
        <v>6880</v>
      </c>
      <c r="I125">
        <v>1955</v>
      </c>
      <c r="J125">
        <v>65.400000000000006</v>
      </c>
      <c r="K125">
        <v>34.6</v>
      </c>
      <c r="L125">
        <v>68.5</v>
      </c>
      <c r="M125">
        <v>64.400000000000006</v>
      </c>
      <c r="N125">
        <v>6</v>
      </c>
      <c r="T125">
        <f t="shared" si="3"/>
        <v>0</v>
      </c>
      <c r="AB125">
        <v>0</v>
      </c>
      <c r="AC125">
        <v>0</v>
      </c>
      <c r="AD125">
        <v>0</v>
      </c>
      <c r="AE125">
        <v>0</v>
      </c>
    </row>
    <row r="126" spans="1:31">
      <c r="A126" t="s">
        <v>754</v>
      </c>
      <c r="B126">
        <v>14700</v>
      </c>
      <c r="C126">
        <v>13540</v>
      </c>
      <c r="D126">
        <v>1.4</v>
      </c>
      <c r="E126">
        <v>37682</v>
      </c>
      <c r="F126">
        <v>12.8</v>
      </c>
      <c r="G126">
        <v>4790</v>
      </c>
      <c r="H126">
        <v>1565</v>
      </c>
      <c r="I126">
        <v>835</v>
      </c>
      <c r="J126">
        <v>75.8</v>
      </c>
      <c r="K126">
        <v>14.4</v>
      </c>
      <c r="L126">
        <v>62.7</v>
      </c>
      <c r="M126">
        <v>59.2</v>
      </c>
      <c r="N126">
        <v>5.6</v>
      </c>
      <c r="T126">
        <f t="shared" si="3"/>
        <v>0</v>
      </c>
      <c r="AB126">
        <v>0</v>
      </c>
      <c r="AC126">
        <v>0</v>
      </c>
      <c r="AD126">
        <v>0</v>
      </c>
      <c r="AE126">
        <v>0</v>
      </c>
    </row>
    <row r="127" spans="1:31">
      <c r="A127" t="s">
        <v>755</v>
      </c>
      <c r="B127">
        <v>22325</v>
      </c>
      <c r="C127">
        <v>21265</v>
      </c>
      <c r="D127">
        <v>1.2</v>
      </c>
      <c r="E127">
        <v>44802</v>
      </c>
      <c r="F127">
        <v>13.5</v>
      </c>
      <c r="G127">
        <v>8260</v>
      </c>
      <c r="H127">
        <v>2590</v>
      </c>
      <c r="I127">
        <v>940</v>
      </c>
      <c r="J127">
        <v>69.5</v>
      </c>
      <c r="K127">
        <v>28.6</v>
      </c>
      <c r="L127">
        <v>66.599999999999994</v>
      </c>
      <c r="M127">
        <v>62.4</v>
      </c>
      <c r="N127">
        <v>6.3</v>
      </c>
      <c r="T127">
        <f t="shared" si="3"/>
        <v>0</v>
      </c>
      <c r="AB127">
        <v>0</v>
      </c>
      <c r="AC127">
        <v>0</v>
      </c>
      <c r="AD127">
        <v>0</v>
      </c>
      <c r="AE127">
        <v>0</v>
      </c>
    </row>
    <row r="128" spans="1:31">
      <c r="A128" t="s">
        <v>323</v>
      </c>
      <c r="T128">
        <f t="shared" si="3"/>
        <v>0</v>
      </c>
      <c r="AB128">
        <v>0</v>
      </c>
      <c r="AC128">
        <v>0</v>
      </c>
      <c r="AD128">
        <v>0</v>
      </c>
      <c r="AE128">
        <v>0</v>
      </c>
    </row>
    <row r="129" spans="1:31">
      <c r="A129" t="s">
        <v>322</v>
      </c>
      <c r="T129">
        <f t="shared" si="3"/>
        <v>0</v>
      </c>
      <c r="AB129">
        <v>0</v>
      </c>
      <c r="AC129">
        <v>0</v>
      </c>
      <c r="AD129">
        <v>0</v>
      </c>
      <c r="AE129">
        <v>0</v>
      </c>
    </row>
    <row r="130" spans="1:31">
      <c r="A130" t="s">
        <v>324</v>
      </c>
      <c r="B130">
        <v>499</v>
      </c>
      <c r="T130">
        <f t="shared" si="3"/>
        <v>0</v>
      </c>
      <c r="AB130">
        <v>0</v>
      </c>
      <c r="AC130">
        <v>0</v>
      </c>
      <c r="AD130">
        <v>0</v>
      </c>
      <c r="AE130">
        <v>0</v>
      </c>
    </row>
    <row r="131" spans="1:31">
      <c r="A131" t="s">
        <v>615</v>
      </c>
      <c r="B131">
        <v>2400</v>
      </c>
      <c r="C131">
        <v>2280</v>
      </c>
      <c r="D131">
        <v>1.6</v>
      </c>
      <c r="E131">
        <v>45644</v>
      </c>
      <c r="F131">
        <v>9.4</v>
      </c>
      <c r="G131">
        <v>705</v>
      </c>
      <c r="H131">
        <v>245</v>
      </c>
      <c r="I131">
        <v>125</v>
      </c>
      <c r="J131">
        <v>87.2</v>
      </c>
      <c r="K131">
        <v>12.8</v>
      </c>
      <c r="L131">
        <v>76.900000000000006</v>
      </c>
      <c r="M131">
        <v>75.5</v>
      </c>
      <c r="N131">
        <v>1.5</v>
      </c>
      <c r="T131">
        <f t="shared" si="3"/>
        <v>0</v>
      </c>
      <c r="W131">
        <v>0</v>
      </c>
      <c r="X131">
        <v>18074</v>
      </c>
      <c r="Y131">
        <v>16324</v>
      </c>
      <c r="Z131">
        <v>17452</v>
      </c>
      <c r="AA131">
        <v>10874</v>
      </c>
      <c r="AB131">
        <v>650</v>
      </c>
      <c r="AC131">
        <v>1525</v>
      </c>
      <c r="AD131">
        <v>535</v>
      </c>
      <c r="AE131">
        <v>190</v>
      </c>
    </row>
    <row r="132" spans="1:31">
      <c r="A132" t="s">
        <v>325</v>
      </c>
      <c r="T132">
        <f t="shared" si="3"/>
        <v>0</v>
      </c>
      <c r="AB132">
        <v>0</v>
      </c>
      <c r="AC132">
        <v>0</v>
      </c>
      <c r="AD132">
        <v>0</v>
      </c>
      <c r="AE132">
        <v>0</v>
      </c>
    </row>
    <row r="133" spans="1:31">
      <c r="A133" t="s">
        <v>658</v>
      </c>
      <c r="B133">
        <v>400</v>
      </c>
      <c r="C133">
        <v>400</v>
      </c>
      <c r="D133">
        <v>0.7</v>
      </c>
      <c r="E133">
        <v>43531</v>
      </c>
      <c r="F133">
        <v>3.5</v>
      </c>
      <c r="G133">
        <v>205</v>
      </c>
      <c r="H133">
        <v>55</v>
      </c>
      <c r="I133">
        <v>40</v>
      </c>
      <c r="J133">
        <v>92.7</v>
      </c>
      <c r="K133">
        <v>4.9000000000000004</v>
      </c>
      <c r="L133">
        <v>38</v>
      </c>
      <c r="M133">
        <v>31</v>
      </c>
      <c r="N133">
        <v>14.8</v>
      </c>
      <c r="T133">
        <f t="shared" si="3"/>
        <v>0</v>
      </c>
      <c r="W133">
        <v>0</v>
      </c>
      <c r="X133">
        <v>28872</v>
      </c>
      <c r="Y133">
        <v>10522</v>
      </c>
      <c r="Z133">
        <v>20176</v>
      </c>
      <c r="AA133">
        <v>9957</v>
      </c>
      <c r="AB133">
        <v>40</v>
      </c>
      <c r="AC133">
        <v>240</v>
      </c>
      <c r="AD133">
        <v>135</v>
      </c>
      <c r="AE133">
        <v>95</v>
      </c>
    </row>
    <row r="134" spans="1:31">
      <c r="A134" t="s">
        <v>326</v>
      </c>
      <c r="T134">
        <f t="shared" si="3"/>
        <v>0</v>
      </c>
      <c r="AB134">
        <v>0</v>
      </c>
      <c r="AC134">
        <v>0</v>
      </c>
      <c r="AD134">
        <v>0</v>
      </c>
      <c r="AE134">
        <v>0</v>
      </c>
    </row>
    <row r="135" spans="1:31">
      <c r="A135" t="s">
        <v>656</v>
      </c>
      <c r="B135">
        <v>6510</v>
      </c>
      <c r="C135">
        <v>6505</v>
      </c>
      <c r="D135">
        <v>1.4</v>
      </c>
      <c r="E135">
        <v>81261</v>
      </c>
      <c r="F135">
        <v>5.2</v>
      </c>
      <c r="G135">
        <v>2075</v>
      </c>
      <c r="H135">
        <v>495</v>
      </c>
      <c r="I135">
        <v>165</v>
      </c>
      <c r="J135">
        <v>95.2</v>
      </c>
      <c r="K135">
        <v>4.8</v>
      </c>
      <c r="L135">
        <v>76.099999999999994</v>
      </c>
      <c r="M135">
        <v>73.3</v>
      </c>
      <c r="N135">
        <v>3.7</v>
      </c>
      <c r="T135">
        <f t="shared" si="3"/>
        <v>0</v>
      </c>
      <c r="W135">
        <v>0</v>
      </c>
      <c r="X135">
        <v>42592</v>
      </c>
      <c r="Y135">
        <v>24664</v>
      </c>
      <c r="Z135">
        <v>35790</v>
      </c>
      <c r="AA135">
        <v>20021</v>
      </c>
      <c r="AB135">
        <v>1515</v>
      </c>
      <c r="AC135">
        <v>4560</v>
      </c>
      <c r="AD135">
        <v>1730</v>
      </c>
      <c r="AE135">
        <v>425</v>
      </c>
    </row>
    <row r="136" spans="1:31">
      <c r="A136" t="s">
        <v>327</v>
      </c>
      <c r="B136">
        <v>90</v>
      </c>
      <c r="T136">
        <f t="shared" ref="T136:T184" si="4">IFERROR(VLOOKUP(A136,$U$12:$U$74,1,0),0)</f>
        <v>0</v>
      </c>
      <c r="AB136">
        <v>0</v>
      </c>
      <c r="AC136">
        <v>0</v>
      </c>
      <c r="AD136">
        <v>0</v>
      </c>
      <c r="AE136">
        <v>0</v>
      </c>
    </row>
    <row r="137" spans="1:31">
      <c r="A137" t="s">
        <v>214</v>
      </c>
      <c r="B137">
        <v>870</v>
      </c>
      <c r="C137">
        <v>860</v>
      </c>
      <c r="D137">
        <v>2.2999999999999998</v>
      </c>
      <c r="E137">
        <v>21389</v>
      </c>
      <c r="F137">
        <v>0</v>
      </c>
      <c r="G137">
        <v>195</v>
      </c>
      <c r="H137">
        <v>35</v>
      </c>
      <c r="I137">
        <v>95</v>
      </c>
      <c r="J137">
        <v>0</v>
      </c>
      <c r="K137">
        <v>0</v>
      </c>
      <c r="L137">
        <v>49</v>
      </c>
      <c r="M137">
        <v>36.299999999999997</v>
      </c>
      <c r="N137">
        <v>26</v>
      </c>
      <c r="T137" t="str">
        <f t="shared" si="4"/>
        <v>Ebb and Flow First Nation</v>
      </c>
      <c r="W137">
        <v>0</v>
      </c>
      <c r="X137">
        <v>11330</v>
      </c>
      <c r="Y137">
        <v>12880</v>
      </c>
      <c r="Z137">
        <v>4432</v>
      </c>
      <c r="AA137">
        <v>8048</v>
      </c>
      <c r="AB137">
        <v>365</v>
      </c>
      <c r="AC137">
        <v>490</v>
      </c>
      <c r="AD137">
        <v>85</v>
      </c>
      <c r="AE137">
        <v>0</v>
      </c>
    </row>
    <row r="138" spans="1:31">
      <c r="A138" t="s">
        <v>624</v>
      </c>
      <c r="B138">
        <v>730</v>
      </c>
      <c r="C138">
        <v>730</v>
      </c>
      <c r="D138">
        <v>1.2</v>
      </c>
      <c r="E138">
        <v>48362</v>
      </c>
      <c r="F138">
        <v>7.4</v>
      </c>
      <c r="G138">
        <v>295</v>
      </c>
      <c r="H138">
        <v>95</v>
      </c>
      <c r="I138">
        <v>45</v>
      </c>
      <c r="J138">
        <v>79.7</v>
      </c>
      <c r="K138">
        <v>22</v>
      </c>
      <c r="L138">
        <v>77</v>
      </c>
      <c r="M138">
        <v>77</v>
      </c>
      <c r="N138">
        <v>0</v>
      </c>
      <c r="T138">
        <f t="shared" si="4"/>
        <v>0</v>
      </c>
      <c r="W138">
        <v>0</v>
      </c>
      <c r="X138">
        <v>20517</v>
      </c>
      <c r="Y138">
        <v>13491</v>
      </c>
      <c r="Z138">
        <v>20773</v>
      </c>
      <c r="AA138">
        <v>10436</v>
      </c>
      <c r="AB138">
        <v>165</v>
      </c>
      <c r="AC138">
        <v>405</v>
      </c>
      <c r="AD138">
        <v>165</v>
      </c>
      <c r="AE138">
        <v>145</v>
      </c>
    </row>
    <row r="139" spans="1:31">
      <c r="A139" t="s">
        <v>329</v>
      </c>
      <c r="T139">
        <f>IFERROR(VLOOKUP(A139,$U$12:$U$74,1,0),0)</f>
        <v>0</v>
      </c>
      <c r="AB139">
        <v>0</v>
      </c>
      <c r="AC139">
        <v>0</v>
      </c>
      <c r="AD139">
        <v>0</v>
      </c>
      <c r="AE139">
        <v>0</v>
      </c>
    </row>
    <row r="140" spans="1:31">
      <c r="A140" t="s">
        <v>328</v>
      </c>
      <c r="T140">
        <f>IFERROR(VLOOKUP(A140,$U$12:$U$74,1,0),0)</f>
        <v>0</v>
      </c>
      <c r="AB140">
        <v>0</v>
      </c>
      <c r="AC140">
        <v>0</v>
      </c>
      <c r="AD140">
        <v>0</v>
      </c>
      <c r="AE140">
        <v>0</v>
      </c>
    </row>
    <row r="141" spans="1:31">
      <c r="A141" t="s">
        <v>330</v>
      </c>
      <c r="B141">
        <v>490</v>
      </c>
      <c r="C141">
        <v>480</v>
      </c>
      <c r="D141">
        <v>0.8</v>
      </c>
      <c r="E141">
        <v>33439</v>
      </c>
      <c r="F141">
        <v>8.3000000000000007</v>
      </c>
      <c r="G141">
        <v>230</v>
      </c>
      <c r="H141">
        <v>60</v>
      </c>
      <c r="I141">
        <v>10</v>
      </c>
      <c r="J141">
        <v>84.8</v>
      </c>
      <c r="K141">
        <v>15.2</v>
      </c>
      <c r="L141">
        <v>38.200000000000003</v>
      </c>
      <c r="M141">
        <v>35.5</v>
      </c>
      <c r="N141">
        <v>6.9</v>
      </c>
      <c r="T141">
        <f t="shared" si="4"/>
        <v>0</v>
      </c>
      <c r="W141">
        <v>0</v>
      </c>
      <c r="X141">
        <v>23256</v>
      </c>
      <c r="Y141">
        <v>12863</v>
      </c>
      <c r="Z141">
        <v>20850</v>
      </c>
      <c r="AA141">
        <v>10909</v>
      </c>
      <c r="AB141">
        <v>110</v>
      </c>
      <c r="AC141">
        <v>175</v>
      </c>
      <c r="AD141">
        <v>65</v>
      </c>
      <c r="AE141">
        <v>195</v>
      </c>
    </row>
    <row r="142" spans="1:31">
      <c r="A142" t="s">
        <v>669</v>
      </c>
      <c r="B142">
        <v>555</v>
      </c>
      <c r="C142">
        <v>555</v>
      </c>
      <c r="D142">
        <v>1.9</v>
      </c>
      <c r="E142">
        <v>51777</v>
      </c>
      <c r="F142">
        <v>11.5</v>
      </c>
      <c r="G142">
        <v>150</v>
      </c>
      <c r="H142">
        <v>60</v>
      </c>
      <c r="I142">
        <v>35</v>
      </c>
      <c r="J142">
        <v>100</v>
      </c>
      <c r="K142">
        <v>0</v>
      </c>
      <c r="L142">
        <v>69.900000000000006</v>
      </c>
      <c r="M142">
        <v>65.8</v>
      </c>
      <c r="N142">
        <v>5.9</v>
      </c>
      <c r="T142">
        <f t="shared" si="4"/>
        <v>0</v>
      </c>
      <c r="W142">
        <v>0</v>
      </c>
      <c r="X142">
        <v>27737</v>
      </c>
      <c r="Y142">
        <v>13287</v>
      </c>
      <c r="Z142">
        <v>30021</v>
      </c>
      <c r="AA142">
        <v>7389</v>
      </c>
      <c r="AB142">
        <v>185</v>
      </c>
      <c r="AC142">
        <v>290</v>
      </c>
      <c r="AD142">
        <v>50</v>
      </c>
      <c r="AE142">
        <v>30</v>
      </c>
    </row>
    <row r="143" spans="1:31">
      <c r="A143" t="s">
        <v>331</v>
      </c>
      <c r="T143">
        <f t="shared" si="4"/>
        <v>0</v>
      </c>
      <c r="AB143">
        <v>0</v>
      </c>
      <c r="AC143">
        <v>0</v>
      </c>
      <c r="AD143">
        <v>0</v>
      </c>
      <c r="AE143">
        <v>0</v>
      </c>
    </row>
    <row r="144" spans="1:31">
      <c r="A144" t="s">
        <v>332</v>
      </c>
      <c r="T144">
        <f t="shared" si="4"/>
        <v>0</v>
      </c>
      <c r="AB144">
        <v>0</v>
      </c>
      <c r="AC144">
        <v>0</v>
      </c>
      <c r="AD144">
        <v>0</v>
      </c>
      <c r="AE144">
        <v>0</v>
      </c>
    </row>
    <row r="145" spans="1:31">
      <c r="A145" t="s">
        <v>333</v>
      </c>
      <c r="T145">
        <f t="shared" si="4"/>
        <v>0</v>
      </c>
      <c r="AB145">
        <v>0</v>
      </c>
      <c r="AC145">
        <v>0</v>
      </c>
      <c r="AD145">
        <v>0</v>
      </c>
      <c r="AE145">
        <v>0</v>
      </c>
    </row>
    <row r="146" spans="1:31">
      <c r="A146" t="s">
        <v>638</v>
      </c>
      <c r="B146">
        <v>1420</v>
      </c>
      <c r="C146">
        <v>1360</v>
      </c>
      <c r="D146">
        <v>1.2</v>
      </c>
      <c r="E146">
        <v>44707</v>
      </c>
      <c r="F146">
        <v>8.4</v>
      </c>
      <c r="G146">
        <v>455</v>
      </c>
      <c r="H146">
        <v>165</v>
      </c>
      <c r="I146">
        <v>80</v>
      </c>
      <c r="J146">
        <v>83.5</v>
      </c>
      <c r="K146">
        <v>16.5</v>
      </c>
      <c r="L146">
        <v>77</v>
      </c>
      <c r="M146">
        <v>74.599999999999994</v>
      </c>
      <c r="N146">
        <v>3</v>
      </c>
      <c r="T146">
        <f t="shared" si="4"/>
        <v>0</v>
      </c>
      <c r="W146">
        <v>0</v>
      </c>
      <c r="X146">
        <v>21803</v>
      </c>
      <c r="Y146">
        <v>14881</v>
      </c>
      <c r="Z146">
        <v>21438</v>
      </c>
      <c r="AA146">
        <v>12886</v>
      </c>
      <c r="AB146">
        <v>360</v>
      </c>
      <c r="AC146">
        <v>855</v>
      </c>
      <c r="AD146">
        <v>220</v>
      </c>
      <c r="AE146">
        <v>205</v>
      </c>
    </row>
    <row r="147" spans="1:31">
      <c r="A147" t="s">
        <v>334</v>
      </c>
      <c r="B147">
        <v>725</v>
      </c>
      <c r="C147">
        <v>725</v>
      </c>
      <c r="D147">
        <v>1</v>
      </c>
      <c r="E147">
        <v>62876</v>
      </c>
      <c r="F147">
        <v>4.4000000000000004</v>
      </c>
      <c r="G147">
        <v>320</v>
      </c>
      <c r="H147">
        <v>100</v>
      </c>
      <c r="I147">
        <v>35</v>
      </c>
      <c r="J147">
        <v>78.099999999999994</v>
      </c>
      <c r="K147">
        <v>21.9</v>
      </c>
      <c r="L147">
        <v>56</v>
      </c>
      <c r="M147">
        <v>53.4</v>
      </c>
      <c r="N147">
        <v>3.1</v>
      </c>
      <c r="T147">
        <f t="shared" si="4"/>
        <v>0</v>
      </c>
      <c r="W147">
        <v>0</v>
      </c>
      <c r="X147">
        <v>46957</v>
      </c>
      <c r="Y147">
        <v>16196</v>
      </c>
      <c r="Z147">
        <v>26046</v>
      </c>
      <c r="AA147">
        <v>13227</v>
      </c>
      <c r="AB147">
        <v>130</v>
      </c>
      <c r="AC147">
        <v>360</v>
      </c>
      <c r="AD147">
        <v>110</v>
      </c>
      <c r="AE147">
        <v>210</v>
      </c>
    </row>
    <row r="148" spans="1:31">
      <c r="A148" t="s">
        <v>335</v>
      </c>
      <c r="B148">
        <v>490</v>
      </c>
      <c r="C148">
        <v>490</v>
      </c>
      <c r="D148">
        <v>1</v>
      </c>
      <c r="E148">
        <v>36988</v>
      </c>
      <c r="F148">
        <v>19.8</v>
      </c>
      <c r="G148">
        <v>250</v>
      </c>
      <c r="H148">
        <v>55</v>
      </c>
      <c r="I148">
        <v>30</v>
      </c>
      <c r="J148">
        <v>66</v>
      </c>
      <c r="K148">
        <v>34</v>
      </c>
      <c r="L148">
        <v>44.9</v>
      </c>
      <c r="M148">
        <v>43.6</v>
      </c>
      <c r="N148">
        <v>0</v>
      </c>
      <c r="T148">
        <f t="shared" si="4"/>
        <v>0</v>
      </c>
      <c r="W148">
        <v>0</v>
      </c>
      <c r="X148">
        <v>20091</v>
      </c>
      <c r="Y148">
        <v>20105</v>
      </c>
      <c r="Z148">
        <v>15867</v>
      </c>
      <c r="AA148">
        <v>12086</v>
      </c>
      <c r="AB148">
        <v>100</v>
      </c>
      <c r="AC148">
        <v>200</v>
      </c>
      <c r="AD148">
        <v>90</v>
      </c>
      <c r="AE148">
        <v>175</v>
      </c>
    </row>
    <row r="149" spans="1:31">
      <c r="A149" t="s">
        <v>500</v>
      </c>
      <c r="B149">
        <v>895</v>
      </c>
      <c r="C149">
        <v>895</v>
      </c>
      <c r="D149">
        <v>1.1000000000000001</v>
      </c>
      <c r="E149">
        <v>40012</v>
      </c>
      <c r="F149">
        <v>16.7</v>
      </c>
      <c r="G149">
        <v>375</v>
      </c>
      <c r="H149">
        <v>145</v>
      </c>
      <c r="I149">
        <v>70</v>
      </c>
      <c r="J149">
        <v>76</v>
      </c>
      <c r="K149">
        <v>24</v>
      </c>
      <c r="L149">
        <v>58.6</v>
      </c>
      <c r="M149">
        <v>53.6</v>
      </c>
      <c r="N149">
        <v>8.5</v>
      </c>
      <c r="T149">
        <f t="shared" si="4"/>
        <v>0</v>
      </c>
      <c r="W149">
        <v>0</v>
      </c>
      <c r="X149">
        <v>26508</v>
      </c>
      <c r="Y149">
        <v>13501</v>
      </c>
      <c r="Z149">
        <v>17588</v>
      </c>
      <c r="AA149">
        <v>12050</v>
      </c>
      <c r="AB149">
        <v>185</v>
      </c>
      <c r="AC149">
        <v>520</v>
      </c>
      <c r="AD149">
        <v>155</v>
      </c>
      <c r="AE149">
        <v>170</v>
      </c>
    </row>
    <row r="150" spans="1:31">
      <c r="A150" s="83" t="s">
        <v>683</v>
      </c>
      <c r="B150">
        <v>315</v>
      </c>
      <c r="C150">
        <v>315</v>
      </c>
      <c r="D150">
        <v>0.6</v>
      </c>
      <c r="E150">
        <v>25846</v>
      </c>
      <c r="F150">
        <v>24.9</v>
      </c>
      <c r="G150">
        <v>175</v>
      </c>
      <c r="H150">
        <v>85</v>
      </c>
      <c r="I150">
        <v>10</v>
      </c>
      <c r="J150">
        <v>77.099999999999994</v>
      </c>
      <c r="K150">
        <v>25.7</v>
      </c>
      <c r="L150">
        <v>42.1</v>
      </c>
      <c r="M150">
        <v>35.1</v>
      </c>
      <c r="N150">
        <v>16.7</v>
      </c>
      <c r="T150">
        <f t="shared" ref="T150:T156" si="5">IFERROR(VLOOKUP(A150,$U$12:$U$74,1,0),0)</f>
        <v>0</v>
      </c>
      <c r="W150">
        <v>0</v>
      </c>
      <c r="X150">
        <v>8206</v>
      </c>
      <c r="Y150">
        <v>19478</v>
      </c>
      <c r="Z150">
        <v>10951</v>
      </c>
      <c r="AA150">
        <v>11424</v>
      </c>
      <c r="AB150">
        <v>25</v>
      </c>
      <c r="AC150">
        <v>155</v>
      </c>
      <c r="AD150">
        <v>80</v>
      </c>
      <c r="AE150">
        <v>145</v>
      </c>
    </row>
    <row r="151" spans="1:31">
      <c r="A151" s="82" t="s">
        <v>775</v>
      </c>
      <c r="B151">
        <v>515</v>
      </c>
      <c r="C151">
        <v>510</v>
      </c>
      <c r="D151">
        <v>1</v>
      </c>
      <c r="E151">
        <v>26089</v>
      </c>
      <c r="F151">
        <v>29.6</v>
      </c>
      <c r="G151">
        <v>215</v>
      </c>
      <c r="H151">
        <v>75</v>
      </c>
      <c r="I151">
        <v>40</v>
      </c>
      <c r="J151">
        <v>93</v>
      </c>
      <c r="K151">
        <v>7</v>
      </c>
      <c r="L151">
        <v>70.2</v>
      </c>
      <c r="M151">
        <v>67.900000000000006</v>
      </c>
      <c r="N151">
        <v>3.4</v>
      </c>
      <c r="T151">
        <f t="shared" si="5"/>
        <v>0</v>
      </c>
      <c r="W151">
        <v>0</v>
      </c>
      <c r="X151">
        <v>14179</v>
      </c>
      <c r="Y151">
        <v>7762</v>
      </c>
      <c r="Z151">
        <v>11148</v>
      </c>
      <c r="AA151">
        <v>7083</v>
      </c>
      <c r="AB151">
        <v>85</v>
      </c>
      <c r="AC151">
        <v>315</v>
      </c>
      <c r="AD151">
        <v>150</v>
      </c>
      <c r="AE151">
        <v>110</v>
      </c>
    </row>
    <row r="152" spans="1:31">
      <c r="A152" t="s">
        <v>499</v>
      </c>
      <c r="B152">
        <v>830</v>
      </c>
      <c r="C152">
        <v>830</v>
      </c>
      <c r="D152">
        <v>2.2000000000000002</v>
      </c>
      <c r="E152">
        <v>23748</v>
      </c>
      <c r="F152">
        <v>0</v>
      </c>
      <c r="G152">
        <v>185</v>
      </c>
      <c r="H152">
        <v>50</v>
      </c>
      <c r="I152">
        <v>85</v>
      </c>
      <c r="J152">
        <v>13.5</v>
      </c>
      <c r="K152">
        <v>0</v>
      </c>
      <c r="L152">
        <v>44.2</v>
      </c>
      <c r="M152">
        <v>34.700000000000003</v>
      </c>
      <c r="N152">
        <v>23.8</v>
      </c>
      <c r="T152">
        <f t="shared" si="5"/>
        <v>0</v>
      </c>
      <c r="W152">
        <v>0</v>
      </c>
      <c r="X152">
        <v>11000</v>
      </c>
      <c r="Y152">
        <v>13136</v>
      </c>
      <c r="Z152">
        <v>7768</v>
      </c>
      <c r="AA152">
        <v>5920</v>
      </c>
      <c r="AB152">
        <v>355</v>
      </c>
      <c r="AC152">
        <v>440</v>
      </c>
      <c r="AD152">
        <v>95</v>
      </c>
      <c r="AE152">
        <v>40</v>
      </c>
    </row>
    <row r="153" spans="1:31">
      <c r="A153" t="s">
        <v>336</v>
      </c>
      <c r="T153">
        <f t="shared" si="5"/>
        <v>0</v>
      </c>
      <c r="AB153">
        <v>0</v>
      </c>
      <c r="AC153">
        <v>0</v>
      </c>
      <c r="AD153">
        <v>0</v>
      </c>
      <c r="AE153">
        <v>0</v>
      </c>
    </row>
    <row r="154" spans="1:31">
      <c r="A154" t="s">
        <v>691</v>
      </c>
      <c r="B154">
        <v>2140</v>
      </c>
      <c r="C154">
        <v>1965</v>
      </c>
      <c r="D154">
        <v>1.3</v>
      </c>
      <c r="E154">
        <v>32986</v>
      </c>
      <c r="F154">
        <v>18.7</v>
      </c>
      <c r="G154">
        <v>740</v>
      </c>
      <c r="H154">
        <v>265</v>
      </c>
      <c r="I154">
        <v>190</v>
      </c>
      <c r="J154">
        <v>83.1</v>
      </c>
      <c r="K154">
        <v>17.600000000000001</v>
      </c>
      <c r="L154">
        <v>59.5</v>
      </c>
      <c r="M154">
        <v>56.1</v>
      </c>
      <c r="N154">
        <v>5.7</v>
      </c>
      <c r="T154">
        <f t="shared" si="5"/>
        <v>0</v>
      </c>
      <c r="W154">
        <v>0</v>
      </c>
      <c r="X154">
        <v>15313</v>
      </c>
      <c r="Y154">
        <v>13863</v>
      </c>
      <c r="Z154">
        <v>12701</v>
      </c>
      <c r="AA154">
        <v>10077</v>
      </c>
      <c r="AB154">
        <v>505</v>
      </c>
      <c r="AC154">
        <v>1180</v>
      </c>
      <c r="AD154">
        <v>395</v>
      </c>
      <c r="AE154">
        <v>435</v>
      </c>
    </row>
    <row r="155" spans="1:31">
      <c r="A155" t="s">
        <v>215</v>
      </c>
      <c r="B155">
        <v>59</v>
      </c>
      <c r="T155">
        <f t="shared" si="5"/>
        <v>0</v>
      </c>
      <c r="AB155">
        <v>0</v>
      </c>
      <c r="AC155">
        <v>0</v>
      </c>
      <c r="AD155">
        <v>0</v>
      </c>
      <c r="AE155">
        <v>0</v>
      </c>
    </row>
    <row r="156" spans="1:31">
      <c r="A156" t="s">
        <v>337</v>
      </c>
      <c r="T156">
        <f t="shared" si="5"/>
        <v>0</v>
      </c>
      <c r="AB156">
        <v>0</v>
      </c>
      <c r="AC156">
        <v>0</v>
      </c>
      <c r="AD156">
        <v>0</v>
      </c>
      <c r="AE156">
        <v>0</v>
      </c>
    </row>
    <row r="157" spans="1:31">
      <c r="A157" t="s">
        <v>216</v>
      </c>
      <c r="B157">
        <v>980</v>
      </c>
      <c r="C157">
        <v>980</v>
      </c>
      <c r="D157">
        <v>1.6</v>
      </c>
      <c r="E157">
        <v>28584</v>
      </c>
      <c r="F157">
        <v>0</v>
      </c>
      <c r="G157">
        <v>320</v>
      </c>
      <c r="H157">
        <v>135</v>
      </c>
      <c r="I157">
        <v>80</v>
      </c>
      <c r="J157">
        <v>4.7</v>
      </c>
      <c r="K157">
        <v>3.1</v>
      </c>
      <c r="L157">
        <v>55.2</v>
      </c>
      <c r="M157">
        <v>42.5</v>
      </c>
      <c r="N157">
        <v>23</v>
      </c>
      <c r="T157" t="str">
        <f t="shared" si="4"/>
        <v>Fisher River First Nation</v>
      </c>
      <c r="W157">
        <v>0</v>
      </c>
      <c r="X157">
        <v>15624</v>
      </c>
      <c r="Y157">
        <v>14895</v>
      </c>
      <c r="Z157">
        <v>11680</v>
      </c>
      <c r="AA157">
        <v>8949</v>
      </c>
      <c r="AB157">
        <v>315</v>
      </c>
      <c r="AC157">
        <v>610</v>
      </c>
      <c r="AD157">
        <v>160</v>
      </c>
      <c r="AE157">
        <v>40</v>
      </c>
    </row>
    <row r="158" spans="1:31">
      <c r="A158" s="103" t="s">
        <v>771</v>
      </c>
      <c r="W158">
        <v>0</v>
      </c>
      <c r="X158">
        <v>0</v>
      </c>
      <c r="Y158">
        <v>0</v>
      </c>
      <c r="Z158">
        <v>0</v>
      </c>
      <c r="AA158">
        <v>0</v>
      </c>
      <c r="AB158">
        <v>0</v>
      </c>
      <c r="AC158">
        <v>0</v>
      </c>
      <c r="AD158">
        <v>0</v>
      </c>
      <c r="AE158">
        <v>0</v>
      </c>
    </row>
    <row r="159" spans="1:31">
      <c r="A159" t="s">
        <v>338</v>
      </c>
      <c r="B159">
        <v>6500</v>
      </c>
      <c r="C159">
        <v>6490</v>
      </c>
      <c r="D159">
        <v>1.3</v>
      </c>
      <c r="E159">
        <v>56233</v>
      </c>
      <c r="F159">
        <v>11.8</v>
      </c>
      <c r="G159">
        <v>2560</v>
      </c>
      <c r="H159">
        <v>845</v>
      </c>
      <c r="I159">
        <v>400</v>
      </c>
      <c r="J159">
        <v>71.7</v>
      </c>
      <c r="K159">
        <v>28.3</v>
      </c>
      <c r="L159">
        <v>67.8</v>
      </c>
      <c r="M159">
        <v>62.5</v>
      </c>
      <c r="N159">
        <v>7.8</v>
      </c>
      <c r="T159">
        <f t="shared" si="4"/>
        <v>0</v>
      </c>
      <c r="W159">
        <v>0</v>
      </c>
      <c r="X159">
        <v>36974</v>
      </c>
      <c r="Y159">
        <v>17827</v>
      </c>
      <c r="Z159">
        <v>36963</v>
      </c>
      <c r="AA159">
        <v>14113</v>
      </c>
      <c r="AB159">
        <v>1505</v>
      </c>
      <c r="AC159">
        <v>4235</v>
      </c>
      <c r="AD159">
        <v>1135</v>
      </c>
      <c r="AE159">
        <v>740</v>
      </c>
    </row>
    <row r="160" spans="1:31">
      <c r="A160" t="s">
        <v>339</v>
      </c>
      <c r="T160">
        <f t="shared" si="4"/>
        <v>0</v>
      </c>
      <c r="AB160">
        <v>0</v>
      </c>
      <c r="AC160">
        <v>0</v>
      </c>
      <c r="AD160">
        <v>0</v>
      </c>
      <c r="AE160">
        <v>0</v>
      </c>
    </row>
    <row r="161" spans="1:31">
      <c r="A161" t="s">
        <v>340</v>
      </c>
      <c r="T161">
        <f t="shared" si="4"/>
        <v>0</v>
      </c>
      <c r="W161">
        <v>0</v>
      </c>
      <c r="X161">
        <v>17991</v>
      </c>
      <c r="Y161">
        <v>15249</v>
      </c>
      <c r="Z161">
        <v>7004</v>
      </c>
      <c r="AA161">
        <v>6013</v>
      </c>
      <c r="AB161">
        <v>555</v>
      </c>
      <c r="AC161">
        <v>1025</v>
      </c>
      <c r="AD161">
        <v>230</v>
      </c>
      <c r="AE161">
        <v>95</v>
      </c>
    </row>
    <row r="162" spans="1:31">
      <c r="A162" t="s">
        <v>217</v>
      </c>
      <c r="B162">
        <v>155</v>
      </c>
      <c r="C162">
        <v>150</v>
      </c>
      <c r="D162">
        <v>1.7</v>
      </c>
      <c r="E162">
        <v>0</v>
      </c>
      <c r="F162">
        <v>0</v>
      </c>
      <c r="G162">
        <v>45</v>
      </c>
      <c r="H162">
        <v>20</v>
      </c>
      <c r="I162">
        <v>15</v>
      </c>
      <c r="J162">
        <v>0</v>
      </c>
      <c r="K162">
        <v>33.299999999999997</v>
      </c>
      <c r="L162">
        <v>50</v>
      </c>
      <c r="M162">
        <v>31.8</v>
      </c>
      <c r="N162">
        <v>45.5</v>
      </c>
      <c r="T162" t="str">
        <f t="shared" si="4"/>
        <v>Fox Lake First Nation</v>
      </c>
      <c r="W162">
        <v>0</v>
      </c>
      <c r="X162">
        <v>0</v>
      </c>
      <c r="Y162">
        <v>0</v>
      </c>
      <c r="Z162">
        <v>0</v>
      </c>
      <c r="AA162">
        <v>0</v>
      </c>
      <c r="AB162">
        <v>55</v>
      </c>
      <c r="AC162">
        <v>110</v>
      </c>
      <c r="AD162">
        <v>40</v>
      </c>
      <c r="AE162">
        <v>10</v>
      </c>
    </row>
    <row r="163" spans="1:31">
      <c r="A163" t="s">
        <v>341</v>
      </c>
      <c r="T163">
        <f t="shared" si="4"/>
        <v>0</v>
      </c>
      <c r="AB163">
        <v>0</v>
      </c>
      <c r="AC163">
        <v>0</v>
      </c>
      <c r="AD163">
        <v>0</v>
      </c>
      <c r="AE163">
        <v>0</v>
      </c>
    </row>
    <row r="164" spans="1:31">
      <c r="A164" t="s">
        <v>606</v>
      </c>
      <c r="B164">
        <v>1720</v>
      </c>
      <c r="C164">
        <v>1610</v>
      </c>
      <c r="D164">
        <v>1</v>
      </c>
      <c r="E164">
        <v>34576</v>
      </c>
      <c r="F164">
        <v>13.4</v>
      </c>
      <c r="G164">
        <v>640</v>
      </c>
      <c r="H164">
        <v>250</v>
      </c>
      <c r="I164">
        <v>65</v>
      </c>
      <c r="J164">
        <v>86.7</v>
      </c>
      <c r="K164">
        <v>13.3</v>
      </c>
      <c r="L164">
        <v>61.1</v>
      </c>
      <c r="M164">
        <v>58.1</v>
      </c>
      <c r="N164">
        <v>4.9000000000000004</v>
      </c>
      <c r="T164">
        <f t="shared" si="4"/>
        <v>0</v>
      </c>
      <c r="W164">
        <v>0</v>
      </c>
      <c r="X164">
        <v>20223</v>
      </c>
      <c r="Y164">
        <v>12507</v>
      </c>
      <c r="Z164">
        <v>17639</v>
      </c>
      <c r="AA164">
        <v>10915</v>
      </c>
      <c r="AB164">
        <v>390</v>
      </c>
      <c r="AC164">
        <v>995</v>
      </c>
      <c r="AD164">
        <v>340</v>
      </c>
      <c r="AE164">
        <v>325</v>
      </c>
    </row>
    <row r="165" spans="1:31">
      <c r="A165" t="s">
        <v>342</v>
      </c>
      <c r="T165">
        <f t="shared" si="4"/>
        <v>0</v>
      </c>
      <c r="AB165">
        <v>0</v>
      </c>
      <c r="AC165">
        <v>0</v>
      </c>
      <c r="AD165">
        <v>0</v>
      </c>
      <c r="AE165">
        <v>0</v>
      </c>
    </row>
    <row r="166" spans="1:31">
      <c r="A166" t="s">
        <v>343</v>
      </c>
      <c r="T166">
        <f t="shared" si="4"/>
        <v>0</v>
      </c>
      <c r="AB166">
        <v>0</v>
      </c>
      <c r="AC166">
        <v>0</v>
      </c>
      <c r="AD166">
        <v>0</v>
      </c>
      <c r="AE166">
        <v>0</v>
      </c>
    </row>
    <row r="167" spans="1:31">
      <c r="A167" t="s">
        <v>344</v>
      </c>
      <c r="T167">
        <f t="shared" si="4"/>
        <v>0</v>
      </c>
      <c r="AB167">
        <v>0</v>
      </c>
      <c r="AC167">
        <v>0</v>
      </c>
      <c r="AD167">
        <v>0</v>
      </c>
      <c r="AE167">
        <v>0</v>
      </c>
    </row>
    <row r="168" spans="1:31">
      <c r="A168" t="s">
        <v>756</v>
      </c>
      <c r="B168">
        <v>40</v>
      </c>
      <c r="C168">
        <v>40</v>
      </c>
      <c r="D168">
        <v>0</v>
      </c>
      <c r="E168">
        <v>0</v>
      </c>
      <c r="F168">
        <v>0</v>
      </c>
      <c r="G168">
        <v>15</v>
      </c>
      <c r="H168">
        <v>0</v>
      </c>
      <c r="I168">
        <v>10</v>
      </c>
      <c r="J168">
        <v>0</v>
      </c>
      <c r="K168">
        <v>0</v>
      </c>
      <c r="L168">
        <v>66.7</v>
      </c>
      <c r="M168">
        <v>33.299999999999997</v>
      </c>
      <c r="N168">
        <v>50</v>
      </c>
      <c r="T168" t="str">
        <f t="shared" si="4"/>
        <v>Gamblers First Nation</v>
      </c>
      <c r="W168">
        <v>0</v>
      </c>
      <c r="X168">
        <v>0</v>
      </c>
      <c r="Y168">
        <v>0</v>
      </c>
      <c r="Z168">
        <v>0</v>
      </c>
      <c r="AA168">
        <v>0</v>
      </c>
      <c r="AB168">
        <v>20</v>
      </c>
      <c r="AC168">
        <v>20</v>
      </c>
      <c r="AD168">
        <v>0</v>
      </c>
      <c r="AE168">
        <v>10</v>
      </c>
    </row>
    <row r="169" spans="1:31">
      <c r="A169" t="s">
        <v>219</v>
      </c>
      <c r="B169">
        <v>1800</v>
      </c>
      <c r="C169">
        <v>1805</v>
      </c>
      <c r="D169">
        <v>2.4</v>
      </c>
      <c r="E169">
        <v>25587</v>
      </c>
      <c r="F169">
        <v>0</v>
      </c>
      <c r="G169">
        <v>380</v>
      </c>
      <c r="H169">
        <v>110</v>
      </c>
      <c r="I169">
        <v>185</v>
      </c>
      <c r="J169">
        <v>9.1999999999999993</v>
      </c>
      <c r="K169">
        <v>3.9</v>
      </c>
      <c r="L169">
        <v>40.9</v>
      </c>
      <c r="M169">
        <v>30</v>
      </c>
      <c r="N169">
        <v>27.7</v>
      </c>
      <c r="T169" t="str">
        <f t="shared" si="4"/>
        <v>Garden Hill First Nation</v>
      </c>
      <c r="W169">
        <v>0</v>
      </c>
      <c r="X169">
        <v>16770</v>
      </c>
      <c r="Y169">
        <v>13528</v>
      </c>
      <c r="Z169">
        <v>10603</v>
      </c>
      <c r="AA169">
        <v>2944</v>
      </c>
      <c r="AB169">
        <v>790</v>
      </c>
      <c r="AC169">
        <v>955</v>
      </c>
      <c r="AD169">
        <v>160</v>
      </c>
      <c r="AE169">
        <v>60</v>
      </c>
    </row>
    <row r="170" spans="1:31">
      <c r="A170" t="s">
        <v>345</v>
      </c>
      <c r="T170">
        <f t="shared" si="4"/>
        <v>0</v>
      </c>
      <c r="AB170">
        <v>0</v>
      </c>
      <c r="AC170">
        <v>0</v>
      </c>
      <c r="AD170">
        <v>0</v>
      </c>
      <c r="AE170">
        <v>0</v>
      </c>
    </row>
    <row r="171" spans="1:31">
      <c r="A171" t="s">
        <v>346</v>
      </c>
      <c r="T171">
        <f t="shared" si="4"/>
        <v>0</v>
      </c>
      <c r="AB171">
        <v>0</v>
      </c>
      <c r="AC171">
        <v>0</v>
      </c>
      <c r="AD171">
        <v>0</v>
      </c>
      <c r="AE171">
        <v>0</v>
      </c>
    </row>
    <row r="172" spans="1:31">
      <c r="A172" s="83" t="s">
        <v>347</v>
      </c>
      <c r="B172">
        <v>720</v>
      </c>
      <c r="C172">
        <v>720</v>
      </c>
      <c r="D172">
        <v>0.8</v>
      </c>
      <c r="E172">
        <v>29763</v>
      </c>
      <c r="F172">
        <v>18.8</v>
      </c>
      <c r="G172">
        <v>360</v>
      </c>
      <c r="H172">
        <v>115</v>
      </c>
      <c r="I172">
        <v>30</v>
      </c>
      <c r="J172">
        <v>76.400000000000006</v>
      </c>
      <c r="K172">
        <v>22.2</v>
      </c>
      <c r="L172">
        <v>41.1</v>
      </c>
      <c r="M172">
        <v>38.700000000000003</v>
      </c>
      <c r="N172">
        <v>3.9</v>
      </c>
      <c r="T172">
        <f>IFERROR(VLOOKUP(A172,$U$12:$U$74,1,0),0)</f>
        <v>0</v>
      </c>
      <c r="W172">
        <v>0</v>
      </c>
      <c r="X172">
        <v>17053</v>
      </c>
      <c r="Y172">
        <v>14044</v>
      </c>
      <c r="Z172">
        <v>15326</v>
      </c>
      <c r="AA172">
        <v>10763</v>
      </c>
      <c r="AB172">
        <v>95</v>
      </c>
      <c r="AC172">
        <v>335</v>
      </c>
      <c r="AD172">
        <v>130</v>
      </c>
      <c r="AE172">
        <v>265</v>
      </c>
    </row>
    <row r="173" spans="1:31">
      <c r="A173" s="82" t="s">
        <v>776</v>
      </c>
      <c r="B173">
        <v>935</v>
      </c>
      <c r="C173">
        <v>940</v>
      </c>
      <c r="D173">
        <v>1</v>
      </c>
      <c r="E173">
        <v>36001</v>
      </c>
      <c r="F173">
        <v>20.399999999999999</v>
      </c>
      <c r="G173">
        <v>345</v>
      </c>
      <c r="H173">
        <v>95</v>
      </c>
      <c r="I173">
        <v>90</v>
      </c>
      <c r="J173">
        <v>91.3</v>
      </c>
      <c r="K173">
        <v>8.6999999999999993</v>
      </c>
      <c r="L173">
        <v>75.2</v>
      </c>
      <c r="M173">
        <v>67.099999999999994</v>
      </c>
      <c r="N173">
        <v>10.7</v>
      </c>
      <c r="T173">
        <f>IFERROR(VLOOKUP(A173,$U$12:$U$74,1,0),0)</f>
        <v>0</v>
      </c>
      <c r="W173">
        <v>0</v>
      </c>
      <c r="X173">
        <v>18454</v>
      </c>
      <c r="Y173">
        <v>11854</v>
      </c>
      <c r="Z173">
        <v>17461</v>
      </c>
      <c r="AA173">
        <v>9559</v>
      </c>
      <c r="AB173">
        <v>190</v>
      </c>
      <c r="AC173">
        <v>635</v>
      </c>
      <c r="AD173">
        <v>290</v>
      </c>
      <c r="AE173">
        <v>100</v>
      </c>
    </row>
    <row r="174" spans="1:31">
      <c r="A174" t="s">
        <v>348</v>
      </c>
      <c r="B174">
        <v>1535</v>
      </c>
      <c r="C174">
        <v>1520</v>
      </c>
      <c r="D174">
        <v>1.6</v>
      </c>
      <c r="E174">
        <v>69534</v>
      </c>
      <c r="F174">
        <v>10.199999999999999</v>
      </c>
      <c r="G174">
        <v>480</v>
      </c>
      <c r="H174">
        <v>175</v>
      </c>
      <c r="I174">
        <v>60</v>
      </c>
      <c r="J174">
        <v>27.1</v>
      </c>
      <c r="K174">
        <v>72.900000000000006</v>
      </c>
      <c r="L174">
        <v>76.099999999999994</v>
      </c>
      <c r="M174">
        <v>68.2</v>
      </c>
      <c r="N174">
        <v>11.1</v>
      </c>
      <c r="T174">
        <f t="shared" si="4"/>
        <v>0</v>
      </c>
      <c r="W174">
        <v>0</v>
      </c>
      <c r="X174">
        <v>51107</v>
      </c>
      <c r="Y174">
        <v>18225</v>
      </c>
      <c r="Z174">
        <v>51925</v>
      </c>
      <c r="AA174">
        <v>11991</v>
      </c>
      <c r="AB174">
        <v>525</v>
      </c>
      <c r="AC174">
        <v>990</v>
      </c>
      <c r="AD174">
        <v>205</v>
      </c>
      <c r="AE174">
        <v>10</v>
      </c>
    </row>
    <row r="175" spans="1:31">
      <c r="A175" t="s">
        <v>845</v>
      </c>
      <c r="T175">
        <f t="shared" si="4"/>
        <v>0</v>
      </c>
      <c r="W175">
        <v>0</v>
      </c>
      <c r="X175">
        <v>0</v>
      </c>
      <c r="Y175">
        <v>0</v>
      </c>
      <c r="Z175">
        <v>0</v>
      </c>
      <c r="AA175">
        <v>0</v>
      </c>
      <c r="AB175">
        <v>0</v>
      </c>
      <c r="AC175">
        <v>0</v>
      </c>
      <c r="AD175">
        <v>0</v>
      </c>
      <c r="AE175">
        <v>0</v>
      </c>
    </row>
    <row r="176" spans="1:31">
      <c r="A176" t="s">
        <v>349</v>
      </c>
      <c r="B176">
        <v>4615</v>
      </c>
      <c r="C176">
        <v>4595</v>
      </c>
      <c r="D176">
        <v>0.8</v>
      </c>
      <c r="E176">
        <v>48160</v>
      </c>
      <c r="F176">
        <v>12.9</v>
      </c>
      <c r="G176">
        <v>1960</v>
      </c>
      <c r="H176">
        <v>470</v>
      </c>
      <c r="I176">
        <v>245</v>
      </c>
      <c r="J176">
        <v>81.599999999999994</v>
      </c>
      <c r="K176">
        <v>18.399999999999999</v>
      </c>
      <c r="L176">
        <v>52.7</v>
      </c>
      <c r="M176">
        <v>45.4</v>
      </c>
      <c r="N176">
        <v>13.8</v>
      </c>
      <c r="T176">
        <f t="shared" si="4"/>
        <v>0</v>
      </c>
      <c r="W176">
        <v>0</v>
      </c>
      <c r="X176">
        <v>28874</v>
      </c>
      <c r="Y176">
        <v>14016</v>
      </c>
      <c r="Z176">
        <v>25409</v>
      </c>
      <c r="AA176">
        <v>11992</v>
      </c>
      <c r="AB176">
        <v>745</v>
      </c>
      <c r="AC176">
        <v>2880</v>
      </c>
      <c r="AD176">
        <v>1255</v>
      </c>
      <c r="AE176">
        <v>995</v>
      </c>
    </row>
    <row r="177" spans="1:31">
      <c r="A177" t="s">
        <v>350</v>
      </c>
      <c r="B177">
        <v>870</v>
      </c>
      <c r="C177">
        <v>865</v>
      </c>
      <c r="D177">
        <v>1</v>
      </c>
      <c r="E177">
        <v>35485</v>
      </c>
      <c r="F177">
        <v>18.5</v>
      </c>
      <c r="G177">
        <v>390</v>
      </c>
      <c r="H177">
        <v>110</v>
      </c>
      <c r="I177">
        <v>65</v>
      </c>
      <c r="J177">
        <v>70.5</v>
      </c>
      <c r="K177">
        <v>29.5</v>
      </c>
      <c r="L177">
        <v>48.2</v>
      </c>
      <c r="M177">
        <v>44.6</v>
      </c>
      <c r="N177">
        <v>7.5</v>
      </c>
      <c r="T177">
        <f t="shared" si="4"/>
        <v>0</v>
      </c>
      <c r="W177">
        <v>0</v>
      </c>
      <c r="X177">
        <v>17218</v>
      </c>
      <c r="Y177">
        <v>14946</v>
      </c>
      <c r="Z177">
        <v>14958</v>
      </c>
      <c r="AA177">
        <v>12513</v>
      </c>
      <c r="AB177">
        <v>170</v>
      </c>
      <c r="AC177">
        <v>410</v>
      </c>
      <c r="AD177">
        <v>105</v>
      </c>
      <c r="AE177">
        <v>280</v>
      </c>
    </row>
    <row r="178" spans="1:31">
      <c r="A178" t="s">
        <v>351</v>
      </c>
      <c r="B178">
        <v>640</v>
      </c>
      <c r="C178">
        <v>640</v>
      </c>
      <c r="D178">
        <v>1</v>
      </c>
      <c r="E178">
        <v>45509</v>
      </c>
      <c r="F178">
        <v>0</v>
      </c>
      <c r="G178">
        <v>300</v>
      </c>
      <c r="H178">
        <v>110</v>
      </c>
      <c r="I178">
        <v>30</v>
      </c>
      <c r="J178">
        <v>85</v>
      </c>
      <c r="K178">
        <v>15</v>
      </c>
      <c r="L178">
        <v>55.5</v>
      </c>
      <c r="M178">
        <v>50</v>
      </c>
      <c r="N178">
        <v>9.8000000000000007</v>
      </c>
      <c r="T178">
        <f t="shared" si="4"/>
        <v>0</v>
      </c>
      <c r="W178">
        <v>0</v>
      </c>
      <c r="X178">
        <v>28350</v>
      </c>
      <c r="Y178">
        <v>10663</v>
      </c>
      <c r="Z178">
        <v>16589</v>
      </c>
      <c r="AA178">
        <v>13928</v>
      </c>
      <c r="AB178">
        <v>95</v>
      </c>
      <c r="AC178">
        <v>300</v>
      </c>
      <c r="AD178">
        <v>130</v>
      </c>
      <c r="AE178">
        <v>220</v>
      </c>
    </row>
    <row r="179" spans="1:31">
      <c r="A179" t="s">
        <v>648</v>
      </c>
      <c r="B179">
        <v>540</v>
      </c>
      <c r="C179">
        <v>470</v>
      </c>
      <c r="D179">
        <v>1.2</v>
      </c>
      <c r="E179">
        <v>34725</v>
      </c>
      <c r="F179">
        <v>20</v>
      </c>
      <c r="G179">
        <v>180</v>
      </c>
      <c r="H179">
        <v>65</v>
      </c>
      <c r="I179">
        <v>45</v>
      </c>
      <c r="J179">
        <v>75</v>
      </c>
      <c r="K179">
        <v>22.2</v>
      </c>
      <c r="L179">
        <v>67.8</v>
      </c>
      <c r="M179">
        <v>66.7</v>
      </c>
      <c r="N179">
        <v>0</v>
      </c>
      <c r="T179">
        <f t="shared" si="4"/>
        <v>0</v>
      </c>
      <c r="W179">
        <v>0</v>
      </c>
      <c r="X179">
        <v>17370</v>
      </c>
      <c r="Y179">
        <v>9878</v>
      </c>
      <c r="Z179">
        <v>13570</v>
      </c>
      <c r="AA179">
        <v>10187</v>
      </c>
      <c r="AB179">
        <v>85</v>
      </c>
      <c r="AC179">
        <v>335</v>
      </c>
      <c r="AD179">
        <v>130</v>
      </c>
      <c r="AE179">
        <v>110</v>
      </c>
    </row>
    <row r="180" spans="1:31">
      <c r="A180" t="s">
        <v>634</v>
      </c>
      <c r="B180">
        <v>735</v>
      </c>
      <c r="C180">
        <v>625</v>
      </c>
      <c r="D180">
        <v>1.5</v>
      </c>
      <c r="E180">
        <v>57448</v>
      </c>
      <c r="F180">
        <v>11.5</v>
      </c>
      <c r="G180">
        <v>190</v>
      </c>
      <c r="H180">
        <v>85</v>
      </c>
      <c r="I180">
        <v>20</v>
      </c>
      <c r="J180">
        <v>84.2</v>
      </c>
      <c r="K180">
        <v>13.2</v>
      </c>
      <c r="L180">
        <v>90.3</v>
      </c>
      <c r="M180">
        <v>86.4</v>
      </c>
      <c r="N180">
        <v>3.2</v>
      </c>
      <c r="T180">
        <f t="shared" si="4"/>
        <v>0</v>
      </c>
      <c r="W180">
        <v>0</v>
      </c>
      <c r="X180">
        <v>27062</v>
      </c>
      <c r="Y180">
        <v>16825</v>
      </c>
      <c r="Z180">
        <v>14600</v>
      </c>
      <c r="AA180">
        <v>15036</v>
      </c>
      <c r="AB180">
        <v>225</v>
      </c>
      <c r="AC180">
        <v>470</v>
      </c>
      <c r="AD180">
        <v>145</v>
      </c>
      <c r="AE180">
        <v>30</v>
      </c>
    </row>
    <row r="181" spans="1:31">
      <c r="A181" t="s">
        <v>352</v>
      </c>
      <c r="B181">
        <v>101</v>
      </c>
      <c r="T181">
        <f>IFERROR(VLOOKUP(A181,$U$12:$U$74,1,0),0)</f>
        <v>0</v>
      </c>
      <c r="AB181">
        <v>0</v>
      </c>
      <c r="AC181">
        <v>0</v>
      </c>
      <c r="AD181">
        <v>0</v>
      </c>
      <c r="AE181">
        <v>0</v>
      </c>
    </row>
    <row r="182" spans="1:31">
      <c r="A182" t="s">
        <v>492</v>
      </c>
      <c r="B182">
        <v>1140</v>
      </c>
      <c r="C182">
        <v>1135</v>
      </c>
      <c r="D182">
        <v>2.5</v>
      </c>
      <c r="E182">
        <v>26485</v>
      </c>
      <c r="F182">
        <v>0</v>
      </c>
      <c r="G182">
        <v>230</v>
      </c>
      <c r="H182">
        <v>70</v>
      </c>
      <c r="I182">
        <v>85</v>
      </c>
      <c r="J182">
        <v>4.3</v>
      </c>
      <c r="K182">
        <v>17.399999999999999</v>
      </c>
      <c r="L182">
        <v>53.6</v>
      </c>
      <c r="M182">
        <v>39.200000000000003</v>
      </c>
      <c r="N182">
        <v>26.9</v>
      </c>
      <c r="T182" t="str">
        <f>IFERROR(VLOOKUP(A182,$U$12:$U$74,1,0),0)</f>
        <v>God's Lake Narrows First Nation</v>
      </c>
      <c r="W182">
        <v>0</v>
      </c>
      <c r="X182">
        <v>11988</v>
      </c>
      <c r="Y182">
        <v>9491</v>
      </c>
      <c r="Z182">
        <v>9696</v>
      </c>
      <c r="AA182">
        <v>6736</v>
      </c>
      <c r="AB182">
        <v>515</v>
      </c>
      <c r="AC182">
        <v>575</v>
      </c>
      <c r="AD182">
        <v>90</v>
      </c>
      <c r="AE182">
        <v>50</v>
      </c>
    </row>
    <row r="183" spans="1:31">
      <c r="A183" t="s">
        <v>353</v>
      </c>
      <c r="T183">
        <f t="shared" si="4"/>
        <v>0</v>
      </c>
      <c r="AB183">
        <v>0</v>
      </c>
      <c r="AC183">
        <v>0</v>
      </c>
      <c r="AD183">
        <v>0</v>
      </c>
      <c r="AE183">
        <v>0</v>
      </c>
    </row>
    <row r="184" spans="1:31">
      <c r="A184" t="s">
        <v>690</v>
      </c>
      <c r="B184">
        <v>1665</v>
      </c>
      <c r="C184">
        <v>1665</v>
      </c>
      <c r="D184">
        <v>1.1000000000000001</v>
      </c>
      <c r="E184">
        <v>33478</v>
      </c>
      <c r="F184">
        <v>19.5</v>
      </c>
      <c r="G184">
        <v>650</v>
      </c>
      <c r="H184">
        <v>265</v>
      </c>
      <c r="I184">
        <v>85</v>
      </c>
      <c r="J184">
        <v>80</v>
      </c>
      <c r="K184">
        <v>19.2</v>
      </c>
      <c r="L184">
        <v>66.7</v>
      </c>
      <c r="M184">
        <v>64.7</v>
      </c>
      <c r="N184">
        <v>3.5</v>
      </c>
      <c r="T184">
        <f t="shared" si="4"/>
        <v>0</v>
      </c>
      <c r="W184">
        <v>0</v>
      </c>
      <c r="X184">
        <v>17208</v>
      </c>
      <c r="Y184">
        <v>11751</v>
      </c>
      <c r="Z184">
        <v>13251</v>
      </c>
      <c r="AA184">
        <v>10986</v>
      </c>
      <c r="AB184">
        <v>380</v>
      </c>
      <c r="AC184">
        <v>990</v>
      </c>
      <c r="AD184">
        <v>380</v>
      </c>
      <c r="AE184">
        <v>265</v>
      </c>
    </row>
    <row r="185" spans="1:31">
      <c r="A185" t="s">
        <v>354</v>
      </c>
      <c r="B185">
        <v>405</v>
      </c>
      <c r="C185">
        <v>405</v>
      </c>
      <c r="D185">
        <v>1.5</v>
      </c>
      <c r="E185">
        <v>44947</v>
      </c>
      <c r="F185">
        <v>22.6</v>
      </c>
      <c r="G185">
        <v>140</v>
      </c>
      <c r="H185">
        <v>40</v>
      </c>
      <c r="I185">
        <v>25</v>
      </c>
      <c r="J185">
        <v>32.1</v>
      </c>
      <c r="K185">
        <v>64.3</v>
      </c>
      <c r="L185">
        <v>69.8</v>
      </c>
      <c r="M185">
        <v>62.3</v>
      </c>
      <c r="N185">
        <v>13.5</v>
      </c>
      <c r="T185">
        <f t="shared" ref="T185:T198" si="6">IFERROR(VLOOKUP(A185,$U$12:$U$74,1,0),0)</f>
        <v>0</v>
      </c>
      <c r="W185">
        <v>0</v>
      </c>
      <c r="X185">
        <v>30666</v>
      </c>
      <c r="Y185">
        <v>19279</v>
      </c>
      <c r="Z185">
        <v>24960</v>
      </c>
      <c r="AA185">
        <v>10944</v>
      </c>
      <c r="AB185">
        <v>130</v>
      </c>
      <c r="AC185">
        <v>245</v>
      </c>
      <c r="AD185">
        <v>75</v>
      </c>
      <c r="AE185">
        <v>10</v>
      </c>
    </row>
    <row r="186" spans="1:31">
      <c r="A186" s="83" t="s">
        <v>355</v>
      </c>
      <c r="B186">
        <v>825</v>
      </c>
      <c r="C186">
        <v>815</v>
      </c>
      <c r="D186">
        <v>0.7</v>
      </c>
      <c r="E186">
        <v>36880</v>
      </c>
      <c r="F186">
        <v>5.5</v>
      </c>
      <c r="G186">
        <v>420</v>
      </c>
      <c r="H186">
        <v>175</v>
      </c>
      <c r="I186">
        <v>30</v>
      </c>
      <c r="J186">
        <v>84.5</v>
      </c>
      <c r="K186">
        <v>15.5</v>
      </c>
      <c r="L186">
        <v>43.4</v>
      </c>
      <c r="M186">
        <v>42.7</v>
      </c>
      <c r="N186">
        <v>3.2</v>
      </c>
      <c r="T186">
        <f t="shared" si="6"/>
        <v>0</v>
      </c>
      <c r="W186">
        <v>0</v>
      </c>
      <c r="X186">
        <v>20983</v>
      </c>
      <c r="Y186">
        <v>14815</v>
      </c>
      <c r="Z186">
        <v>14424</v>
      </c>
      <c r="AA186">
        <v>12893</v>
      </c>
      <c r="AB186">
        <v>105</v>
      </c>
      <c r="AC186">
        <v>415</v>
      </c>
      <c r="AD186">
        <v>200</v>
      </c>
      <c r="AE186">
        <v>285</v>
      </c>
    </row>
    <row r="187" spans="1:31">
      <c r="A187" s="82" t="s">
        <v>789</v>
      </c>
      <c r="B187">
        <v>935</v>
      </c>
      <c r="C187">
        <v>940</v>
      </c>
      <c r="D187">
        <v>1.4</v>
      </c>
      <c r="E187">
        <v>40901</v>
      </c>
      <c r="F187">
        <v>9.1</v>
      </c>
      <c r="G187">
        <v>315</v>
      </c>
      <c r="H187">
        <v>155</v>
      </c>
      <c r="I187">
        <v>50</v>
      </c>
      <c r="J187">
        <v>95.2</v>
      </c>
      <c r="K187">
        <v>4.8</v>
      </c>
      <c r="L187">
        <v>77.7</v>
      </c>
      <c r="M187">
        <v>77</v>
      </c>
      <c r="N187">
        <v>1.7</v>
      </c>
      <c r="T187">
        <f t="shared" si="6"/>
        <v>0</v>
      </c>
      <c r="W187">
        <v>0</v>
      </c>
      <c r="X187">
        <v>15699</v>
      </c>
      <c r="Y187">
        <v>15704</v>
      </c>
      <c r="Z187">
        <v>14502</v>
      </c>
      <c r="AA187">
        <v>10229</v>
      </c>
      <c r="AB187">
        <v>200</v>
      </c>
      <c r="AC187">
        <v>595</v>
      </c>
      <c r="AD187">
        <v>230</v>
      </c>
      <c r="AE187">
        <v>130</v>
      </c>
    </row>
    <row r="188" spans="1:31">
      <c r="A188" t="s">
        <v>220</v>
      </c>
      <c r="B188">
        <v>77</v>
      </c>
      <c r="T188">
        <f t="shared" si="6"/>
        <v>0</v>
      </c>
      <c r="W188">
        <v>0</v>
      </c>
      <c r="X188">
        <v>0</v>
      </c>
      <c r="Y188">
        <v>0</v>
      </c>
      <c r="Z188">
        <v>0</v>
      </c>
      <c r="AA188">
        <v>0</v>
      </c>
      <c r="AB188">
        <v>10</v>
      </c>
      <c r="AC188">
        <v>60</v>
      </c>
      <c r="AD188">
        <v>10</v>
      </c>
      <c r="AE188">
        <v>10</v>
      </c>
    </row>
    <row r="189" spans="1:31">
      <c r="A189" t="s">
        <v>356</v>
      </c>
      <c r="B189">
        <v>540</v>
      </c>
      <c r="C189">
        <v>525</v>
      </c>
      <c r="D189">
        <v>1.4</v>
      </c>
      <c r="E189">
        <v>45312</v>
      </c>
      <c r="F189">
        <v>3.1</v>
      </c>
      <c r="G189">
        <v>185</v>
      </c>
      <c r="H189">
        <v>55</v>
      </c>
      <c r="I189">
        <v>25</v>
      </c>
      <c r="J189">
        <v>81.099999999999994</v>
      </c>
      <c r="K189">
        <v>21.6</v>
      </c>
      <c r="L189">
        <v>59</v>
      </c>
      <c r="M189">
        <v>59</v>
      </c>
      <c r="N189">
        <v>4.3</v>
      </c>
      <c r="T189">
        <f t="shared" si="6"/>
        <v>0</v>
      </c>
      <c r="W189">
        <v>0</v>
      </c>
      <c r="X189">
        <v>30035</v>
      </c>
      <c r="Y189">
        <v>13501</v>
      </c>
      <c r="Z189">
        <v>24509</v>
      </c>
      <c r="AA189">
        <v>9927</v>
      </c>
      <c r="AB189">
        <v>140</v>
      </c>
      <c r="AC189">
        <v>300</v>
      </c>
      <c r="AD189">
        <v>70</v>
      </c>
      <c r="AE189">
        <v>85</v>
      </c>
    </row>
    <row r="190" spans="1:31">
      <c r="A190" t="s">
        <v>649</v>
      </c>
      <c r="B190">
        <v>2195</v>
      </c>
      <c r="C190">
        <v>2060</v>
      </c>
      <c r="D190">
        <v>1.4</v>
      </c>
      <c r="E190">
        <v>47950</v>
      </c>
      <c r="F190">
        <v>7.2</v>
      </c>
      <c r="G190">
        <v>705</v>
      </c>
      <c r="H190">
        <v>260</v>
      </c>
      <c r="I190">
        <v>100</v>
      </c>
      <c r="J190">
        <v>89.4</v>
      </c>
      <c r="K190">
        <v>10.6</v>
      </c>
      <c r="L190">
        <v>75.900000000000006</v>
      </c>
      <c r="M190">
        <v>73.8</v>
      </c>
      <c r="N190">
        <v>2.8</v>
      </c>
      <c r="T190">
        <f t="shared" si="6"/>
        <v>0</v>
      </c>
      <c r="W190">
        <v>0</v>
      </c>
      <c r="X190">
        <v>21917</v>
      </c>
      <c r="Y190">
        <v>11163</v>
      </c>
      <c r="Z190">
        <v>22295</v>
      </c>
      <c r="AA190">
        <v>9910</v>
      </c>
      <c r="AB190">
        <v>535</v>
      </c>
      <c r="AC190">
        <v>1390</v>
      </c>
      <c r="AD190">
        <v>495</v>
      </c>
      <c r="AE190">
        <v>255</v>
      </c>
    </row>
    <row r="191" spans="1:31">
      <c r="A191" t="s">
        <v>534</v>
      </c>
      <c r="B191" s="102"/>
      <c r="C191" s="102"/>
      <c r="D191" s="102"/>
      <c r="E191" s="102"/>
      <c r="F191" s="102"/>
      <c r="G191" s="102"/>
      <c r="H191" s="102"/>
      <c r="I191" s="102"/>
      <c r="J191" s="102"/>
      <c r="K191" s="102"/>
      <c r="L191" s="102"/>
      <c r="M191" s="102"/>
      <c r="N191" s="102"/>
      <c r="T191">
        <f t="shared" si="6"/>
        <v>0</v>
      </c>
      <c r="AB191">
        <v>0</v>
      </c>
      <c r="AC191">
        <v>0</v>
      </c>
      <c r="AD191">
        <v>0</v>
      </c>
      <c r="AE191">
        <v>0</v>
      </c>
    </row>
    <row r="192" spans="1:31">
      <c r="A192" t="s">
        <v>357</v>
      </c>
      <c r="B192" s="102"/>
      <c r="C192" s="102"/>
      <c r="D192" s="102"/>
      <c r="E192" s="102"/>
      <c r="F192" s="102"/>
      <c r="G192" s="102"/>
      <c r="H192" s="102"/>
      <c r="I192" s="102"/>
      <c r="J192" s="102"/>
      <c r="K192" s="102"/>
      <c r="L192" s="102"/>
      <c r="M192" s="102"/>
      <c r="N192" s="102"/>
      <c r="T192">
        <f t="shared" si="6"/>
        <v>0</v>
      </c>
      <c r="AB192">
        <v>0</v>
      </c>
      <c r="AC192">
        <v>0</v>
      </c>
      <c r="AD192">
        <v>0</v>
      </c>
      <c r="AE192">
        <v>0</v>
      </c>
    </row>
    <row r="193" spans="1:31">
      <c r="A193" t="s">
        <v>358</v>
      </c>
      <c r="B193" s="102"/>
      <c r="C193" s="102"/>
      <c r="D193" s="102"/>
      <c r="E193" s="102"/>
      <c r="F193" s="102"/>
      <c r="G193" s="102"/>
      <c r="H193" s="102"/>
      <c r="I193" s="102"/>
      <c r="J193" s="102"/>
      <c r="K193" s="102"/>
      <c r="L193" s="102"/>
      <c r="M193" s="102"/>
      <c r="N193" s="102"/>
      <c r="T193">
        <f t="shared" si="6"/>
        <v>0</v>
      </c>
      <c r="AB193">
        <v>0</v>
      </c>
      <c r="AC193">
        <v>0</v>
      </c>
      <c r="AD193">
        <v>0</v>
      </c>
      <c r="AE193">
        <v>0</v>
      </c>
    </row>
    <row r="194" spans="1:31">
      <c r="A194" t="s">
        <v>496</v>
      </c>
      <c r="B194" s="102"/>
      <c r="C194" s="102"/>
      <c r="D194" s="102"/>
      <c r="E194" s="102"/>
      <c r="F194" s="102"/>
      <c r="G194" s="102"/>
      <c r="H194" s="102"/>
      <c r="I194" s="102"/>
      <c r="J194" s="102"/>
      <c r="K194" s="102"/>
      <c r="L194" s="102"/>
      <c r="M194" s="102"/>
      <c r="N194" s="102"/>
      <c r="T194">
        <f t="shared" si="6"/>
        <v>0</v>
      </c>
      <c r="AB194">
        <v>0</v>
      </c>
      <c r="AC194">
        <v>0</v>
      </c>
      <c r="AD194">
        <v>0</v>
      </c>
      <c r="AE194">
        <v>0</v>
      </c>
    </row>
    <row r="195" spans="1:31">
      <c r="A195" t="s">
        <v>359</v>
      </c>
      <c r="B195" s="102"/>
      <c r="C195" s="102"/>
      <c r="D195" s="102"/>
      <c r="E195" s="102"/>
      <c r="F195" s="102"/>
      <c r="G195" s="102"/>
      <c r="H195" s="102"/>
      <c r="I195" s="102"/>
      <c r="J195" s="102"/>
      <c r="K195" s="102"/>
      <c r="L195" s="102"/>
      <c r="M195" s="102"/>
      <c r="N195" s="102"/>
      <c r="T195">
        <f t="shared" si="6"/>
        <v>0</v>
      </c>
      <c r="AB195">
        <v>0</v>
      </c>
      <c r="AC195">
        <v>0</v>
      </c>
      <c r="AD195">
        <v>0</v>
      </c>
      <c r="AE195">
        <v>0</v>
      </c>
    </row>
    <row r="196" spans="1:31">
      <c r="A196" s="83" t="s">
        <v>360</v>
      </c>
      <c r="B196">
        <v>810</v>
      </c>
      <c r="C196">
        <v>810</v>
      </c>
      <c r="D196">
        <v>0.7</v>
      </c>
      <c r="E196">
        <v>45598</v>
      </c>
      <c r="F196">
        <v>0</v>
      </c>
      <c r="G196">
        <v>405</v>
      </c>
      <c r="H196">
        <v>70</v>
      </c>
      <c r="I196">
        <v>60</v>
      </c>
      <c r="J196">
        <v>69.099999999999994</v>
      </c>
      <c r="K196">
        <v>30.9</v>
      </c>
      <c r="L196">
        <v>44.8</v>
      </c>
      <c r="M196">
        <v>41.3</v>
      </c>
      <c r="N196">
        <v>7.8</v>
      </c>
      <c r="T196">
        <f t="shared" si="6"/>
        <v>0</v>
      </c>
      <c r="W196">
        <v>0</v>
      </c>
      <c r="X196">
        <v>23039</v>
      </c>
      <c r="Y196">
        <v>18274</v>
      </c>
      <c r="Z196">
        <v>21172</v>
      </c>
      <c r="AA196">
        <v>13215</v>
      </c>
      <c r="AB196">
        <v>95</v>
      </c>
      <c r="AC196">
        <v>365</v>
      </c>
      <c r="AD196">
        <v>135</v>
      </c>
      <c r="AE196">
        <v>355</v>
      </c>
    </row>
    <row r="197" spans="1:31">
      <c r="A197" s="82" t="s">
        <v>777</v>
      </c>
      <c r="B197">
        <v>515</v>
      </c>
      <c r="C197">
        <v>515</v>
      </c>
      <c r="D197">
        <v>1.2</v>
      </c>
      <c r="E197">
        <v>50436</v>
      </c>
      <c r="F197">
        <v>6</v>
      </c>
      <c r="G197">
        <v>190</v>
      </c>
      <c r="H197">
        <v>100</v>
      </c>
      <c r="I197">
        <v>30</v>
      </c>
      <c r="J197">
        <v>81.599999999999994</v>
      </c>
      <c r="K197">
        <v>15.8</v>
      </c>
      <c r="L197">
        <v>83.5</v>
      </c>
      <c r="M197">
        <v>80</v>
      </c>
      <c r="N197">
        <v>2.8</v>
      </c>
      <c r="T197">
        <f t="shared" si="6"/>
        <v>0</v>
      </c>
      <c r="W197">
        <v>0</v>
      </c>
      <c r="X197">
        <v>18958</v>
      </c>
      <c r="Y197">
        <v>17970</v>
      </c>
      <c r="Z197">
        <v>22398</v>
      </c>
      <c r="AA197">
        <v>18066</v>
      </c>
      <c r="AB197">
        <v>90</v>
      </c>
      <c r="AC197">
        <v>410</v>
      </c>
      <c r="AD197">
        <v>170</v>
      </c>
      <c r="AE197">
        <v>20</v>
      </c>
    </row>
    <row r="198" spans="1:31">
      <c r="A198" t="s">
        <v>608</v>
      </c>
      <c r="B198">
        <v>9750</v>
      </c>
      <c r="C198">
        <v>9750</v>
      </c>
      <c r="D198">
        <v>1.7</v>
      </c>
      <c r="E198">
        <v>43487</v>
      </c>
      <c r="F198">
        <v>12.2</v>
      </c>
      <c r="G198">
        <v>2785</v>
      </c>
      <c r="H198">
        <v>805</v>
      </c>
      <c r="I198">
        <v>215</v>
      </c>
      <c r="J198">
        <v>86.5</v>
      </c>
      <c r="K198">
        <v>13.5</v>
      </c>
      <c r="L198">
        <v>75.7</v>
      </c>
      <c r="M198">
        <v>71.7</v>
      </c>
      <c r="N198">
        <v>5.3</v>
      </c>
      <c r="T198">
        <f t="shared" si="6"/>
        <v>0</v>
      </c>
      <c r="W198">
        <v>0</v>
      </c>
      <c r="X198">
        <v>22892</v>
      </c>
      <c r="Y198">
        <v>12999</v>
      </c>
      <c r="Z198">
        <v>23474</v>
      </c>
      <c r="AA198">
        <v>9690</v>
      </c>
      <c r="AB198">
        <v>2985</v>
      </c>
      <c r="AC198">
        <v>6155</v>
      </c>
      <c r="AD198">
        <v>1580</v>
      </c>
      <c r="AE198">
        <v>585</v>
      </c>
    </row>
    <row r="199" spans="1:31">
      <c r="A199" t="s">
        <v>671</v>
      </c>
      <c r="B199">
        <v>845</v>
      </c>
      <c r="C199">
        <v>845</v>
      </c>
      <c r="D199">
        <v>0.8</v>
      </c>
      <c r="E199">
        <v>39250</v>
      </c>
      <c r="F199">
        <v>5.7</v>
      </c>
      <c r="G199">
        <v>385</v>
      </c>
      <c r="H199">
        <v>175</v>
      </c>
      <c r="I199">
        <v>45</v>
      </c>
      <c r="J199">
        <v>84.4</v>
      </c>
      <c r="K199">
        <v>15.6</v>
      </c>
      <c r="L199">
        <v>59</v>
      </c>
      <c r="M199">
        <v>57.6</v>
      </c>
      <c r="N199">
        <v>4.7</v>
      </c>
      <c r="T199">
        <f t="shared" ref="T199:T261" si="7">IFERROR(VLOOKUP(A199,$U$12:$U$74,1,0),0)</f>
        <v>0</v>
      </c>
      <c r="W199">
        <v>0</v>
      </c>
      <c r="X199">
        <v>12080</v>
      </c>
      <c r="Y199">
        <v>14698</v>
      </c>
      <c r="Z199">
        <v>16055</v>
      </c>
      <c r="AA199">
        <v>12347</v>
      </c>
      <c r="AB199">
        <v>120</v>
      </c>
      <c r="AC199">
        <v>470</v>
      </c>
      <c r="AD199">
        <v>265</v>
      </c>
      <c r="AE199">
        <v>235</v>
      </c>
    </row>
    <row r="200" spans="1:31">
      <c r="A200" t="s">
        <v>361</v>
      </c>
      <c r="B200">
        <v>455</v>
      </c>
      <c r="C200">
        <v>455</v>
      </c>
      <c r="D200">
        <v>0.8</v>
      </c>
      <c r="E200">
        <v>31285</v>
      </c>
      <c r="F200">
        <v>17.5</v>
      </c>
      <c r="G200">
        <v>210</v>
      </c>
      <c r="H200">
        <v>85</v>
      </c>
      <c r="I200">
        <v>15</v>
      </c>
      <c r="J200">
        <v>81</v>
      </c>
      <c r="K200">
        <v>19</v>
      </c>
      <c r="L200">
        <v>46.1</v>
      </c>
      <c r="M200">
        <v>44.7</v>
      </c>
      <c r="N200">
        <v>5.7</v>
      </c>
      <c r="T200">
        <f t="shared" si="7"/>
        <v>0</v>
      </c>
      <c r="W200">
        <v>0</v>
      </c>
      <c r="X200">
        <v>14615</v>
      </c>
      <c r="Y200">
        <v>13561</v>
      </c>
      <c r="Z200">
        <v>16271</v>
      </c>
      <c r="AA200">
        <v>13508</v>
      </c>
      <c r="AB200">
        <v>85</v>
      </c>
      <c r="AC200">
        <v>200</v>
      </c>
      <c r="AD200">
        <v>45</v>
      </c>
      <c r="AE200">
        <v>170</v>
      </c>
    </row>
    <row r="201" spans="1:31">
      <c r="A201" t="s">
        <v>221</v>
      </c>
      <c r="B201">
        <v>28</v>
      </c>
      <c r="C201" s="102"/>
      <c r="D201" s="102"/>
      <c r="E201" s="102"/>
      <c r="F201" s="102"/>
      <c r="G201" s="102"/>
      <c r="H201" s="102"/>
      <c r="I201" s="102"/>
      <c r="J201" s="102"/>
      <c r="K201" s="102"/>
      <c r="L201" s="102"/>
      <c r="M201" s="102"/>
      <c r="N201" s="102"/>
      <c r="T201">
        <f t="shared" si="7"/>
        <v>0</v>
      </c>
      <c r="AB201">
        <v>0</v>
      </c>
      <c r="AC201">
        <v>0</v>
      </c>
      <c r="AD201">
        <v>0</v>
      </c>
      <c r="AE201">
        <v>0</v>
      </c>
    </row>
    <row r="202" spans="1:31">
      <c r="A202" t="s">
        <v>653</v>
      </c>
      <c r="B202">
        <v>1570</v>
      </c>
      <c r="C202">
        <v>1575</v>
      </c>
      <c r="D202">
        <v>1.3</v>
      </c>
      <c r="E202">
        <v>62887</v>
      </c>
      <c r="F202">
        <v>5.4</v>
      </c>
      <c r="G202">
        <v>510</v>
      </c>
      <c r="H202">
        <v>180</v>
      </c>
      <c r="I202">
        <v>50</v>
      </c>
      <c r="J202">
        <v>87.3</v>
      </c>
      <c r="K202">
        <v>13.7</v>
      </c>
      <c r="L202">
        <v>79.400000000000006</v>
      </c>
      <c r="M202">
        <v>77.7</v>
      </c>
      <c r="N202">
        <v>2.2000000000000002</v>
      </c>
      <c r="T202">
        <f t="shared" si="7"/>
        <v>0</v>
      </c>
      <c r="W202">
        <v>0</v>
      </c>
      <c r="X202">
        <v>33373</v>
      </c>
      <c r="Y202">
        <v>20981</v>
      </c>
      <c r="Z202">
        <v>33668</v>
      </c>
      <c r="AA202">
        <v>16942</v>
      </c>
      <c r="AB202">
        <v>400</v>
      </c>
      <c r="AC202">
        <v>1075</v>
      </c>
      <c r="AD202">
        <v>375</v>
      </c>
      <c r="AE202">
        <v>95</v>
      </c>
    </row>
    <row r="203" spans="1:31">
      <c r="A203" t="s">
        <v>535</v>
      </c>
      <c r="B203" s="102"/>
      <c r="C203" s="102"/>
      <c r="D203" s="102"/>
      <c r="E203" s="102"/>
      <c r="F203" s="102"/>
      <c r="G203" s="102"/>
      <c r="H203" s="102"/>
      <c r="I203" s="102"/>
      <c r="J203" s="102"/>
      <c r="K203" s="102"/>
      <c r="L203" s="102"/>
      <c r="M203" s="102"/>
      <c r="N203" s="102"/>
      <c r="T203">
        <f t="shared" si="7"/>
        <v>0</v>
      </c>
      <c r="AB203">
        <v>0</v>
      </c>
      <c r="AC203">
        <v>0</v>
      </c>
      <c r="AD203">
        <v>0</v>
      </c>
      <c r="AE203">
        <v>0</v>
      </c>
    </row>
    <row r="204" spans="1:31">
      <c r="A204" t="s">
        <v>222</v>
      </c>
      <c r="B204">
        <v>19</v>
      </c>
      <c r="C204" s="102"/>
      <c r="D204" s="102"/>
      <c r="E204" s="102"/>
      <c r="F204" s="102"/>
      <c r="G204" s="102"/>
      <c r="H204" s="102"/>
      <c r="I204" s="102"/>
      <c r="J204" s="102"/>
      <c r="K204" s="102"/>
      <c r="L204" s="102"/>
      <c r="M204" s="102"/>
      <c r="N204" s="102"/>
      <c r="T204">
        <f t="shared" si="7"/>
        <v>0</v>
      </c>
      <c r="AB204">
        <v>0</v>
      </c>
      <c r="AC204">
        <v>0</v>
      </c>
      <c r="AD204">
        <v>0</v>
      </c>
      <c r="AE204">
        <v>0</v>
      </c>
    </row>
    <row r="205" spans="1:31">
      <c r="A205" t="s">
        <v>549</v>
      </c>
      <c r="B205">
        <v>550</v>
      </c>
      <c r="C205">
        <v>550</v>
      </c>
      <c r="D205">
        <v>1.5</v>
      </c>
      <c r="E205">
        <v>34846</v>
      </c>
      <c r="F205">
        <v>7.3</v>
      </c>
      <c r="G205">
        <v>180</v>
      </c>
      <c r="H205">
        <v>90</v>
      </c>
      <c r="I205">
        <v>30</v>
      </c>
      <c r="J205">
        <v>94.4</v>
      </c>
      <c r="K205">
        <v>5.6</v>
      </c>
      <c r="L205">
        <v>82.9</v>
      </c>
      <c r="M205">
        <v>80.5</v>
      </c>
      <c r="N205">
        <v>2.9</v>
      </c>
      <c r="T205">
        <f t="shared" si="7"/>
        <v>0</v>
      </c>
      <c r="W205">
        <v>0</v>
      </c>
      <c r="X205">
        <v>16019</v>
      </c>
      <c r="Y205">
        <v>11086</v>
      </c>
      <c r="Z205">
        <v>14864</v>
      </c>
      <c r="AA205">
        <v>10033</v>
      </c>
      <c r="AB205">
        <v>135</v>
      </c>
      <c r="AC205">
        <v>365</v>
      </c>
      <c r="AD205">
        <v>145</v>
      </c>
      <c r="AE205">
        <v>20</v>
      </c>
    </row>
    <row r="206" spans="1:31">
      <c r="A206" t="s">
        <v>362</v>
      </c>
      <c r="B206" s="102"/>
      <c r="C206" s="102"/>
      <c r="D206" s="102"/>
      <c r="E206" s="102"/>
      <c r="F206" s="102"/>
      <c r="G206" s="102"/>
      <c r="H206" s="102"/>
      <c r="I206" s="102"/>
      <c r="J206" s="102"/>
      <c r="K206" s="102"/>
      <c r="L206" s="102"/>
      <c r="M206" s="102"/>
      <c r="N206" s="102"/>
      <c r="T206">
        <f t="shared" si="7"/>
        <v>0</v>
      </c>
      <c r="AB206">
        <v>0</v>
      </c>
      <c r="AC206">
        <v>0</v>
      </c>
      <c r="AD206">
        <v>0</v>
      </c>
      <c r="AE206">
        <v>0</v>
      </c>
    </row>
    <row r="207" spans="1:31">
      <c r="A207" t="s">
        <v>536</v>
      </c>
      <c r="B207" s="102"/>
      <c r="C207" s="102"/>
      <c r="D207" s="102"/>
      <c r="E207" s="102"/>
      <c r="F207" s="102"/>
      <c r="G207" s="102"/>
      <c r="H207" s="102"/>
      <c r="I207" s="102"/>
      <c r="J207" s="102"/>
      <c r="K207" s="102"/>
      <c r="L207" s="102"/>
      <c r="M207" s="102"/>
      <c r="N207" s="102"/>
      <c r="T207">
        <f t="shared" si="7"/>
        <v>0</v>
      </c>
      <c r="AB207">
        <v>0</v>
      </c>
      <c r="AC207">
        <v>0</v>
      </c>
      <c r="AD207">
        <v>0</v>
      </c>
      <c r="AE207">
        <v>0</v>
      </c>
    </row>
    <row r="208" spans="1:31">
      <c r="A208" t="s">
        <v>363</v>
      </c>
      <c r="B208" s="102"/>
      <c r="C208" s="102"/>
      <c r="D208" s="102"/>
      <c r="E208" s="102"/>
      <c r="F208" s="102"/>
      <c r="G208" s="102"/>
      <c r="H208" s="102"/>
      <c r="I208" s="102"/>
      <c r="J208" s="102"/>
      <c r="K208" s="102"/>
      <c r="L208" s="102"/>
      <c r="M208" s="102"/>
      <c r="N208" s="102"/>
      <c r="T208">
        <f t="shared" si="7"/>
        <v>0</v>
      </c>
      <c r="AB208">
        <v>0</v>
      </c>
      <c r="AC208">
        <v>0</v>
      </c>
      <c r="AD208">
        <v>0</v>
      </c>
      <c r="AE208">
        <v>0</v>
      </c>
    </row>
    <row r="209" spans="1:31">
      <c r="A209" t="s">
        <v>223</v>
      </c>
      <c r="B209">
        <v>555</v>
      </c>
      <c r="C209">
        <v>555</v>
      </c>
      <c r="D209">
        <v>2.1</v>
      </c>
      <c r="E209">
        <v>24661</v>
      </c>
      <c r="F209">
        <v>0</v>
      </c>
      <c r="G209">
        <v>140</v>
      </c>
      <c r="H209">
        <v>30</v>
      </c>
      <c r="I209">
        <v>100</v>
      </c>
      <c r="J209">
        <v>10.7</v>
      </c>
      <c r="K209">
        <v>7.1</v>
      </c>
      <c r="L209">
        <v>47.8</v>
      </c>
      <c r="M209">
        <v>29</v>
      </c>
      <c r="N209">
        <v>39.4</v>
      </c>
      <c r="T209" t="str">
        <f t="shared" si="7"/>
        <v>Hollow Water First Nation</v>
      </c>
      <c r="W209">
        <v>0</v>
      </c>
      <c r="X209">
        <v>15141</v>
      </c>
      <c r="Y209">
        <v>20020</v>
      </c>
      <c r="Z209">
        <v>5440</v>
      </c>
      <c r="AA209">
        <v>3608</v>
      </c>
      <c r="AB209">
        <v>220</v>
      </c>
      <c r="AC209">
        <v>325</v>
      </c>
      <c r="AD209">
        <v>70</v>
      </c>
      <c r="AE209">
        <v>30</v>
      </c>
    </row>
    <row r="210" spans="1:31">
      <c r="A210" t="s">
        <v>224</v>
      </c>
      <c r="B210">
        <v>39</v>
      </c>
      <c r="C210" s="102"/>
      <c r="D210" s="102"/>
      <c r="E210" s="102"/>
      <c r="F210" s="102"/>
      <c r="G210" s="102"/>
      <c r="H210" s="102"/>
      <c r="I210" s="102"/>
      <c r="J210" s="102"/>
      <c r="K210" s="102"/>
      <c r="L210" s="102"/>
      <c r="M210" s="102"/>
      <c r="N210" s="102"/>
      <c r="T210">
        <f t="shared" si="7"/>
        <v>0</v>
      </c>
      <c r="AB210">
        <v>0</v>
      </c>
      <c r="AC210">
        <v>0</v>
      </c>
      <c r="AD210">
        <v>0</v>
      </c>
      <c r="AE210">
        <v>0</v>
      </c>
    </row>
    <row r="211" spans="1:31">
      <c r="A211" t="s">
        <v>846</v>
      </c>
      <c r="B211" s="102"/>
      <c r="C211" s="102"/>
      <c r="D211" s="102"/>
      <c r="E211" s="102"/>
      <c r="F211" s="102"/>
      <c r="G211" s="102"/>
      <c r="H211" s="102"/>
      <c r="I211" s="102"/>
      <c r="J211" s="102"/>
      <c r="K211" s="102"/>
      <c r="L211" s="102"/>
      <c r="M211" s="102"/>
      <c r="N211" s="102"/>
      <c r="T211">
        <f t="shared" si="7"/>
        <v>0</v>
      </c>
      <c r="AB211">
        <v>0</v>
      </c>
      <c r="AC211">
        <v>0</v>
      </c>
      <c r="AD211">
        <v>0</v>
      </c>
      <c r="AE211">
        <v>0</v>
      </c>
    </row>
    <row r="212" spans="1:31">
      <c r="A212" t="s">
        <v>365</v>
      </c>
      <c r="B212">
        <v>155</v>
      </c>
      <c r="C212">
        <v>155</v>
      </c>
      <c r="D212">
        <v>2.2999999999999998</v>
      </c>
      <c r="E212">
        <v>0</v>
      </c>
      <c r="F212">
        <v>0</v>
      </c>
      <c r="G212">
        <v>35</v>
      </c>
      <c r="H212">
        <v>10</v>
      </c>
      <c r="I212">
        <v>0</v>
      </c>
      <c r="J212">
        <v>28.6</v>
      </c>
      <c r="K212">
        <v>57.1</v>
      </c>
      <c r="L212">
        <v>61.9</v>
      </c>
      <c r="M212">
        <v>47.6</v>
      </c>
      <c r="N212">
        <v>23.1</v>
      </c>
      <c r="T212">
        <f t="shared" ref="T212:T221" si="8">IFERROR(VLOOKUP(A212,$U$12:$U$74,1,0),0)</f>
        <v>0</v>
      </c>
      <c r="W212">
        <v>0</v>
      </c>
      <c r="X212">
        <v>0</v>
      </c>
      <c r="Y212">
        <v>0</v>
      </c>
      <c r="Z212">
        <v>0</v>
      </c>
      <c r="AA212">
        <v>0</v>
      </c>
      <c r="AB212">
        <v>60</v>
      </c>
      <c r="AC212">
        <v>105</v>
      </c>
      <c r="AD212">
        <v>30</v>
      </c>
      <c r="AE212">
        <v>0</v>
      </c>
    </row>
    <row r="213" spans="1:31">
      <c r="A213" t="s">
        <v>497</v>
      </c>
      <c r="B213">
        <v>77090</v>
      </c>
      <c r="C213">
        <v>75915</v>
      </c>
      <c r="D213">
        <v>1.2</v>
      </c>
      <c r="E213">
        <v>52608</v>
      </c>
      <c r="F213">
        <v>10.4</v>
      </c>
      <c r="G213">
        <v>27750</v>
      </c>
      <c r="H213">
        <v>8495</v>
      </c>
      <c r="I213">
        <v>3505</v>
      </c>
      <c r="J213">
        <v>83.6</v>
      </c>
      <c r="K213">
        <v>14.8</v>
      </c>
      <c r="L213">
        <v>67.900000000000006</v>
      </c>
      <c r="M213">
        <v>62.9</v>
      </c>
      <c r="N213">
        <v>7.2</v>
      </c>
      <c r="T213">
        <f t="shared" si="8"/>
        <v>0</v>
      </c>
      <c r="AB213">
        <v>0</v>
      </c>
      <c r="AC213">
        <v>0</v>
      </c>
      <c r="AD213">
        <v>0</v>
      </c>
      <c r="AE213">
        <v>0</v>
      </c>
    </row>
    <row r="214" spans="1:31">
      <c r="A214" t="s">
        <v>757</v>
      </c>
      <c r="T214">
        <f t="shared" si="8"/>
        <v>0</v>
      </c>
      <c r="W214">
        <v>0</v>
      </c>
      <c r="X214">
        <v>0</v>
      </c>
      <c r="Y214">
        <v>0</v>
      </c>
      <c r="Z214">
        <v>0</v>
      </c>
      <c r="AA214">
        <v>0</v>
      </c>
      <c r="AB214">
        <v>0</v>
      </c>
      <c r="AC214">
        <v>0</v>
      </c>
      <c r="AD214">
        <v>0</v>
      </c>
      <c r="AE214">
        <v>0</v>
      </c>
    </row>
    <row r="215" spans="1:31">
      <c r="A215" t="s">
        <v>366</v>
      </c>
      <c r="B215">
        <v>93</v>
      </c>
      <c r="C215" s="102"/>
      <c r="D215" s="102"/>
      <c r="E215" s="102"/>
      <c r="F215" s="102"/>
      <c r="G215" s="102"/>
      <c r="H215" s="102"/>
      <c r="I215" s="102"/>
      <c r="J215" s="102"/>
      <c r="K215" s="102"/>
      <c r="L215" s="102"/>
      <c r="M215" s="102"/>
      <c r="N215" s="102"/>
      <c r="T215">
        <f t="shared" si="8"/>
        <v>0</v>
      </c>
      <c r="AB215">
        <v>0</v>
      </c>
      <c r="AC215">
        <v>0</v>
      </c>
      <c r="AD215">
        <v>0</v>
      </c>
      <c r="AE215">
        <v>0</v>
      </c>
    </row>
    <row r="216" spans="1:31">
      <c r="A216" t="s">
        <v>225</v>
      </c>
      <c r="B216">
        <v>350</v>
      </c>
      <c r="C216">
        <v>350</v>
      </c>
      <c r="D216">
        <v>1.9</v>
      </c>
      <c r="E216">
        <v>24096</v>
      </c>
      <c r="F216">
        <v>0</v>
      </c>
      <c r="G216">
        <v>95</v>
      </c>
      <c r="H216">
        <v>40</v>
      </c>
      <c r="I216">
        <v>35</v>
      </c>
      <c r="J216">
        <v>0</v>
      </c>
      <c r="K216">
        <v>0</v>
      </c>
      <c r="L216">
        <v>53.3</v>
      </c>
      <c r="M216">
        <v>40</v>
      </c>
      <c r="N216">
        <v>25</v>
      </c>
      <c r="T216" t="str">
        <f t="shared" si="8"/>
        <v>Keeseekoowenin First Nation</v>
      </c>
      <c r="W216">
        <v>0</v>
      </c>
      <c r="X216">
        <v>13444</v>
      </c>
      <c r="Y216">
        <v>13693</v>
      </c>
      <c r="Z216">
        <v>5152</v>
      </c>
      <c r="AA216">
        <v>8832</v>
      </c>
      <c r="AB216">
        <v>130</v>
      </c>
      <c r="AC216">
        <v>245</v>
      </c>
      <c r="AD216">
        <v>60</v>
      </c>
      <c r="AE216">
        <v>0</v>
      </c>
    </row>
    <row r="217" spans="1:31">
      <c r="A217" t="s">
        <v>495</v>
      </c>
      <c r="B217">
        <v>4350</v>
      </c>
      <c r="C217">
        <v>4350</v>
      </c>
      <c r="D217">
        <v>1.6</v>
      </c>
      <c r="E217">
        <v>46224</v>
      </c>
      <c r="F217">
        <v>15.5</v>
      </c>
      <c r="G217">
        <v>1315</v>
      </c>
      <c r="H217">
        <v>455</v>
      </c>
      <c r="I217">
        <v>325</v>
      </c>
      <c r="J217">
        <v>53.6</v>
      </c>
      <c r="K217">
        <v>28.9</v>
      </c>
      <c r="L217">
        <v>64</v>
      </c>
      <c r="M217">
        <v>52.1</v>
      </c>
      <c r="N217">
        <v>18.3</v>
      </c>
      <c r="T217">
        <f t="shared" si="8"/>
        <v>0</v>
      </c>
      <c r="W217">
        <v>0</v>
      </c>
      <c r="X217">
        <v>28437</v>
      </c>
      <c r="Y217">
        <v>18481</v>
      </c>
      <c r="Z217">
        <v>16936</v>
      </c>
      <c r="AA217">
        <v>12009</v>
      </c>
      <c r="AB217">
        <v>1325</v>
      </c>
      <c r="AC217">
        <v>2810</v>
      </c>
      <c r="AD217">
        <v>800</v>
      </c>
      <c r="AE217">
        <v>195</v>
      </c>
    </row>
    <row r="218" spans="1:31">
      <c r="A218" t="s">
        <v>367</v>
      </c>
      <c r="B218" s="102"/>
      <c r="C218" s="102"/>
      <c r="D218" s="102"/>
      <c r="E218" s="102"/>
      <c r="F218" s="102"/>
      <c r="G218" s="102"/>
      <c r="H218" s="102"/>
      <c r="I218" s="102"/>
      <c r="J218" s="102"/>
      <c r="K218" s="102"/>
      <c r="L218" s="102"/>
      <c r="M218" s="102"/>
      <c r="N218" s="102"/>
      <c r="T218">
        <f t="shared" si="8"/>
        <v>0</v>
      </c>
      <c r="AB218">
        <v>0</v>
      </c>
      <c r="AC218">
        <v>0</v>
      </c>
      <c r="AD218">
        <v>0</v>
      </c>
      <c r="AE218">
        <v>0</v>
      </c>
    </row>
    <row r="219" spans="1:31">
      <c r="A219" t="s">
        <v>368</v>
      </c>
      <c r="B219" s="102"/>
      <c r="C219" s="102"/>
      <c r="D219" s="102"/>
      <c r="E219" s="102"/>
      <c r="F219" s="102"/>
      <c r="G219" s="102"/>
      <c r="H219" s="102"/>
      <c r="I219" s="102"/>
      <c r="J219" s="102"/>
      <c r="K219" s="102"/>
      <c r="L219" s="102"/>
      <c r="M219" s="102"/>
      <c r="N219" s="102"/>
      <c r="T219">
        <f t="shared" si="8"/>
        <v>0</v>
      </c>
      <c r="AB219">
        <v>0</v>
      </c>
      <c r="AC219">
        <v>0</v>
      </c>
      <c r="AD219">
        <v>0</v>
      </c>
      <c r="AE219">
        <v>0</v>
      </c>
    </row>
    <row r="220" spans="1:31">
      <c r="A220" t="s">
        <v>562</v>
      </c>
      <c r="B220" s="102"/>
      <c r="C220" s="102"/>
      <c r="D220" s="102"/>
      <c r="E220" s="102"/>
      <c r="F220" s="102"/>
      <c r="G220" s="102"/>
      <c r="H220" s="102"/>
      <c r="I220" s="102"/>
      <c r="J220" s="102"/>
      <c r="K220" s="102"/>
      <c r="L220" s="102"/>
      <c r="M220" s="102"/>
      <c r="N220" s="102"/>
      <c r="T220">
        <f t="shared" si="8"/>
        <v>0</v>
      </c>
      <c r="AB220">
        <v>0</v>
      </c>
      <c r="AC220">
        <v>0</v>
      </c>
      <c r="AD220">
        <v>0</v>
      </c>
      <c r="AE220">
        <v>0</v>
      </c>
    </row>
    <row r="221" spans="1:31">
      <c r="A221" t="s">
        <v>369</v>
      </c>
      <c r="B221">
        <v>2145</v>
      </c>
      <c r="C221">
        <v>2145</v>
      </c>
      <c r="D221">
        <v>0.9</v>
      </c>
      <c r="E221">
        <v>44620</v>
      </c>
      <c r="F221">
        <v>7.6</v>
      </c>
      <c r="G221">
        <v>965</v>
      </c>
      <c r="H221">
        <v>340</v>
      </c>
      <c r="I221">
        <v>75</v>
      </c>
      <c r="J221">
        <v>75.099999999999994</v>
      </c>
      <c r="K221">
        <v>24.9</v>
      </c>
      <c r="L221">
        <v>55.9</v>
      </c>
      <c r="M221">
        <v>54.2</v>
      </c>
      <c r="N221">
        <v>3.6</v>
      </c>
      <c r="T221">
        <f t="shared" si="8"/>
        <v>0</v>
      </c>
      <c r="W221">
        <v>0</v>
      </c>
      <c r="X221">
        <v>23693</v>
      </c>
      <c r="Y221">
        <v>16624</v>
      </c>
      <c r="Z221">
        <v>22572</v>
      </c>
      <c r="AA221">
        <v>14244</v>
      </c>
      <c r="AB221">
        <v>390</v>
      </c>
      <c r="AC221">
        <v>1095</v>
      </c>
      <c r="AD221">
        <v>385</v>
      </c>
      <c r="AE221">
        <v>645</v>
      </c>
    </row>
    <row r="222" spans="1:31">
      <c r="A222" t="s">
        <v>226</v>
      </c>
      <c r="T222" t="str">
        <f t="shared" si="7"/>
        <v>Kinonjeoshtegon First Nation</v>
      </c>
      <c r="W222">
        <v>0</v>
      </c>
      <c r="X222">
        <v>0</v>
      </c>
      <c r="Y222">
        <v>0</v>
      </c>
      <c r="Z222">
        <v>0</v>
      </c>
      <c r="AA222">
        <v>0</v>
      </c>
      <c r="AB222">
        <v>0</v>
      </c>
      <c r="AC222">
        <v>0</v>
      </c>
      <c r="AD222">
        <v>0</v>
      </c>
      <c r="AE222">
        <v>0</v>
      </c>
    </row>
    <row r="223" spans="1:31">
      <c r="A223" t="s">
        <v>371</v>
      </c>
      <c r="B223">
        <v>2490</v>
      </c>
      <c r="C223">
        <v>2490</v>
      </c>
      <c r="D223">
        <v>1.5</v>
      </c>
      <c r="E223">
        <v>43858</v>
      </c>
      <c r="F223">
        <v>8.3000000000000007</v>
      </c>
      <c r="G223">
        <v>775</v>
      </c>
      <c r="H223">
        <v>240</v>
      </c>
      <c r="I223">
        <v>60</v>
      </c>
      <c r="J223">
        <v>83.9</v>
      </c>
      <c r="K223">
        <v>16.100000000000001</v>
      </c>
      <c r="L223">
        <v>74.900000000000006</v>
      </c>
      <c r="M223">
        <v>70.599999999999994</v>
      </c>
      <c r="N223">
        <v>5.3</v>
      </c>
      <c r="T223">
        <f t="shared" si="7"/>
        <v>0</v>
      </c>
      <c r="W223">
        <v>0</v>
      </c>
      <c r="X223">
        <v>24144</v>
      </c>
      <c r="Y223">
        <v>14254</v>
      </c>
      <c r="Z223">
        <v>21869</v>
      </c>
      <c r="AA223">
        <v>12132</v>
      </c>
      <c r="AB223">
        <v>750</v>
      </c>
      <c r="AC223">
        <v>1595</v>
      </c>
      <c r="AD223">
        <v>410</v>
      </c>
      <c r="AE223">
        <v>150</v>
      </c>
    </row>
    <row r="224" spans="1:31">
      <c r="A224" s="83" t="s">
        <v>374</v>
      </c>
      <c r="B224">
        <v>1045</v>
      </c>
      <c r="C224">
        <v>1035</v>
      </c>
      <c r="D224">
        <v>1.1000000000000001</v>
      </c>
      <c r="E224">
        <v>47976</v>
      </c>
      <c r="F224">
        <v>16.899999999999999</v>
      </c>
      <c r="G224">
        <v>470</v>
      </c>
      <c r="H224">
        <v>150</v>
      </c>
      <c r="I224">
        <v>35</v>
      </c>
      <c r="J224">
        <v>61.7</v>
      </c>
      <c r="K224">
        <v>38.299999999999997</v>
      </c>
      <c r="L224">
        <v>53</v>
      </c>
      <c r="M224">
        <v>45.2</v>
      </c>
      <c r="N224">
        <v>13.5</v>
      </c>
      <c r="T224">
        <f>IFERROR(VLOOKUP(A224,$U$12:$U$74,1,0),0)</f>
        <v>0</v>
      </c>
      <c r="W224">
        <v>0</v>
      </c>
      <c r="X224">
        <v>29330</v>
      </c>
      <c r="Y224">
        <v>13959</v>
      </c>
      <c r="Z224">
        <v>24714</v>
      </c>
      <c r="AA224">
        <v>11986</v>
      </c>
      <c r="AB224">
        <v>195</v>
      </c>
      <c r="AC224">
        <v>565</v>
      </c>
      <c r="AD224">
        <v>190</v>
      </c>
      <c r="AE224">
        <v>270</v>
      </c>
    </row>
    <row r="225" spans="1:31">
      <c r="A225" s="82" t="s">
        <v>778</v>
      </c>
      <c r="B225">
        <v>2255</v>
      </c>
      <c r="C225">
        <v>2175</v>
      </c>
      <c r="D225">
        <v>0.9</v>
      </c>
      <c r="E225">
        <v>43888</v>
      </c>
      <c r="F225">
        <v>8.1</v>
      </c>
      <c r="G225">
        <v>865</v>
      </c>
      <c r="H225">
        <v>375</v>
      </c>
      <c r="I225">
        <v>120</v>
      </c>
      <c r="J225">
        <v>88.4</v>
      </c>
      <c r="K225">
        <v>11.6</v>
      </c>
      <c r="L225">
        <v>62.7</v>
      </c>
      <c r="M225">
        <v>57.6</v>
      </c>
      <c r="N225">
        <v>8.1999999999999993</v>
      </c>
      <c r="T225">
        <f>IFERROR(VLOOKUP(A225,$U$12:$U$74,1,0),0)</f>
        <v>0</v>
      </c>
      <c r="W225">
        <v>0</v>
      </c>
      <c r="X225">
        <v>25222</v>
      </c>
      <c r="Y225">
        <v>12664</v>
      </c>
      <c r="Z225">
        <v>23367</v>
      </c>
      <c r="AA225">
        <v>11152</v>
      </c>
      <c r="AB225">
        <v>405</v>
      </c>
      <c r="AC225">
        <v>1515</v>
      </c>
      <c r="AD225">
        <v>680</v>
      </c>
      <c r="AE225">
        <v>330</v>
      </c>
    </row>
    <row r="226" spans="1:31">
      <c r="A226" t="s">
        <v>227</v>
      </c>
      <c r="B226">
        <v>580</v>
      </c>
      <c r="C226">
        <v>585</v>
      </c>
      <c r="D226">
        <v>1.8</v>
      </c>
      <c r="E226">
        <v>19109</v>
      </c>
      <c r="F226">
        <v>0</v>
      </c>
      <c r="G226">
        <v>150</v>
      </c>
      <c r="H226">
        <v>45</v>
      </c>
      <c r="I226">
        <v>90</v>
      </c>
      <c r="J226">
        <v>6.7</v>
      </c>
      <c r="K226">
        <v>0</v>
      </c>
      <c r="L226">
        <v>40.5</v>
      </c>
      <c r="M226">
        <v>28.4</v>
      </c>
      <c r="N226">
        <v>33.299999999999997</v>
      </c>
      <c r="T226" t="str">
        <f t="shared" si="7"/>
        <v>Lake Manitoba First Nation</v>
      </c>
      <c r="W226">
        <v>0</v>
      </c>
      <c r="X226">
        <v>7872</v>
      </c>
      <c r="Y226">
        <v>9802</v>
      </c>
      <c r="Z226">
        <v>4336</v>
      </c>
      <c r="AA226">
        <v>6064</v>
      </c>
      <c r="AB226">
        <v>220</v>
      </c>
      <c r="AC226">
        <v>350</v>
      </c>
      <c r="AD226">
        <v>80</v>
      </c>
      <c r="AE226">
        <v>20</v>
      </c>
    </row>
    <row r="227" spans="1:31">
      <c r="A227" t="s">
        <v>228</v>
      </c>
      <c r="B227">
        <v>635</v>
      </c>
      <c r="C227">
        <v>640</v>
      </c>
      <c r="D227">
        <v>2.2000000000000002</v>
      </c>
      <c r="E227">
        <v>23149</v>
      </c>
      <c r="F227">
        <v>0</v>
      </c>
      <c r="G227">
        <v>165</v>
      </c>
      <c r="H227">
        <v>60</v>
      </c>
      <c r="I227">
        <v>70</v>
      </c>
      <c r="J227">
        <v>0</v>
      </c>
      <c r="K227">
        <v>0</v>
      </c>
      <c r="L227">
        <v>53.9</v>
      </c>
      <c r="M227">
        <v>48.7</v>
      </c>
      <c r="N227">
        <v>9.8000000000000007</v>
      </c>
      <c r="T227" t="str">
        <f t="shared" si="7"/>
        <v>Lake St. Martin First Nation</v>
      </c>
      <c r="W227">
        <v>0</v>
      </c>
      <c r="X227">
        <v>8770</v>
      </c>
      <c r="Y227">
        <v>9927</v>
      </c>
      <c r="Z227">
        <v>6032</v>
      </c>
      <c r="AA227">
        <v>7664</v>
      </c>
      <c r="AB227">
        <v>265</v>
      </c>
      <c r="AC227">
        <v>360</v>
      </c>
      <c r="AD227">
        <v>70</v>
      </c>
      <c r="AE227">
        <v>20</v>
      </c>
    </row>
    <row r="228" spans="1:31">
      <c r="A228" t="s">
        <v>647</v>
      </c>
      <c r="B228">
        <v>425</v>
      </c>
      <c r="C228">
        <v>425</v>
      </c>
      <c r="D228">
        <v>1.2</v>
      </c>
      <c r="E228">
        <v>44630</v>
      </c>
      <c r="F228">
        <v>4.9000000000000004</v>
      </c>
      <c r="G228">
        <v>160</v>
      </c>
      <c r="H228">
        <v>50</v>
      </c>
      <c r="I228">
        <v>25</v>
      </c>
      <c r="J228">
        <v>78.099999999999994</v>
      </c>
      <c r="K228">
        <v>18.8</v>
      </c>
      <c r="L228">
        <v>77.099999999999994</v>
      </c>
      <c r="M228">
        <v>71.400000000000006</v>
      </c>
      <c r="N228">
        <v>5.6</v>
      </c>
      <c r="T228">
        <f t="shared" si="7"/>
        <v>0</v>
      </c>
      <c r="W228">
        <v>0</v>
      </c>
      <c r="X228">
        <v>16568</v>
      </c>
      <c r="Y228">
        <v>14482</v>
      </c>
      <c r="Z228">
        <v>16404</v>
      </c>
      <c r="AA228">
        <v>11840</v>
      </c>
      <c r="AB228">
        <v>70</v>
      </c>
      <c r="AC228">
        <v>290</v>
      </c>
      <c r="AD228">
        <v>115</v>
      </c>
      <c r="AE228">
        <v>65</v>
      </c>
    </row>
    <row r="229" spans="1:31">
      <c r="A229" t="s">
        <v>663</v>
      </c>
      <c r="B229">
        <v>695</v>
      </c>
      <c r="C229">
        <v>695</v>
      </c>
      <c r="D229">
        <v>1</v>
      </c>
      <c r="E229">
        <v>47110</v>
      </c>
      <c r="F229">
        <v>6.7</v>
      </c>
      <c r="G229">
        <v>255</v>
      </c>
      <c r="H229">
        <v>110</v>
      </c>
      <c r="I229">
        <v>15</v>
      </c>
      <c r="J229">
        <v>92.2</v>
      </c>
      <c r="K229">
        <v>7.8</v>
      </c>
      <c r="L229">
        <v>76.099999999999994</v>
      </c>
      <c r="M229">
        <v>75.2</v>
      </c>
      <c r="N229">
        <v>2.2999999999999998</v>
      </c>
      <c r="T229">
        <f t="shared" si="7"/>
        <v>0</v>
      </c>
      <c r="W229">
        <v>0</v>
      </c>
      <c r="X229">
        <v>17129</v>
      </c>
      <c r="Y229">
        <v>17652</v>
      </c>
      <c r="Z229">
        <v>19290</v>
      </c>
      <c r="AA229">
        <v>14124</v>
      </c>
      <c r="AB229">
        <v>120</v>
      </c>
      <c r="AC229">
        <v>460</v>
      </c>
      <c r="AD229">
        <v>190</v>
      </c>
      <c r="AE229">
        <v>105</v>
      </c>
    </row>
    <row r="230" spans="1:31">
      <c r="A230" t="s">
        <v>645</v>
      </c>
      <c r="B230">
        <v>970</v>
      </c>
      <c r="C230">
        <v>845</v>
      </c>
      <c r="D230">
        <v>1.6</v>
      </c>
      <c r="E230">
        <v>34569</v>
      </c>
      <c r="F230">
        <v>16.600000000000001</v>
      </c>
      <c r="G230">
        <v>290</v>
      </c>
      <c r="H230">
        <v>130</v>
      </c>
      <c r="I230">
        <v>70</v>
      </c>
      <c r="J230">
        <v>89.7</v>
      </c>
      <c r="K230">
        <v>10.3</v>
      </c>
      <c r="L230">
        <v>65</v>
      </c>
      <c r="M230">
        <v>63.6</v>
      </c>
      <c r="N230">
        <v>2.2000000000000002</v>
      </c>
      <c r="T230">
        <f t="shared" si="7"/>
        <v>0</v>
      </c>
      <c r="W230">
        <v>0</v>
      </c>
      <c r="X230">
        <v>15083</v>
      </c>
      <c r="Y230">
        <v>10838</v>
      </c>
      <c r="Z230">
        <v>15266</v>
      </c>
      <c r="AA230">
        <v>10448</v>
      </c>
      <c r="AB230">
        <v>250</v>
      </c>
      <c r="AC230">
        <v>645</v>
      </c>
      <c r="AD230">
        <v>220</v>
      </c>
      <c r="AE230">
        <v>75</v>
      </c>
    </row>
    <row r="231" spans="1:31">
      <c r="A231" t="s">
        <v>550</v>
      </c>
      <c r="B231">
        <v>575</v>
      </c>
      <c r="C231">
        <v>580</v>
      </c>
      <c r="D231">
        <v>0.9</v>
      </c>
      <c r="E231">
        <v>28419</v>
      </c>
      <c r="F231">
        <v>22.7</v>
      </c>
      <c r="G231">
        <v>240</v>
      </c>
      <c r="H231">
        <v>105</v>
      </c>
      <c r="I231">
        <v>30</v>
      </c>
      <c r="J231">
        <v>93.8</v>
      </c>
      <c r="K231">
        <v>8.3000000000000007</v>
      </c>
      <c r="L231">
        <v>61.9</v>
      </c>
      <c r="M231">
        <v>60.8</v>
      </c>
      <c r="N231">
        <v>0</v>
      </c>
      <c r="T231">
        <f t="shared" si="7"/>
        <v>0</v>
      </c>
      <c r="W231">
        <v>0</v>
      </c>
      <c r="X231">
        <v>8960</v>
      </c>
      <c r="Y231">
        <v>14738</v>
      </c>
      <c r="Z231">
        <v>10600</v>
      </c>
      <c r="AA231">
        <v>10878</v>
      </c>
      <c r="AB231">
        <v>100</v>
      </c>
      <c r="AC231">
        <v>350</v>
      </c>
      <c r="AD231">
        <v>150</v>
      </c>
      <c r="AE231">
        <v>125</v>
      </c>
    </row>
    <row r="232" spans="1:31">
      <c r="A232" t="s">
        <v>376</v>
      </c>
      <c r="B232">
        <v>1500</v>
      </c>
      <c r="C232">
        <v>1500</v>
      </c>
      <c r="D232">
        <v>1.4</v>
      </c>
      <c r="E232">
        <v>78692</v>
      </c>
      <c r="F232">
        <v>8.8000000000000007</v>
      </c>
      <c r="G232">
        <v>505</v>
      </c>
      <c r="H232">
        <v>210</v>
      </c>
      <c r="I232">
        <v>55</v>
      </c>
      <c r="J232">
        <v>58.4</v>
      </c>
      <c r="K232">
        <v>42.6</v>
      </c>
      <c r="L232">
        <v>81.2</v>
      </c>
      <c r="M232">
        <v>79</v>
      </c>
      <c r="N232">
        <v>3.3</v>
      </c>
      <c r="T232">
        <f t="shared" si="7"/>
        <v>0</v>
      </c>
      <c r="W232">
        <v>0</v>
      </c>
      <c r="X232">
        <v>53381</v>
      </c>
      <c r="Y232">
        <v>18614</v>
      </c>
      <c r="Z232">
        <v>59080</v>
      </c>
      <c r="AA232">
        <v>12078</v>
      </c>
      <c r="AB232">
        <v>380</v>
      </c>
      <c r="AC232">
        <v>1110</v>
      </c>
      <c r="AD232">
        <v>270</v>
      </c>
      <c r="AE232">
        <v>0</v>
      </c>
    </row>
    <row r="233" spans="1:31">
      <c r="A233" t="s">
        <v>378</v>
      </c>
      <c r="B233">
        <v>19</v>
      </c>
      <c r="C233" s="102"/>
      <c r="D233" s="102"/>
      <c r="E233" s="102"/>
      <c r="F233" s="102"/>
      <c r="G233" s="102"/>
      <c r="H233" s="102"/>
      <c r="I233" s="102"/>
      <c r="J233" s="102"/>
      <c r="K233" s="102"/>
      <c r="L233" s="102"/>
      <c r="M233" s="102"/>
      <c r="N233" s="102"/>
      <c r="T233">
        <f t="shared" si="7"/>
        <v>0</v>
      </c>
      <c r="AB233">
        <v>0</v>
      </c>
      <c r="AC233">
        <v>0</v>
      </c>
      <c r="AD233">
        <v>0</v>
      </c>
      <c r="AE233">
        <v>0</v>
      </c>
    </row>
    <row r="234" spans="1:31">
      <c r="A234" t="s">
        <v>229</v>
      </c>
      <c r="B234">
        <v>625</v>
      </c>
      <c r="C234">
        <v>625</v>
      </c>
      <c r="D234">
        <v>2.1</v>
      </c>
      <c r="E234">
        <v>19854</v>
      </c>
      <c r="F234">
        <v>0</v>
      </c>
      <c r="G234">
        <v>145</v>
      </c>
      <c r="H234">
        <v>55</v>
      </c>
      <c r="I234">
        <v>45</v>
      </c>
      <c r="J234">
        <v>17.2</v>
      </c>
      <c r="K234">
        <v>10.3</v>
      </c>
      <c r="L234">
        <v>32.1</v>
      </c>
      <c r="M234">
        <v>21.8</v>
      </c>
      <c r="N234">
        <v>32</v>
      </c>
      <c r="T234" t="str">
        <f t="shared" si="7"/>
        <v>Little Grand Rapids First Nation</v>
      </c>
      <c r="W234">
        <v>0</v>
      </c>
      <c r="X234">
        <v>16986</v>
      </c>
      <c r="Y234">
        <v>17246</v>
      </c>
      <c r="Z234">
        <v>6424</v>
      </c>
      <c r="AA234">
        <v>3318</v>
      </c>
      <c r="AB234">
        <v>230</v>
      </c>
      <c r="AC234">
        <v>365</v>
      </c>
      <c r="AD234">
        <v>80</v>
      </c>
      <c r="AE234">
        <v>20</v>
      </c>
    </row>
    <row r="235" spans="1:31">
      <c r="A235" t="s">
        <v>230</v>
      </c>
      <c r="B235">
        <v>365</v>
      </c>
      <c r="C235">
        <v>360</v>
      </c>
      <c r="D235">
        <v>2.5</v>
      </c>
      <c r="E235">
        <v>23651</v>
      </c>
      <c r="F235">
        <v>0</v>
      </c>
      <c r="G235">
        <v>90</v>
      </c>
      <c r="H235">
        <v>20</v>
      </c>
      <c r="I235">
        <v>45</v>
      </c>
      <c r="J235">
        <v>22.2</v>
      </c>
      <c r="K235">
        <v>11.1</v>
      </c>
      <c r="L235">
        <v>67.5</v>
      </c>
      <c r="M235">
        <v>62.5</v>
      </c>
      <c r="N235">
        <v>7.4</v>
      </c>
      <c r="T235" t="str">
        <f t="shared" si="7"/>
        <v>Little Saskatchewan First Nation</v>
      </c>
      <c r="W235">
        <v>0</v>
      </c>
      <c r="X235">
        <v>8787</v>
      </c>
      <c r="Y235">
        <v>13801</v>
      </c>
      <c r="Z235">
        <v>4832</v>
      </c>
      <c r="AA235">
        <v>9760</v>
      </c>
      <c r="AB235">
        <v>160</v>
      </c>
      <c r="AC235">
        <v>185</v>
      </c>
      <c r="AD235">
        <v>20</v>
      </c>
      <c r="AE235">
        <v>0</v>
      </c>
    </row>
    <row r="236" spans="1:31">
      <c r="A236" t="s">
        <v>712</v>
      </c>
      <c r="B236">
        <v>595</v>
      </c>
      <c r="C236">
        <v>595</v>
      </c>
      <c r="D236">
        <v>1.8</v>
      </c>
      <c r="E236">
        <v>20671</v>
      </c>
      <c r="F236">
        <v>0</v>
      </c>
      <c r="G236">
        <v>170</v>
      </c>
      <c r="H236">
        <v>65</v>
      </c>
      <c r="I236">
        <v>45</v>
      </c>
      <c r="J236">
        <v>0</v>
      </c>
      <c r="K236">
        <v>20.6</v>
      </c>
      <c r="L236">
        <v>19.5</v>
      </c>
      <c r="M236">
        <v>14.3</v>
      </c>
      <c r="N236">
        <v>26.7</v>
      </c>
      <c r="T236" t="str">
        <f t="shared" si="7"/>
        <v>Long Plain First Nation</v>
      </c>
      <c r="W236">
        <v>0</v>
      </c>
      <c r="X236">
        <v>17727</v>
      </c>
      <c r="Y236">
        <v>20044</v>
      </c>
      <c r="Z236">
        <v>2878</v>
      </c>
      <c r="AA236">
        <v>7867</v>
      </c>
      <c r="AB236">
        <v>215</v>
      </c>
      <c r="AC236">
        <v>355</v>
      </c>
      <c r="AD236">
        <v>95</v>
      </c>
      <c r="AE236">
        <v>20</v>
      </c>
    </row>
    <row r="237" spans="1:31">
      <c r="A237" t="s">
        <v>231</v>
      </c>
      <c r="B237">
        <v>11</v>
      </c>
      <c r="C237" s="102"/>
      <c r="D237" s="102"/>
      <c r="E237" s="102"/>
      <c r="F237" s="102"/>
      <c r="G237" s="102"/>
      <c r="H237" s="102"/>
      <c r="I237" s="102"/>
      <c r="J237" s="102"/>
      <c r="K237" s="102"/>
      <c r="L237" s="102"/>
      <c r="M237" s="102"/>
      <c r="N237" s="102"/>
      <c r="T237">
        <f t="shared" si="7"/>
        <v>0</v>
      </c>
      <c r="AB237">
        <v>0</v>
      </c>
      <c r="AC237">
        <v>0</v>
      </c>
      <c r="AD237">
        <v>0</v>
      </c>
      <c r="AE237">
        <v>0</v>
      </c>
    </row>
    <row r="238" spans="1:31">
      <c r="A238" t="s">
        <v>618</v>
      </c>
      <c r="B238">
        <v>2205</v>
      </c>
      <c r="C238">
        <v>2055</v>
      </c>
      <c r="D238">
        <v>1.7</v>
      </c>
      <c r="E238">
        <v>45963</v>
      </c>
      <c r="F238">
        <v>4.9000000000000004</v>
      </c>
      <c r="G238">
        <v>680</v>
      </c>
      <c r="H238">
        <v>215</v>
      </c>
      <c r="I238">
        <v>70</v>
      </c>
      <c r="J238">
        <v>85.3</v>
      </c>
      <c r="K238">
        <v>14.7</v>
      </c>
      <c r="L238">
        <v>71.2</v>
      </c>
      <c r="M238">
        <v>70.3</v>
      </c>
      <c r="N238">
        <v>1.3</v>
      </c>
      <c r="T238">
        <f t="shared" si="7"/>
        <v>0</v>
      </c>
      <c r="W238">
        <v>0</v>
      </c>
      <c r="X238">
        <v>17262</v>
      </c>
      <c r="Y238">
        <v>13517</v>
      </c>
      <c r="Z238">
        <v>17902</v>
      </c>
      <c r="AA238">
        <v>12934</v>
      </c>
      <c r="AB238">
        <v>635</v>
      </c>
      <c r="AC238">
        <v>1220</v>
      </c>
      <c r="AD238">
        <v>350</v>
      </c>
      <c r="AE238">
        <v>320</v>
      </c>
    </row>
    <row r="239" spans="1:31">
      <c r="A239" t="s">
        <v>617</v>
      </c>
      <c r="B239">
        <v>1095</v>
      </c>
      <c r="C239">
        <v>1010</v>
      </c>
      <c r="D239">
        <v>1.4</v>
      </c>
      <c r="E239">
        <v>45701</v>
      </c>
      <c r="F239">
        <v>5.9</v>
      </c>
      <c r="G239">
        <v>340</v>
      </c>
      <c r="H239">
        <v>80</v>
      </c>
      <c r="I239">
        <v>45</v>
      </c>
      <c r="J239">
        <v>82.4</v>
      </c>
      <c r="K239">
        <v>19.100000000000001</v>
      </c>
      <c r="L239">
        <v>78.3</v>
      </c>
      <c r="M239">
        <v>77</v>
      </c>
      <c r="N239">
        <v>1.6</v>
      </c>
      <c r="T239">
        <f t="shared" si="7"/>
        <v>0</v>
      </c>
      <c r="W239">
        <v>0</v>
      </c>
      <c r="X239">
        <v>18695</v>
      </c>
      <c r="Y239">
        <v>14451</v>
      </c>
      <c r="Z239">
        <v>20005</v>
      </c>
      <c r="AA239">
        <v>14246</v>
      </c>
      <c r="AB239">
        <v>290</v>
      </c>
      <c r="AC239">
        <v>630</v>
      </c>
      <c r="AD239">
        <v>185</v>
      </c>
      <c r="AE239">
        <v>145</v>
      </c>
    </row>
    <row r="240" spans="1:31">
      <c r="A240" t="s">
        <v>709</v>
      </c>
      <c r="B240">
        <v>1035</v>
      </c>
      <c r="C240">
        <v>1030</v>
      </c>
      <c r="D240">
        <v>1.7</v>
      </c>
      <c r="E240">
        <v>53597</v>
      </c>
      <c r="F240">
        <v>14.7</v>
      </c>
      <c r="G240">
        <v>355</v>
      </c>
      <c r="H240">
        <v>130</v>
      </c>
      <c r="I240">
        <v>80</v>
      </c>
      <c r="J240">
        <v>62</v>
      </c>
      <c r="K240">
        <v>36.6</v>
      </c>
      <c r="L240">
        <v>65.5</v>
      </c>
      <c r="M240">
        <v>57.6</v>
      </c>
      <c r="N240">
        <v>12.1</v>
      </c>
      <c r="T240">
        <f t="shared" si="7"/>
        <v>0</v>
      </c>
      <c r="W240">
        <v>0</v>
      </c>
      <c r="X240">
        <v>34772</v>
      </c>
      <c r="Y240">
        <v>19483</v>
      </c>
      <c r="Z240">
        <v>33590</v>
      </c>
      <c r="AA240">
        <v>18620</v>
      </c>
      <c r="AB240">
        <v>340</v>
      </c>
      <c r="AC240">
        <v>630</v>
      </c>
      <c r="AD240">
        <v>185</v>
      </c>
      <c r="AE240">
        <v>55</v>
      </c>
    </row>
    <row r="241" spans="1:31">
      <c r="A241" t="s">
        <v>650</v>
      </c>
      <c r="B241">
        <v>4895</v>
      </c>
      <c r="C241">
        <v>4755</v>
      </c>
      <c r="D241">
        <v>1.4</v>
      </c>
      <c r="E241">
        <v>56578</v>
      </c>
      <c r="F241">
        <v>4</v>
      </c>
      <c r="G241">
        <v>1530</v>
      </c>
      <c r="H241">
        <v>475</v>
      </c>
      <c r="I241">
        <v>150</v>
      </c>
      <c r="J241">
        <v>89.2</v>
      </c>
      <c r="K241">
        <v>10.8</v>
      </c>
      <c r="L241">
        <v>77.3</v>
      </c>
      <c r="M241">
        <v>73.5</v>
      </c>
      <c r="N241">
        <v>5.0999999999999996</v>
      </c>
      <c r="T241">
        <f t="shared" si="7"/>
        <v>0</v>
      </c>
      <c r="W241">
        <v>0</v>
      </c>
      <c r="X241">
        <v>29902</v>
      </c>
      <c r="Y241">
        <v>18787</v>
      </c>
      <c r="Z241">
        <v>28066</v>
      </c>
      <c r="AA241">
        <v>14399</v>
      </c>
      <c r="AB241">
        <v>1340</v>
      </c>
      <c r="AC241">
        <v>3205</v>
      </c>
      <c r="AD241">
        <v>985</v>
      </c>
      <c r="AE241">
        <v>330</v>
      </c>
    </row>
    <row r="242" spans="1:31">
      <c r="A242" t="s">
        <v>644</v>
      </c>
      <c r="B242">
        <v>875</v>
      </c>
      <c r="C242">
        <v>870</v>
      </c>
      <c r="D242">
        <v>1.1000000000000001</v>
      </c>
      <c r="E242">
        <v>38823</v>
      </c>
      <c r="F242">
        <v>7</v>
      </c>
      <c r="G242">
        <v>375</v>
      </c>
      <c r="H242">
        <v>110</v>
      </c>
      <c r="I242">
        <v>35</v>
      </c>
      <c r="J242">
        <v>70.7</v>
      </c>
      <c r="K242">
        <v>28</v>
      </c>
      <c r="L242">
        <v>56.6</v>
      </c>
      <c r="M242">
        <v>52.4</v>
      </c>
      <c r="N242">
        <v>8.6</v>
      </c>
      <c r="T242">
        <f t="shared" si="7"/>
        <v>0</v>
      </c>
      <c r="W242">
        <v>0</v>
      </c>
      <c r="X242">
        <v>19588</v>
      </c>
      <c r="Y242">
        <v>11382</v>
      </c>
      <c r="Z242">
        <v>15274</v>
      </c>
      <c r="AA242">
        <v>11109</v>
      </c>
      <c r="AB242">
        <v>155</v>
      </c>
      <c r="AC242">
        <v>500</v>
      </c>
      <c r="AD242">
        <v>185</v>
      </c>
      <c r="AE242">
        <v>210</v>
      </c>
    </row>
    <row r="243" spans="1:31">
      <c r="A243" t="s">
        <v>232</v>
      </c>
      <c r="B243">
        <v>146</v>
      </c>
      <c r="C243" s="102"/>
      <c r="D243" s="102"/>
      <c r="E243" s="102"/>
      <c r="F243" s="102"/>
      <c r="G243" s="102"/>
      <c r="H243" s="102"/>
      <c r="I243" s="102"/>
      <c r="J243" s="102"/>
      <c r="K243" s="102"/>
      <c r="L243" s="102"/>
      <c r="M243" s="102"/>
      <c r="N243" s="102"/>
      <c r="T243">
        <f t="shared" si="7"/>
        <v>0</v>
      </c>
      <c r="AB243">
        <v>0</v>
      </c>
      <c r="AC243">
        <v>0</v>
      </c>
      <c r="AD243">
        <v>0</v>
      </c>
      <c r="AE243">
        <v>0</v>
      </c>
    </row>
    <row r="244" spans="1:31">
      <c r="A244" t="s">
        <v>233</v>
      </c>
      <c r="B244">
        <v>173</v>
      </c>
      <c r="C244" s="102"/>
      <c r="D244" s="102"/>
      <c r="E244" s="102"/>
      <c r="F244" s="102"/>
      <c r="G244" s="102"/>
      <c r="H244" s="102"/>
      <c r="I244" s="102"/>
      <c r="J244" s="102"/>
      <c r="K244" s="102"/>
      <c r="L244" s="102"/>
      <c r="M244" s="102"/>
      <c r="N244" s="102"/>
      <c r="T244">
        <f t="shared" si="7"/>
        <v>0</v>
      </c>
      <c r="AB244">
        <v>0</v>
      </c>
      <c r="AC244">
        <v>0</v>
      </c>
      <c r="AD244">
        <v>0</v>
      </c>
      <c r="AE244">
        <v>0</v>
      </c>
    </row>
    <row r="245" spans="1:31">
      <c r="A245" t="s">
        <v>382</v>
      </c>
      <c r="B245">
        <v>760</v>
      </c>
      <c r="C245">
        <v>760</v>
      </c>
      <c r="D245">
        <v>1.1000000000000001</v>
      </c>
      <c r="E245">
        <v>45494</v>
      </c>
      <c r="F245">
        <v>4.7</v>
      </c>
      <c r="G245">
        <v>330</v>
      </c>
      <c r="H245">
        <v>120</v>
      </c>
      <c r="I245">
        <v>25</v>
      </c>
      <c r="J245">
        <v>80.3</v>
      </c>
      <c r="K245">
        <v>21.2</v>
      </c>
      <c r="L245">
        <v>57.9</v>
      </c>
      <c r="M245">
        <v>53.2</v>
      </c>
      <c r="N245">
        <v>8.1999999999999993</v>
      </c>
      <c r="T245">
        <f t="shared" si="7"/>
        <v>0</v>
      </c>
      <c r="W245">
        <v>0</v>
      </c>
      <c r="X245">
        <v>26399</v>
      </c>
      <c r="Y245">
        <v>13924</v>
      </c>
      <c r="Z245">
        <v>23605</v>
      </c>
      <c r="AA245">
        <v>11424</v>
      </c>
      <c r="AB245">
        <v>140</v>
      </c>
      <c r="AC245">
        <v>440</v>
      </c>
      <c r="AD245">
        <v>180</v>
      </c>
      <c r="AE245">
        <v>175</v>
      </c>
    </row>
    <row r="246" spans="1:31">
      <c r="A246" t="s">
        <v>234</v>
      </c>
      <c r="T246" t="str">
        <f t="shared" si="7"/>
        <v>Manto Sipi Cree Nation</v>
      </c>
      <c r="W246">
        <v>0</v>
      </c>
      <c r="X246">
        <v>0</v>
      </c>
      <c r="Y246">
        <v>0</v>
      </c>
      <c r="Z246">
        <v>0</v>
      </c>
      <c r="AA246">
        <v>0</v>
      </c>
      <c r="AB246">
        <v>0</v>
      </c>
      <c r="AC246">
        <v>0</v>
      </c>
      <c r="AD246">
        <v>0</v>
      </c>
      <c r="AE246">
        <v>0</v>
      </c>
    </row>
    <row r="247" spans="1:31">
      <c r="A247" t="s">
        <v>235</v>
      </c>
      <c r="B247">
        <v>80</v>
      </c>
      <c r="C247">
        <v>80</v>
      </c>
      <c r="D247">
        <v>4</v>
      </c>
      <c r="E247">
        <v>0</v>
      </c>
      <c r="F247">
        <v>0</v>
      </c>
      <c r="G247">
        <v>15</v>
      </c>
      <c r="H247">
        <v>10</v>
      </c>
      <c r="I247">
        <v>0</v>
      </c>
      <c r="J247">
        <v>0</v>
      </c>
      <c r="K247">
        <v>66.7</v>
      </c>
      <c r="L247">
        <v>33.299999999999997</v>
      </c>
      <c r="M247">
        <v>33.299999999999997</v>
      </c>
      <c r="N247">
        <v>0</v>
      </c>
      <c r="T247" t="str">
        <f t="shared" si="7"/>
        <v>Marcel Colomb First Nation</v>
      </c>
      <c r="W247">
        <v>0</v>
      </c>
      <c r="X247">
        <v>0</v>
      </c>
      <c r="Y247">
        <v>0</v>
      </c>
      <c r="Z247">
        <v>0</v>
      </c>
      <c r="AA247">
        <v>0</v>
      </c>
      <c r="AB247">
        <v>10</v>
      </c>
      <c r="AC247">
        <v>60</v>
      </c>
      <c r="AD247">
        <v>10</v>
      </c>
      <c r="AE247">
        <v>10</v>
      </c>
    </row>
    <row r="248" spans="1:31">
      <c r="A248" t="s">
        <v>236</v>
      </c>
      <c r="B248">
        <v>111</v>
      </c>
      <c r="C248" s="102"/>
      <c r="D248" s="102"/>
      <c r="E248" s="102"/>
      <c r="F248" s="102"/>
      <c r="G248" s="102"/>
      <c r="H248" s="102"/>
      <c r="I248" s="102"/>
      <c r="J248" s="102"/>
      <c r="K248" s="102"/>
      <c r="L248" s="102"/>
      <c r="M248" s="102"/>
      <c r="N248" s="102"/>
      <c r="T248">
        <f t="shared" si="7"/>
        <v>0</v>
      </c>
      <c r="AB248">
        <v>0</v>
      </c>
      <c r="AC248">
        <v>0</v>
      </c>
      <c r="AD248">
        <v>0</v>
      </c>
      <c r="AE248">
        <v>0</v>
      </c>
    </row>
    <row r="249" spans="1:31">
      <c r="A249" t="s">
        <v>237</v>
      </c>
      <c r="B249">
        <v>1200</v>
      </c>
      <c r="C249">
        <v>1200</v>
      </c>
      <c r="D249">
        <v>3.1</v>
      </c>
      <c r="E249">
        <v>28239</v>
      </c>
      <c r="F249">
        <v>0</v>
      </c>
      <c r="G249">
        <v>200</v>
      </c>
      <c r="H249">
        <v>55</v>
      </c>
      <c r="I249">
        <v>100</v>
      </c>
      <c r="J249">
        <v>15</v>
      </c>
      <c r="K249">
        <v>47.5</v>
      </c>
      <c r="L249">
        <v>40.299999999999997</v>
      </c>
      <c r="M249">
        <v>29.1</v>
      </c>
      <c r="N249">
        <v>29.6</v>
      </c>
      <c r="T249" t="str">
        <f t="shared" si="7"/>
        <v>Mathias Colomb First Nation</v>
      </c>
      <c r="W249">
        <v>0</v>
      </c>
      <c r="X249">
        <v>17522</v>
      </c>
      <c r="Y249">
        <v>19416</v>
      </c>
      <c r="Z249">
        <v>4624</v>
      </c>
      <c r="AA249">
        <v>7360</v>
      </c>
      <c r="AB249">
        <v>530</v>
      </c>
      <c r="AC249">
        <v>640</v>
      </c>
      <c r="AD249">
        <v>80</v>
      </c>
      <c r="AE249">
        <v>45</v>
      </c>
    </row>
    <row r="250" spans="1:31">
      <c r="A250" t="s">
        <v>384</v>
      </c>
      <c r="B250">
        <v>580</v>
      </c>
      <c r="C250">
        <v>580</v>
      </c>
      <c r="D250">
        <v>1.3</v>
      </c>
      <c r="E250">
        <v>39118</v>
      </c>
      <c r="F250">
        <v>19.5</v>
      </c>
      <c r="G250">
        <v>210</v>
      </c>
      <c r="H250">
        <v>65</v>
      </c>
      <c r="I250">
        <v>45</v>
      </c>
      <c r="J250">
        <v>88.1</v>
      </c>
      <c r="K250">
        <v>11.9</v>
      </c>
      <c r="L250">
        <v>69.7</v>
      </c>
      <c r="M250">
        <v>65.2</v>
      </c>
      <c r="N250">
        <v>6.5</v>
      </c>
      <c r="T250">
        <f t="shared" si="7"/>
        <v>0</v>
      </c>
      <c r="W250">
        <v>0</v>
      </c>
      <c r="X250">
        <v>17301</v>
      </c>
      <c r="Y250">
        <v>11443</v>
      </c>
      <c r="Z250">
        <v>12942</v>
      </c>
      <c r="AA250">
        <v>10871</v>
      </c>
      <c r="AB250">
        <v>140</v>
      </c>
      <c r="AC250">
        <v>320</v>
      </c>
      <c r="AD250">
        <v>110</v>
      </c>
      <c r="AE250">
        <v>100</v>
      </c>
    </row>
    <row r="251" spans="1:31">
      <c r="A251" t="s">
        <v>779</v>
      </c>
      <c r="B251">
        <v>510</v>
      </c>
      <c r="C251">
        <v>505</v>
      </c>
      <c r="D251">
        <v>0.7</v>
      </c>
      <c r="E251">
        <v>42005</v>
      </c>
      <c r="F251">
        <v>17.899999999999999</v>
      </c>
      <c r="G251">
        <v>250</v>
      </c>
      <c r="H251">
        <v>60</v>
      </c>
      <c r="I251">
        <v>20</v>
      </c>
      <c r="J251">
        <v>90</v>
      </c>
      <c r="K251">
        <v>12</v>
      </c>
      <c r="L251">
        <v>39.5</v>
      </c>
      <c r="M251">
        <v>38.299999999999997</v>
      </c>
      <c r="N251">
        <v>6.2</v>
      </c>
      <c r="T251">
        <f t="shared" si="7"/>
        <v>0</v>
      </c>
      <c r="W251">
        <v>0</v>
      </c>
      <c r="X251">
        <v>34289</v>
      </c>
      <c r="Y251">
        <v>17804</v>
      </c>
      <c r="Z251">
        <v>13546</v>
      </c>
      <c r="AA251">
        <v>10724</v>
      </c>
      <c r="AB251">
        <v>105</v>
      </c>
      <c r="AC251">
        <v>195</v>
      </c>
      <c r="AD251">
        <v>120</v>
      </c>
      <c r="AE251">
        <v>195</v>
      </c>
    </row>
    <row r="252" spans="1:31">
      <c r="A252" t="s">
        <v>238</v>
      </c>
      <c r="B252">
        <v>85</v>
      </c>
      <c r="C252" s="102"/>
      <c r="D252" s="102"/>
      <c r="E252" s="102"/>
      <c r="F252" s="102"/>
      <c r="G252" s="102"/>
      <c r="H252" s="102"/>
      <c r="I252" s="102"/>
      <c r="J252" s="102"/>
      <c r="K252" s="102"/>
      <c r="L252" s="102"/>
      <c r="M252" s="102"/>
      <c r="N252" s="102"/>
      <c r="T252">
        <f t="shared" si="7"/>
        <v>0</v>
      </c>
      <c r="AB252">
        <v>0</v>
      </c>
      <c r="AC252">
        <v>0</v>
      </c>
      <c r="AD252">
        <v>0</v>
      </c>
      <c r="AE252">
        <v>0</v>
      </c>
    </row>
    <row r="253" spans="1:31">
      <c r="A253" t="s">
        <v>385</v>
      </c>
      <c r="B253">
        <v>1130</v>
      </c>
      <c r="C253">
        <v>1130</v>
      </c>
      <c r="D253">
        <v>0.9</v>
      </c>
      <c r="E253">
        <v>41979</v>
      </c>
      <c r="F253">
        <v>14.7</v>
      </c>
      <c r="G253">
        <v>535</v>
      </c>
      <c r="H253">
        <v>145</v>
      </c>
      <c r="I253">
        <v>50</v>
      </c>
      <c r="J253">
        <v>72.900000000000006</v>
      </c>
      <c r="K253">
        <v>27.1</v>
      </c>
      <c r="L253">
        <v>56.6</v>
      </c>
      <c r="M253">
        <v>54</v>
      </c>
      <c r="N253">
        <v>5.6</v>
      </c>
      <c r="T253">
        <f t="shared" si="7"/>
        <v>0</v>
      </c>
      <c r="W253">
        <v>0</v>
      </c>
      <c r="X253">
        <v>20143</v>
      </c>
      <c r="Y253">
        <v>14270</v>
      </c>
      <c r="Z253">
        <v>20098</v>
      </c>
      <c r="AA253">
        <v>14050</v>
      </c>
      <c r="AB253">
        <v>180</v>
      </c>
      <c r="AC253">
        <v>615</v>
      </c>
      <c r="AD253">
        <v>210</v>
      </c>
      <c r="AE253">
        <v>325</v>
      </c>
    </row>
    <row r="254" spans="1:31">
      <c r="A254" t="s">
        <v>667</v>
      </c>
      <c r="B254">
        <v>1025</v>
      </c>
      <c r="C254">
        <v>905</v>
      </c>
      <c r="D254">
        <v>1.1000000000000001</v>
      </c>
      <c r="E254">
        <v>40356</v>
      </c>
      <c r="F254">
        <v>2.6</v>
      </c>
      <c r="G254">
        <v>365</v>
      </c>
      <c r="H254">
        <v>125</v>
      </c>
      <c r="I254">
        <v>50</v>
      </c>
      <c r="J254">
        <v>90.4</v>
      </c>
      <c r="K254">
        <v>9.6</v>
      </c>
      <c r="L254">
        <v>60.4</v>
      </c>
      <c r="M254">
        <v>58.4</v>
      </c>
      <c r="N254">
        <v>4.3</v>
      </c>
      <c r="T254">
        <f t="shared" si="7"/>
        <v>0</v>
      </c>
      <c r="W254">
        <v>0</v>
      </c>
      <c r="X254">
        <v>20099</v>
      </c>
      <c r="Y254">
        <v>11488</v>
      </c>
      <c r="Z254">
        <v>20432</v>
      </c>
      <c r="AA254">
        <v>9841</v>
      </c>
      <c r="AB254">
        <v>255</v>
      </c>
      <c r="AC254">
        <v>565</v>
      </c>
      <c r="AD254">
        <v>200</v>
      </c>
      <c r="AE254">
        <v>195</v>
      </c>
    </row>
    <row r="255" spans="1:31">
      <c r="A255" t="s">
        <v>387</v>
      </c>
      <c r="B255">
        <v>1200</v>
      </c>
      <c r="C255">
        <v>1200</v>
      </c>
      <c r="D255">
        <v>1.4</v>
      </c>
      <c r="E255">
        <v>44879</v>
      </c>
      <c r="F255">
        <v>8.5</v>
      </c>
      <c r="G255">
        <v>375</v>
      </c>
      <c r="H255">
        <v>150</v>
      </c>
      <c r="I255">
        <v>55</v>
      </c>
      <c r="J255">
        <v>93.3</v>
      </c>
      <c r="K255">
        <v>6.7</v>
      </c>
      <c r="L255">
        <v>79.3</v>
      </c>
      <c r="M255">
        <v>77.099999999999994</v>
      </c>
      <c r="N255">
        <v>3.5</v>
      </c>
      <c r="T255">
        <f t="shared" si="7"/>
        <v>0</v>
      </c>
      <c r="W255">
        <v>0</v>
      </c>
      <c r="X255">
        <v>23811</v>
      </c>
      <c r="Y255">
        <v>13839</v>
      </c>
      <c r="Z255">
        <v>19129</v>
      </c>
      <c r="AA255">
        <v>9363</v>
      </c>
      <c r="AB255">
        <v>300</v>
      </c>
      <c r="AC255">
        <v>765</v>
      </c>
      <c r="AD255">
        <v>265</v>
      </c>
      <c r="AE255">
        <v>115</v>
      </c>
    </row>
    <row r="256" spans="1:31">
      <c r="A256" t="s">
        <v>387</v>
      </c>
      <c r="B256">
        <v>600</v>
      </c>
      <c r="C256">
        <v>600</v>
      </c>
      <c r="D256">
        <v>0.9</v>
      </c>
      <c r="E256">
        <v>39742</v>
      </c>
      <c r="F256">
        <v>16.5</v>
      </c>
      <c r="G256">
        <v>255</v>
      </c>
      <c r="H256">
        <v>75</v>
      </c>
      <c r="I256">
        <v>25</v>
      </c>
      <c r="J256">
        <v>66.7</v>
      </c>
      <c r="K256">
        <v>35.299999999999997</v>
      </c>
      <c r="L256">
        <v>52.6</v>
      </c>
      <c r="M256">
        <v>49.5</v>
      </c>
      <c r="N256">
        <v>4</v>
      </c>
      <c r="T256">
        <f t="shared" si="7"/>
        <v>0</v>
      </c>
      <c r="W256">
        <v>0</v>
      </c>
      <c r="X256">
        <v>23811</v>
      </c>
      <c r="Y256">
        <v>13839</v>
      </c>
      <c r="Z256">
        <v>19129</v>
      </c>
      <c r="AA256">
        <v>9363</v>
      </c>
      <c r="AB256">
        <v>300</v>
      </c>
      <c r="AC256">
        <v>765</v>
      </c>
      <c r="AD256">
        <v>265</v>
      </c>
      <c r="AE256">
        <v>115</v>
      </c>
    </row>
    <row r="257" spans="1:31">
      <c r="A257" t="s">
        <v>388</v>
      </c>
      <c r="B257">
        <v>2395</v>
      </c>
      <c r="C257">
        <v>2390</v>
      </c>
      <c r="D257">
        <v>0.9</v>
      </c>
      <c r="E257">
        <v>47259</v>
      </c>
      <c r="F257">
        <v>9.1999999999999993</v>
      </c>
      <c r="G257">
        <v>1085</v>
      </c>
      <c r="H257">
        <v>315</v>
      </c>
      <c r="I257">
        <v>100</v>
      </c>
      <c r="J257">
        <v>74.2</v>
      </c>
      <c r="K257">
        <v>25.8</v>
      </c>
      <c r="L257">
        <v>54.7</v>
      </c>
      <c r="M257">
        <v>51.1</v>
      </c>
      <c r="N257">
        <v>6.5</v>
      </c>
      <c r="T257">
        <f t="shared" si="7"/>
        <v>0</v>
      </c>
      <c r="W257">
        <v>0</v>
      </c>
      <c r="X257">
        <v>26222</v>
      </c>
      <c r="Y257">
        <v>15571</v>
      </c>
      <c r="Z257">
        <v>21484</v>
      </c>
      <c r="AA257">
        <v>13621</v>
      </c>
      <c r="AB257">
        <v>430</v>
      </c>
      <c r="AC257">
        <v>1325</v>
      </c>
      <c r="AD257">
        <v>490</v>
      </c>
      <c r="AE257">
        <v>630</v>
      </c>
    </row>
    <row r="258" spans="1:31">
      <c r="A258" t="s">
        <v>672</v>
      </c>
      <c r="B258">
        <v>660</v>
      </c>
      <c r="C258">
        <v>610</v>
      </c>
      <c r="D258">
        <v>1.2</v>
      </c>
      <c r="E258">
        <v>37296</v>
      </c>
      <c r="F258">
        <v>16.899999999999999</v>
      </c>
      <c r="G258">
        <v>220</v>
      </c>
      <c r="H258">
        <v>50</v>
      </c>
      <c r="I258">
        <v>45</v>
      </c>
      <c r="J258">
        <v>81.8</v>
      </c>
      <c r="K258">
        <v>18.2</v>
      </c>
      <c r="L258">
        <v>70.099999999999994</v>
      </c>
      <c r="M258">
        <v>66.400000000000006</v>
      </c>
      <c r="N258">
        <v>5.3</v>
      </c>
      <c r="T258">
        <f t="shared" si="7"/>
        <v>0</v>
      </c>
      <c r="W258">
        <v>0</v>
      </c>
      <c r="X258">
        <v>18253</v>
      </c>
      <c r="Y258">
        <v>11080</v>
      </c>
      <c r="Z258">
        <v>17429</v>
      </c>
      <c r="AA258">
        <v>6596</v>
      </c>
      <c r="AB258">
        <v>130</v>
      </c>
      <c r="AC258">
        <v>450</v>
      </c>
      <c r="AD258">
        <v>175</v>
      </c>
      <c r="AE258">
        <v>75</v>
      </c>
    </row>
    <row r="259" spans="1:31">
      <c r="A259" t="s">
        <v>494</v>
      </c>
      <c r="B259">
        <v>545</v>
      </c>
      <c r="C259">
        <v>545</v>
      </c>
      <c r="D259">
        <v>2.5</v>
      </c>
      <c r="E259">
        <v>28807</v>
      </c>
      <c r="F259">
        <v>0</v>
      </c>
      <c r="G259">
        <v>120</v>
      </c>
      <c r="H259">
        <v>35</v>
      </c>
      <c r="I259">
        <v>50</v>
      </c>
      <c r="J259">
        <v>0</v>
      </c>
      <c r="K259">
        <v>8.3000000000000007</v>
      </c>
      <c r="L259">
        <v>65.599999999999994</v>
      </c>
      <c r="M259">
        <v>41</v>
      </c>
      <c r="N259">
        <v>37.5</v>
      </c>
      <c r="T259" t="str">
        <f t="shared" si="7"/>
        <v>Misipawistik Cree Nation</v>
      </c>
      <c r="AB259">
        <v>0</v>
      </c>
      <c r="AC259">
        <v>0</v>
      </c>
      <c r="AD259">
        <v>0</v>
      </c>
      <c r="AE259">
        <v>0</v>
      </c>
    </row>
    <row r="260" spans="1:31">
      <c r="A260" t="s">
        <v>611</v>
      </c>
      <c r="B260">
        <v>1580</v>
      </c>
      <c r="C260">
        <v>1480</v>
      </c>
      <c r="D260">
        <v>1.5</v>
      </c>
      <c r="E260">
        <v>64546</v>
      </c>
      <c r="F260">
        <v>6.7</v>
      </c>
      <c r="G260">
        <v>520</v>
      </c>
      <c r="H260">
        <v>190</v>
      </c>
      <c r="I260">
        <v>70</v>
      </c>
      <c r="J260">
        <v>84.6</v>
      </c>
      <c r="K260">
        <v>15.4</v>
      </c>
      <c r="L260">
        <v>76.2</v>
      </c>
      <c r="M260">
        <v>74.5</v>
      </c>
      <c r="N260">
        <v>1.7</v>
      </c>
      <c r="T260">
        <f t="shared" si="7"/>
        <v>0</v>
      </c>
      <c r="W260">
        <v>0</v>
      </c>
      <c r="X260">
        <v>26409</v>
      </c>
      <c r="Y260">
        <v>16793</v>
      </c>
      <c r="Z260">
        <v>22513</v>
      </c>
      <c r="AA260">
        <v>11640</v>
      </c>
      <c r="AB260">
        <v>430</v>
      </c>
      <c r="AC260">
        <v>965</v>
      </c>
      <c r="AD260">
        <v>310</v>
      </c>
      <c r="AE260">
        <v>195</v>
      </c>
    </row>
    <row r="261" spans="1:31">
      <c r="A261" t="s">
        <v>389</v>
      </c>
      <c r="B261">
        <v>333</v>
      </c>
      <c r="C261" s="102"/>
      <c r="D261" s="102"/>
      <c r="E261" s="102"/>
      <c r="F261" s="102"/>
      <c r="G261" s="102"/>
      <c r="H261" s="102"/>
      <c r="I261" s="102"/>
      <c r="J261" s="102"/>
      <c r="K261" s="102"/>
      <c r="L261" s="102"/>
      <c r="M261" s="102"/>
      <c r="N261" s="102"/>
      <c r="T261">
        <f t="shared" si="7"/>
        <v>0</v>
      </c>
      <c r="AB261">
        <v>0</v>
      </c>
      <c r="AC261">
        <v>0</v>
      </c>
      <c r="AD261">
        <v>0</v>
      </c>
      <c r="AE261">
        <v>0</v>
      </c>
    </row>
    <row r="262" spans="1:31">
      <c r="A262" t="s">
        <v>390</v>
      </c>
      <c r="B262">
        <v>5605</v>
      </c>
      <c r="C262">
        <v>5600</v>
      </c>
      <c r="D262">
        <v>1.1000000000000001</v>
      </c>
      <c r="E262">
        <v>45291</v>
      </c>
      <c r="F262">
        <v>9.6999999999999993</v>
      </c>
      <c r="G262">
        <v>2250</v>
      </c>
      <c r="H262">
        <v>525</v>
      </c>
      <c r="I262">
        <v>205</v>
      </c>
      <c r="J262">
        <v>75.3</v>
      </c>
      <c r="K262">
        <v>24.7</v>
      </c>
      <c r="L262">
        <v>62.1</v>
      </c>
      <c r="M262">
        <v>59.2</v>
      </c>
      <c r="N262">
        <v>4.8</v>
      </c>
      <c r="T262">
        <f t="shared" ref="T262:T328" si="9">IFERROR(VLOOKUP(A262,$U$12:$U$74,1,0),0)</f>
        <v>0</v>
      </c>
      <c r="W262">
        <v>0</v>
      </c>
      <c r="X262">
        <v>24465</v>
      </c>
      <c r="Y262">
        <v>16558</v>
      </c>
      <c r="Z262">
        <v>21807</v>
      </c>
      <c r="AA262">
        <v>12979</v>
      </c>
      <c r="AB262">
        <v>1230</v>
      </c>
      <c r="AC262">
        <v>3340</v>
      </c>
      <c r="AD262">
        <v>1035</v>
      </c>
      <c r="AE262">
        <v>1015</v>
      </c>
    </row>
    <row r="263" spans="1:31">
      <c r="A263" s="83" t="s">
        <v>391</v>
      </c>
      <c r="B263">
        <v>1605</v>
      </c>
      <c r="C263">
        <v>1605</v>
      </c>
      <c r="D263">
        <v>1.2</v>
      </c>
      <c r="E263">
        <v>44202</v>
      </c>
      <c r="F263">
        <v>14.6</v>
      </c>
      <c r="G263">
        <v>635</v>
      </c>
      <c r="H263">
        <v>250</v>
      </c>
      <c r="I263">
        <v>55</v>
      </c>
      <c r="J263">
        <v>77.2</v>
      </c>
      <c r="K263">
        <v>22.8</v>
      </c>
      <c r="L263">
        <v>62.2</v>
      </c>
      <c r="M263">
        <v>57.4</v>
      </c>
      <c r="N263">
        <v>8.4</v>
      </c>
      <c r="T263">
        <f>IFERROR(VLOOKUP(A263,$U$12:$U$74,1,0),0)</f>
        <v>0</v>
      </c>
      <c r="W263">
        <v>0</v>
      </c>
      <c r="X263">
        <v>23849</v>
      </c>
      <c r="Y263">
        <v>16124</v>
      </c>
      <c r="Z263">
        <v>22312</v>
      </c>
      <c r="AA263">
        <v>13922</v>
      </c>
      <c r="AB263">
        <v>365</v>
      </c>
      <c r="AC263">
        <v>940</v>
      </c>
      <c r="AD263">
        <v>275</v>
      </c>
      <c r="AE263">
        <v>315</v>
      </c>
    </row>
    <row r="264" spans="1:31">
      <c r="A264" s="82" t="s">
        <v>780</v>
      </c>
      <c r="B264">
        <v>2770</v>
      </c>
      <c r="C264">
        <v>2770</v>
      </c>
      <c r="D264">
        <v>1.5</v>
      </c>
      <c r="E264">
        <v>46040</v>
      </c>
      <c r="F264">
        <v>5.0999999999999996</v>
      </c>
      <c r="G264">
        <v>895</v>
      </c>
      <c r="H264">
        <v>360</v>
      </c>
      <c r="I264">
        <v>100</v>
      </c>
      <c r="J264">
        <v>86.6</v>
      </c>
      <c r="K264">
        <v>14</v>
      </c>
      <c r="L264">
        <v>68</v>
      </c>
      <c r="M264">
        <v>66.3</v>
      </c>
      <c r="N264">
        <v>2.5</v>
      </c>
      <c r="T264">
        <f>IFERROR(VLOOKUP(A264,$U$12:$U$74,1,0),0)</f>
        <v>0</v>
      </c>
      <c r="W264">
        <v>0</v>
      </c>
      <c r="X264">
        <v>21970</v>
      </c>
      <c r="Y264">
        <v>13397</v>
      </c>
      <c r="Z264">
        <v>22195</v>
      </c>
      <c r="AA264">
        <v>10349</v>
      </c>
      <c r="AB264">
        <v>695</v>
      </c>
      <c r="AC264">
        <v>1745</v>
      </c>
      <c r="AD264">
        <v>560</v>
      </c>
      <c r="AE264">
        <v>315</v>
      </c>
    </row>
    <row r="265" spans="1:31">
      <c r="A265" t="s">
        <v>620</v>
      </c>
      <c r="B265">
        <v>810</v>
      </c>
      <c r="C265">
        <v>805</v>
      </c>
      <c r="D265">
        <v>1.4</v>
      </c>
      <c r="E265">
        <v>55268</v>
      </c>
      <c r="F265">
        <v>16.5</v>
      </c>
      <c r="G265">
        <v>270</v>
      </c>
      <c r="H265">
        <v>100</v>
      </c>
      <c r="I265">
        <v>25</v>
      </c>
      <c r="J265">
        <v>88.9</v>
      </c>
      <c r="K265">
        <v>11.1</v>
      </c>
      <c r="L265">
        <v>80.2</v>
      </c>
      <c r="M265">
        <v>75.2</v>
      </c>
      <c r="N265">
        <v>6.2</v>
      </c>
      <c r="T265">
        <f t="shared" si="9"/>
        <v>0</v>
      </c>
      <c r="W265">
        <v>0</v>
      </c>
      <c r="X265">
        <v>26239</v>
      </c>
      <c r="Y265">
        <v>14911</v>
      </c>
      <c r="Z265">
        <v>19543</v>
      </c>
      <c r="AA265">
        <v>11407</v>
      </c>
      <c r="AB265">
        <v>200</v>
      </c>
      <c r="AC265">
        <v>525</v>
      </c>
      <c r="AD265">
        <v>215</v>
      </c>
      <c r="AE265">
        <v>70</v>
      </c>
    </row>
    <row r="266" spans="1:31">
      <c r="A266" t="s">
        <v>758</v>
      </c>
      <c r="T266" t="str">
        <f t="shared" si="9"/>
        <v>Mosakahiken Cree Nation</v>
      </c>
      <c r="W266">
        <v>0</v>
      </c>
      <c r="X266">
        <v>0</v>
      </c>
      <c r="Y266">
        <v>0</v>
      </c>
      <c r="Z266">
        <v>0</v>
      </c>
      <c r="AA266">
        <v>0</v>
      </c>
      <c r="AB266">
        <v>0</v>
      </c>
      <c r="AC266">
        <v>0</v>
      </c>
      <c r="AD266">
        <v>0</v>
      </c>
      <c r="AE266">
        <v>0</v>
      </c>
    </row>
    <row r="267" spans="1:31">
      <c r="A267" t="s">
        <v>684</v>
      </c>
      <c r="B267">
        <v>765</v>
      </c>
      <c r="C267">
        <v>760</v>
      </c>
      <c r="D267">
        <v>1.5</v>
      </c>
      <c r="E267">
        <v>37468</v>
      </c>
      <c r="F267">
        <v>14.8</v>
      </c>
      <c r="G267">
        <v>280</v>
      </c>
      <c r="H267">
        <v>95</v>
      </c>
      <c r="I267">
        <v>70</v>
      </c>
      <c r="J267">
        <v>85.7</v>
      </c>
      <c r="K267">
        <v>14.3</v>
      </c>
      <c r="L267">
        <v>74.099999999999994</v>
      </c>
      <c r="M267">
        <v>68.5</v>
      </c>
      <c r="N267">
        <v>7.5</v>
      </c>
      <c r="T267">
        <f t="shared" si="9"/>
        <v>0</v>
      </c>
      <c r="W267">
        <v>0</v>
      </c>
      <c r="X267">
        <v>16193</v>
      </c>
      <c r="Y267">
        <v>15799</v>
      </c>
      <c r="Z267">
        <v>16512</v>
      </c>
      <c r="AA267">
        <v>13980</v>
      </c>
      <c r="AB267">
        <v>225</v>
      </c>
      <c r="AC267">
        <v>440</v>
      </c>
      <c r="AD267">
        <v>170</v>
      </c>
      <c r="AE267">
        <v>115</v>
      </c>
    </row>
    <row r="268" spans="1:31">
      <c r="A268" t="s">
        <v>698</v>
      </c>
      <c r="B268">
        <v>1125</v>
      </c>
      <c r="C268">
        <v>1125</v>
      </c>
      <c r="D268">
        <v>1.2</v>
      </c>
      <c r="E268">
        <v>35247</v>
      </c>
      <c r="F268">
        <v>25.6</v>
      </c>
      <c r="G268">
        <v>460</v>
      </c>
      <c r="H268">
        <v>195</v>
      </c>
      <c r="I268">
        <v>125</v>
      </c>
      <c r="J268">
        <v>81.5</v>
      </c>
      <c r="K268">
        <v>18.5</v>
      </c>
      <c r="L268">
        <v>55.2</v>
      </c>
      <c r="M268">
        <v>47</v>
      </c>
      <c r="N268">
        <v>16</v>
      </c>
      <c r="T268">
        <f t="shared" si="9"/>
        <v>0</v>
      </c>
      <c r="W268">
        <v>0</v>
      </c>
      <c r="X268">
        <v>18457</v>
      </c>
      <c r="Y268">
        <v>9797</v>
      </c>
      <c r="Z268">
        <v>13908</v>
      </c>
      <c r="AA268">
        <v>9474</v>
      </c>
      <c r="AB268">
        <v>220</v>
      </c>
      <c r="AC268">
        <v>660</v>
      </c>
      <c r="AD268">
        <v>245</v>
      </c>
      <c r="AE268">
        <v>235</v>
      </c>
    </row>
    <row r="269" spans="1:31">
      <c r="A269" t="s">
        <v>696</v>
      </c>
      <c r="B269">
        <v>765</v>
      </c>
      <c r="C269">
        <v>765</v>
      </c>
      <c r="D269">
        <v>1.2</v>
      </c>
      <c r="E269">
        <v>33305</v>
      </c>
      <c r="F269">
        <v>18.5</v>
      </c>
      <c r="G269">
        <v>310</v>
      </c>
      <c r="H269">
        <v>85</v>
      </c>
      <c r="I269">
        <v>70</v>
      </c>
      <c r="J269">
        <v>85.5</v>
      </c>
      <c r="K269">
        <v>14.5</v>
      </c>
      <c r="L269">
        <v>53.7</v>
      </c>
      <c r="M269">
        <v>48.8</v>
      </c>
      <c r="N269">
        <v>9.1999999999999993</v>
      </c>
      <c r="T269">
        <f t="shared" si="9"/>
        <v>0</v>
      </c>
      <c r="W269">
        <v>0</v>
      </c>
      <c r="X269">
        <v>13818</v>
      </c>
      <c r="Y269">
        <v>16911</v>
      </c>
      <c r="Z269">
        <v>11584</v>
      </c>
      <c r="AA269">
        <v>9715</v>
      </c>
      <c r="AB269">
        <v>155</v>
      </c>
      <c r="AC269">
        <v>445</v>
      </c>
      <c r="AD269">
        <v>200</v>
      </c>
      <c r="AE269">
        <v>160</v>
      </c>
    </row>
    <row r="270" spans="1:31">
      <c r="A270" t="s">
        <v>704</v>
      </c>
      <c r="B270">
        <v>1255</v>
      </c>
      <c r="C270">
        <v>1255</v>
      </c>
      <c r="D270">
        <v>1.5</v>
      </c>
      <c r="E270">
        <v>91897</v>
      </c>
      <c r="F270">
        <v>0.6</v>
      </c>
      <c r="G270">
        <v>380</v>
      </c>
      <c r="H270">
        <v>125</v>
      </c>
      <c r="I270">
        <v>25</v>
      </c>
      <c r="J270">
        <v>98.7</v>
      </c>
      <c r="K270">
        <v>2.6</v>
      </c>
      <c r="L270">
        <v>85.9</v>
      </c>
      <c r="M270">
        <v>82.6</v>
      </c>
      <c r="N270">
        <v>4.4000000000000004</v>
      </c>
      <c r="T270">
        <f t="shared" si="9"/>
        <v>0</v>
      </c>
      <c r="W270">
        <v>0</v>
      </c>
      <c r="X270">
        <v>46543</v>
      </c>
      <c r="Y270">
        <v>27807</v>
      </c>
      <c r="Z270">
        <v>51137</v>
      </c>
      <c r="AA270">
        <v>28204</v>
      </c>
      <c r="AB270">
        <v>330</v>
      </c>
      <c r="AC270">
        <v>895</v>
      </c>
      <c r="AD270">
        <v>320</v>
      </c>
      <c r="AE270">
        <v>10</v>
      </c>
    </row>
    <row r="271" spans="1:31">
      <c r="A271" t="s">
        <v>240</v>
      </c>
      <c r="B271">
        <v>43</v>
      </c>
      <c r="C271" s="102"/>
      <c r="D271" s="102"/>
      <c r="E271" s="102"/>
      <c r="F271" s="102"/>
      <c r="G271" s="102"/>
      <c r="H271" s="102"/>
      <c r="I271" s="102"/>
      <c r="J271" s="102"/>
      <c r="K271" s="102"/>
      <c r="L271" s="102"/>
      <c r="M271" s="102"/>
      <c r="N271" s="102"/>
      <c r="T271">
        <f t="shared" si="9"/>
        <v>0</v>
      </c>
      <c r="AB271">
        <v>0</v>
      </c>
      <c r="AC271">
        <v>0</v>
      </c>
      <c r="AD271">
        <v>0</v>
      </c>
      <c r="AE271">
        <v>0</v>
      </c>
    </row>
    <row r="272" spans="1:31">
      <c r="A272" t="s">
        <v>394</v>
      </c>
      <c r="B272">
        <v>3180</v>
      </c>
      <c r="C272">
        <v>3170</v>
      </c>
      <c r="D272">
        <v>0.9</v>
      </c>
      <c r="E272">
        <v>44076</v>
      </c>
      <c r="F272">
        <v>11.1</v>
      </c>
      <c r="G272">
        <v>1485</v>
      </c>
      <c r="H272">
        <v>380</v>
      </c>
      <c r="I272">
        <v>70</v>
      </c>
      <c r="J272">
        <v>66.7</v>
      </c>
      <c r="K272">
        <v>33.299999999999997</v>
      </c>
      <c r="L272">
        <v>56.3</v>
      </c>
      <c r="M272">
        <v>53.8</v>
      </c>
      <c r="N272">
        <v>4.0999999999999996</v>
      </c>
      <c r="T272">
        <f t="shared" si="9"/>
        <v>0</v>
      </c>
      <c r="W272">
        <v>0</v>
      </c>
      <c r="X272">
        <v>21978</v>
      </c>
      <c r="Y272">
        <v>14884</v>
      </c>
      <c r="Z272">
        <v>21462</v>
      </c>
      <c r="AA272">
        <v>13750</v>
      </c>
      <c r="AB272">
        <v>555</v>
      </c>
      <c r="AC272">
        <v>1720</v>
      </c>
      <c r="AD272">
        <v>615</v>
      </c>
      <c r="AE272">
        <v>905</v>
      </c>
    </row>
    <row r="273" spans="1:31">
      <c r="A273" t="s">
        <v>396</v>
      </c>
      <c r="B273">
        <v>77</v>
      </c>
      <c r="C273" s="102"/>
      <c r="D273" s="102"/>
      <c r="E273" s="102"/>
      <c r="F273" s="102"/>
      <c r="G273" s="102"/>
      <c r="H273" s="102"/>
      <c r="I273" s="102"/>
      <c r="J273" s="102"/>
      <c r="K273" s="102"/>
      <c r="L273" s="102"/>
      <c r="M273" s="102"/>
      <c r="N273" s="102"/>
      <c r="T273">
        <f t="shared" si="9"/>
        <v>0</v>
      </c>
      <c r="AB273">
        <v>0</v>
      </c>
      <c r="AC273">
        <v>0</v>
      </c>
      <c r="AD273">
        <v>0</v>
      </c>
      <c r="AE273">
        <v>0</v>
      </c>
    </row>
    <row r="274" spans="1:31">
      <c r="A274" t="s">
        <v>241</v>
      </c>
      <c r="B274" s="102"/>
      <c r="C274" s="102"/>
      <c r="D274" s="102"/>
      <c r="E274" s="102"/>
      <c r="F274" s="102"/>
      <c r="G274" s="102"/>
      <c r="H274" s="102"/>
      <c r="I274" s="102"/>
      <c r="J274" s="102"/>
      <c r="K274" s="102"/>
      <c r="L274" s="102"/>
      <c r="M274" s="102"/>
      <c r="N274" s="102"/>
      <c r="T274" t="str">
        <f t="shared" si="9"/>
        <v>Nisichawayasihk Cree Nation</v>
      </c>
      <c r="W274">
        <v>0</v>
      </c>
      <c r="X274">
        <v>13743</v>
      </c>
      <c r="Y274">
        <v>17917</v>
      </c>
      <c r="Z274">
        <v>6256</v>
      </c>
      <c r="AA274">
        <v>8528</v>
      </c>
      <c r="AB274">
        <v>685</v>
      </c>
      <c r="AC274">
        <v>1020</v>
      </c>
      <c r="AD274">
        <v>205</v>
      </c>
      <c r="AE274">
        <v>70</v>
      </c>
    </row>
    <row r="275" spans="1:31">
      <c r="A275" t="s">
        <v>397</v>
      </c>
      <c r="B275">
        <v>1635</v>
      </c>
      <c r="C275">
        <v>1635</v>
      </c>
      <c r="D275">
        <v>1.7</v>
      </c>
      <c r="E275">
        <v>42216</v>
      </c>
      <c r="F275">
        <v>14.5</v>
      </c>
      <c r="G275">
        <v>515</v>
      </c>
      <c r="H275">
        <v>115</v>
      </c>
      <c r="I275">
        <v>50</v>
      </c>
      <c r="J275">
        <v>72.8</v>
      </c>
      <c r="K275">
        <v>27.2</v>
      </c>
      <c r="L275">
        <v>67</v>
      </c>
      <c r="M275">
        <v>63</v>
      </c>
      <c r="N275">
        <v>5.9</v>
      </c>
      <c r="T275">
        <f t="shared" si="9"/>
        <v>0</v>
      </c>
      <c r="W275">
        <v>0</v>
      </c>
      <c r="X275">
        <v>23009</v>
      </c>
      <c r="Y275">
        <v>12396</v>
      </c>
      <c r="Z275">
        <v>21390</v>
      </c>
      <c r="AA275">
        <v>11319</v>
      </c>
      <c r="AB275">
        <v>500</v>
      </c>
      <c r="AC275">
        <v>950</v>
      </c>
      <c r="AD275">
        <v>280</v>
      </c>
      <c r="AE275">
        <v>175</v>
      </c>
    </row>
    <row r="276" spans="1:31">
      <c r="A276" t="s">
        <v>759</v>
      </c>
      <c r="T276">
        <f t="shared" si="9"/>
        <v>0</v>
      </c>
      <c r="W276">
        <v>0</v>
      </c>
      <c r="X276">
        <v>0</v>
      </c>
      <c r="Y276">
        <v>0</v>
      </c>
      <c r="Z276">
        <v>0</v>
      </c>
      <c r="AA276">
        <v>0</v>
      </c>
      <c r="AB276">
        <v>0</v>
      </c>
      <c r="AC276">
        <v>0</v>
      </c>
      <c r="AD276">
        <v>0</v>
      </c>
      <c r="AE276">
        <v>0</v>
      </c>
    </row>
    <row r="277" spans="1:31">
      <c r="A277" t="s">
        <v>760</v>
      </c>
      <c r="B277">
        <v>82795</v>
      </c>
      <c r="C277">
        <v>82460</v>
      </c>
      <c r="D277">
        <v>1.8</v>
      </c>
      <c r="E277">
        <v>44554</v>
      </c>
      <c r="F277">
        <v>18.2</v>
      </c>
      <c r="G277">
        <v>24225</v>
      </c>
      <c r="H277">
        <v>8000</v>
      </c>
      <c r="I277">
        <v>5915</v>
      </c>
      <c r="J277">
        <v>41.4</v>
      </c>
      <c r="K277">
        <v>30.2</v>
      </c>
      <c r="L277">
        <v>60.8</v>
      </c>
      <c r="M277">
        <v>50.8</v>
      </c>
      <c r="N277">
        <v>16.399999999999999</v>
      </c>
      <c r="T277">
        <f t="shared" si="9"/>
        <v>0</v>
      </c>
      <c r="AB277">
        <v>0</v>
      </c>
      <c r="AC277">
        <v>0</v>
      </c>
      <c r="AD277">
        <v>0</v>
      </c>
      <c r="AE277">
        <v>0</v>
      </c>
    </row>
    <row r="278" spans="1:31">
      <c r="A278" t="s">
        <v>485</v>
      </c>
      <c r="B278">
        <v>45930</v>
      </c>
      <c r="C278">
        <v>42545</v>
      </c>
      <c r="D278">
        <v>1.3</v>
      </c>
      <c r="E278">
        <v>45350</v>
      </c>
      <c r="F278">
        <v>11.5</v>
      </c>
      <c r="G278">
        <v>15575</v>
      </c>
      <c r="H278">
        <v>4945</v>
      </c>
      <c r="I278">
        <v>1995</v>
      </c>
      <c r="J278">
        <v>74.7</v>
      </c>
      <c r="K278">
        <v>21.2</v>
      </c>
      <c r="L278">
        <v>67.599999999999994</v>
      </c>
      <c r="M278">
        <v>63.8</v>
      </c>
      <c r="N278">
        <v>5.6</v>
      </c>
      <c r="T278">
        <f t="shared" si="9"/>
        <v>0</v>
      </c>
      <c r="AB278">
        <v>0</v>
      </c>
      <c r="AC278">
        <v>0</v>
      </c>
      <c r="AD278">
        <v>0</v>
      </c>
      <c r="AE278">
        <v>0</v>
      </c>
    </row>
    <row r="279" spans="1:31">
      <c r="A279" t="s">
        <v>637</v>
      </c>
      <c r="B279">
        <v>1900</v>
      </c>
      <c r="C279">
        <v>1595</v>
      </c>
      <c r="D279">
        <v>1.3</v>
      </c>
      <c r="E279">
        <v>48438</v>
      </c>
      <c r="F279">
        <v>9.4</v>
      </c>
      <c r="G279">
        <v>540</v>
      </c>
      <c r="H279">
        <v>285</v>
      </c>
      <c r="I279">
        <v>65</v>
      </c>
      <c r="J279">
        <v>85.2</v>
      </c>
      <c r="K279">
        <v>14.8</v>
      </c>
      <c r="L279">
        <v>83.6</v>
      </c>
      <c r="M279">
        <v>82.5</v>
      </c>
      <c r="N279">
        <v>1.3</v>
      </c>
      <c r="T279">
        <f t="shared" si="9"/>
        <v>0</v>
      </c>
      <c r="W279">
        <v>0</v>
      </c>
      <c r="X279">
        <v>24692</v>
      </c>
      <c r="Y279">
        <v>15423</v>
      </c>
      <c r="Z279">
        <v>24041</v>
      </c>
      <c r="AA279">
        <v>15051</v>
      </c>
      <c r="AB279">
        <v>535</v>
      </c>
      <c r="AC279">
        <v>1240</v>
      </c>
      <c r="AD279">
        <v>370</v>
      </c>
      <c r="AE279">
        <v>135</v>
      </c>
    </row>
    <row r="280" spans="1:31">
      <c r="A280" t="s">
        <v>761</v>
      </c>
      <c r="T280">
        <f t="shared" si="9"/>
        <v>0</v>
      </c>
      <c r="W280">
        <v>0</v>
      </c>
      <c r="X280">
        <v>0</v>
      </c>
      <c r="Y280">
        <v>0</v>
      </c>
      <c r="Z280">
        <v>0</v>
      </c>
      <c r="AA280">
        <v>0</v>
      </c>
      <c r="AB280">
        <v>0</v>
      </c>
      <c r="AC280">
        <v>0</v>
      </c>
      <c r="AD280">
        <v>0</v>
      </c>
      <c r="AE280">
        <v>0</v>
      </c>
    </row>
    <row r="281" spans="1:31">
      <c r="A281" t="s">
        <v>643</v>
      </c>
      <c r="B281">
        <v>3015</v>
      </c>
      <c r="C281">
        <v>2710</v>
      </c>
      <c r="D281">
        <v>1.5</v>
      </c>
      <c r="E281">
        <v>39366</v>
      </c>
      <c r="F281">
        <v>13.2</v>
      </c>
      <c r="G281">
        <v>920</v>
      </c>
      <c r="H281">
        <v>380</v>
      </c>
      <c r="I281">
        <v>115</v>
      </c>
      <c r="J281">
        <v>87</v>
      </c>
      <c r="K281">
        <v>13</v>
      </c>
      <c r="L281">
        <v>70.900000000000006</v>
      </c>
      <c r="M281">
        <v>68.8</v>
      </c>
      <c r="N281">
        <v>3.3</v>
      </c>
      <c r="T281">
        <f t="shared" si="9"/>
        <v>0</v>
      </c>
      <c r="W281">
        <v>0</v>
      </c>
      <c r="X281">
        <v>20663</v>
      </c>
      <c r="Y281">
        <v>11922</v>
      </c>
      <c r="Z281">
        <v>19304</v>
      </c>
      <c r="AA281">
        <v>10942</v>
      </c>
      <c r="AB281">
        <v>850</v>
      </c>
      <c r="AC281">
        <v>1825</v>
      </c>
      <c r="AD281">
        <v>580</v>
      </c>
      <c r="AE281">
        <v>340</v>
      </c>
    </row>
    <row r="282" spans="1:31">
      <c r="A282" t="s">
        <v>242</v>
      </c>
      <c r="B282">
        <v>615</v>
      </c>
      <c r="C282">
        <v>610</v>
      </c>
      <c r="D282">
        <v>3</v>
      </c>
      <c r="E282">
        <v>29507</v>
      </c>
      <c r="F282">
        <v>0</v>
      </c>
      <c r="G282">
        <v>125</v>
      </c>
      <c r="H282">
        <v>45</v>
      </c>
      <c r="I282">
        <v>45</v>
      </c>
      <c r="J282">
        <v>8</v>
      </c>
      <c r="K282">
        <v>0</v>
      </c>
      <c r="L282">
        <v>45.7</v>
      </c>
      <c r="M282">
        <v>31.4</v>
      </c>
      <c r="N282">
        <v>34.4</v>
      </c>
      <c r="T282" t="str">
        <f t="shared" si="9"/>
        <v>Northlands First Nation</v>
      </c>
      <c r="W282">
        <v>0</v>
      </c>
      <c r="X282">
        <v>13598</v>
      </c>
      <c r="Y282">
        <v>13537</v>
      </c>
      <c r="Z282">
        <v>8480</v>
      </c>
      <c r="AA282">
        <v>8016</v>
      </c>
      <c r="AB282">
        <v>265</v>
      </c>
      <c r="AC282">
        <v>330</v>
      </c>
      <c r="AD282">
        <v>60</v>
      </c>
      <c r="AE282">
        <v>30</v>
      </c>
    </row>
    <row r="283" spans="1:31">
      <c r="A283" t="s">
        <v>398</v>
      </c>
      <c r="B283">
        <v>575</v>
      </c>
      <c r="C283" s="102"/>
      <c r="D283" s="102"/>
      <c r="E283" s="102"/>
      <c r="F283" s="102"/>
      <c r="G283" s="102"/>
      <c r="H283" s="102"/>
      <c r="I283" s="102"/>
      <c r="J283" s="102"/>
      <c r="K283" s="102"/>
      <c r="L283" s="102"/>
      <c r="M283" s="102"/>
      <c r="N283" s="102"/>
      <c r="T283">
        <f t="shared" si="9"/>
        <v>0</v>
      </c>
      <c r="AB283">
        <v>0</v>
      </c>
      <c r="AC283">
        <v>0</v>
      </c>
      <c r="AD283">
        <v>0</v>
      </c>
      <c r="AE283">
        <v>0</v>
      </c>
    </row>
    <row r="284" spans="1:31">
      <c r="A284" t="s">
        <v>243</v>
      </c>
      <c r="B284">
        <f>1635+1760</f>
        <v>3395</v>
      </c>
      <c r="C284">
        <f>1640+1760</f>
        <v>3400</v>
      </c>
      <c r="D284">
        <f>SUM(2.2+2.3)/2</f>
        <v>2.25</v>
      </c>
      <c r="E284">
        <f>(30213+27295)/2</f>
        <v>28754</v>
      </c>
      <c r="F284">
        <v>0</v>
      </c>
      <c r="G284">
        <f>355+365</f>
        <v>720</v>
      </c>
      <c r="H284">
        <f>130+100</f>
        <v>230</v>
      </c>
      <c r="I284">
        <f>90+180</f>
        <v>270</v>
      </c>
      <c r="J284">
        <f>2.8+6.8</f>
        <v>9.6</v>
      </c>
      <c r="K284">
        <f>2.8+19.2</f>
        <v>22</v>
      </c>
      <c r="L284">
        <f>(52.3+43.5)/2</f>
        <v>47.9</v>
      </c>
      <c r="M284">
        <f>(35.2+23.8)/2</f>
        <v>29.5</v>
      </c>
      <c r="N284">
        <f>(31.7+46.2)/2</f>
        <v>38.950000000000003</v>
      </c>
      <c r="T284" t="str">
        <f t="shared" si="9"/>
        <v>Norway House Cree Nation</v>
      </c>
      <c r="W284">
        <v>0</v>
      </c>
      <c r="X284">
        <v>15678</v>
      </c>
      <c r="Y284">
        <v>13160</v>
      </c>
      <c r="Z284">
        <v>10400</v>
      </c>
      <c r="AA284">
        <v>7920</v>
      </c>
      <c r="AB284">
        <v>650</v>
      </c>
      <c r="AC284">
        <v>930</v>
      </c>
      <c r="AD284">
        <v>185</v>
      </c>
      <c r="AE284">
        <v>65</v>
      </c>
    </row>
    <row r="285" spans="1:31">
      <c r="A285" t="s">
        <v>641</v>
      </c>
      <c r="B285">
        <v>555</v>
      </c>
      <c r="C285">
        <v>555</v>
      </c>
      <c r="D285">
        <v>1.2</v>
      </c>
      <c r="E285">
        <v>41834</v>
      </c>
      <c r="F285">
        <v>8.9</v>
      </c>
      <c r="G285">
        <v>220</v>
      </c>
      <c r="H285">
        <v>30</v>
      </c>
      <c r="I285">
        <v>35</v>
      </c>
      <c r="J285">
        <v>86.4</v>
      </c>
      <c r="K285">
        <v>13.6</v>
      </c>
      <c r="L285">
        <v>48.8</v>
      </c>
      <c r="M285">
        <v>48.8</v>
      </c>
      <c r="N285">
        <v>0</v>
      </c>
      <c r="T285">
        <f t="shared" si="9"/>
        <v>0</v>
      </c>
      <c r="W285">
        <v>0</v>
      </c>
      <c r="X285">
        <v>24320</v>
      </c>
      <c r="Y285">
        <v>16162</v>
      </c>
      <c r="Z285">
        <v>22802</v>
      </c>
      <c r="AA285">
        <v>10939</v>
      </c>
      <c r="AB285">
        <v>130</v>
      </c>
      <c r="AC285">
        <v>275</v>
      </c>
      <c r="AD285">
        <v>80</v>
      </c>
      <c r="AE285">
        <v>130</v>
      </c>
    </row>
    <row r="286" spans="1:31">
      <c r="A286" t="s">
        <v>401</v>
      </c>
      <c r="B286">
        <v>370</v>
      </c>
      <c r="C286">
        <v>370</v>
      </c>
      <c r="D286">
        <v>1.2</v>
      </c>
      <c r="E286">
        <v>29860</v>
      </c>
      <c r="F286">
        <v>29.3</v>
      </c>
      <c r="G286">
        <v>165</v>
      </c>
      <c r="H286">
        <v>40</v>
      </c>
      <c r="I286">
        <v>25</v>
      </c>
      <c r="J286">
        <v>78.8</v>
      </c>
      <c r="K286">
        <v>18.2</v>
      </c>
      <c r="L286">
        <v>52.6</v>
      </c>
      <c r="M286">
        <v>52.6</v>
      </c>
      <c r="N286">
        <v>6.7</v>
      </c>
      <c r="T286">
        <f t="shared" si="9"/>
        <v>0</v>
      </c>
      <c r="W286">
        <v>0</v>
      </c>
      <c r="X286">
        <v>14979</v>
      </c>
      <c r="Y286">
        <v>10139</v>
      </c>
      <c r="Z286">
        <v>17239</v>
      </c>
      <c r="AA286">
        <v>10980</v>
      </c>
      <c r="AB286">
        <v>75</v>
      </c>
      <c r="AC286">
        <v>200</v>
      </c>
      <c r="AD286">
        <v>60</v>
      </c>
      <c r="AE286">
        <v>75</v>
      </c>
    </row>
    <row r="287" spans="1:31">
      <c r="A287" t="s">
        <v>633</v>
      </c>
      <c r="B287">
        <v>1085</v>
      </c>
      <c r="C287">
        <v>1005</v>
      </c>
      <c r="D287">
        <v>1.3</v>
      </c>
      <c r="E287">
        <v>48004</v>
      </c>
      <c r="F287">
        <v>9.6</v>
      </c>
      <c r="G287">
        <v>350</v>
      </c>
      <c r="H287">
        <v>155</v>
      </c>
      <c r="I287">
        <v>25</v>
      </c>
      <c r="J287">
        <v>85.7</v>
      </c>
      <c r="K287">
        <v>15.7</v>
      </c>
      <c r="L287">
        <v>76.400000000000006</v>
      </c>
      <c r="M287">
        <v>73.3</v>
      </c>
      <c r="N287">
        <v>4.0999999999999996</v>
      </c>
      <c r="T287">
        <f t="shared" si="9"/>
        <v>0</v>
      </c>
      <c r="W287">
        <v>0</v>
      </c>
      <c r="X287">
        <v>21630</v>
      </c>
      <c r="Y287">
        <v>16790</v>
      </c>
      <c r="Z287">
        <v>19381</v>
      </c>
      <c r="AA287">
        <v>13868</v>
      </c>
      <c r="AB287">
        <v>275</v>
      </c>
      <c r="AC287">
        <v>690</v>
      </c>
      <c r="AD287">
        <v>160</v>
      </c>
      <c r="AE287">
        <v>90</v>
      </c>
    </row>
    <row r="288" spans="1:31">
      <c r="A288" t="s">
        <v>843</v>
      </c>
      <c r="B288">
        <v>315</v>
      </c>
      <c r="C288">
        <v>320</v>
      </c>
      <c r="D288">
        <v>1.7</v>
      </c>
      <c r="E288">
        <v>22790</v>
      </c>
      <c r="F288">
        <v>0</v>
      </c>
      <c r="G288">
        <v>80</v>
      </c>
      <c r="H288">
        <v>25</v>
      </c>
      <c r="I288">
        <v>25</v>
      </c>
      <c r="J288">
        <v>0</v>
      </c>
      <c r="K288">
        <v>12.5</v>
      </c>
      <c r="L288">
        <v>66.7</v>
      </c>
      <c r="M288">
        <v>56.4</v>
      </c>
      <c r="N288">
        <v>19.2</v>
      </c>
      <c r="T288" t="str">
        <f t="shared" si="9"/>
        <v>OChiChakKoSipi First Nation</v>
      </c>
      <c r="W288">
        <v>0</v>
      </c>
      <c r="X288">
        <v>12100</v>
      </c>
      <c r="Y288">
        <v>11602</v>
      </c>
      <c r="Z288">
        <v>7152</v>
      </c>
      <c r="AA288">
        <v>4816</v>
      </c>
      <c r="AB288">
        <v>115</v>
      </c>
      <c r="AC288">
        <v>195</v>
      </c>
      <c r="AD288">
        <v>55</v>
      </c>
      <c r="AE288">
        <v>20</v>
      </c>
    </row>
    <row r="289" spans="1:31">
      <c r="A289" t="s">
        <v>682</v>
      </c>
      <c r="B289">
        <v>980</v>
      </c>
      <c r="C289">
        <v>980</v>
      </c>
      <c r="D289">
        <v>1</v>
      </c>
      <c r="E289">
        <v>37990</v>
      </c>
      <c r="F289">
        <v>15.9</v>
      </c>
      <c r="G289">
        <v>405</v>
      </c>
      <c r="H289">
        <v>180</v>
      </c>
      <c r="I289">
        <v>60</v>
      </c>
      <c r="J289">
        <v>88.9</v>
      </c>
      <c r="K289">
        <v>9.9</v>
      </c>
      <c r="L289">
        <v>70.7</v>
      </c>
      <c r="M289">
        <v>66.900000000000006</v>
      </c>
      <c r="N289">
        <v>5.4</v>
      </c>
      <c r="T289">
        <f t="shared" si="9"/>
        <v>0</v>
      </c>
      <c r="W289">
        <v>0</v>
      </c>
      <c r="X289">
        <v>17967</v>
      </c>
      <c r="Y289">
        <v>15866</v>
      </c>
      <c r="Z289">
        <v>16317</v>
      </c>
      <c r="AA289">
        <v>11885</v>
      </c>
      <c r="AB289">
        <v>180</v>
      </c>
      <c r="AC289">
        <v>635</v>
      </c>
      <c r="AD289">
        <v>275</v>
      </c>
      <c r="AE289">
        <v>140</v>
      </c>
    </row>
    <row r="290" spans="1:31">
      <c r="A290" t="s">
        <v>664</v>
      </c>
      <c r="B290">
        <v>520</v>
      </c>
      <c r="C290">
        <v>450</v>
      </c>
      <c r="D290">
        <v>1</v>
      </c>
      <c r="E290">
        <v>43337</v>
      </c>
      <c r="F290">
        <v>8.4</v>
      </c>
      <c r="G290">
        <v>165</v>
      </c>
      <c r="H290">
        <v>85</v>
      </c>
      <c r="I290">
        <v>15</v>
      </c>
      <c r="J290">
        <v>93.9</v>
      </c>
      <c r="K290">
        <v>6.1</v>
      </c>
      <c r="L290">
        <v>84</v>
      </c>
      <c r="M290">
        <v>80.2</v>
      </c>
      <c r="N290">
        <v>4.4000000000000004</v>
      </c>
      <c r="T290">
        <f t="shared" si="9"/>
        <v>0</v>
      </c>
      <c r="W290">
        <v>0</v>
      </c>
      <c r="X290">
        <v>18373</v>
      </c>
      <c r="Y290">
        <v>15430</v>
      </c>
      <c r="Z290">
        <v>14252</v>
      </c>
      <c r="AA290">
        <v>13334</v>
      </c>
      <c r="AB290">
        <v>115</v>
      </c>
      <c r="AC290">
        <v>355</v>
      </c>
      <c r="AD290">
        <v>150</v>
      </c>
      <c r="AE290">
        <v>60</v>
      </c>
    </row>
    <row r="291" spans="1:31">
      <c r="A291" t="s">
        <v>245</v>
      </c>
      <c r="B291">
        <f>SUM(B292:B296)</f>
        <v>1995</v>
      </c>
      <c r="C291">
        <f>SUM(C292:C296)</f>
        <v>1995</v>
      </c>
      <c r="D291" s="116">
        <f>(D292*$B292+D293*$B293+D294*$B294+D295*$B295+D296*$B296)/$B291</f>
        <v>1.1929824561403508</v>
      </c>
      <c r="E291" s="117">
        <f>(E292*$B292+E293*$B293+E294*$B294+E295*$B295+E296*$B296)/$B291</f>
        <v>56584.473684210527</v>
      </c>
      <c r="F291" s="116">
        <f>(F292*$B292+F293*$B293+F294*$B294+F295*$B295+F296*$B296)/$B291</f>
        <v>8.1824561403508778</v>
      </c>
      <c r="G291">
        <f>SUM(G292:G296)</f>
        <v>795</v>
      </c>
      <c r="H291">
        <f>SUM(H292:H296)</f>
        <v>295</v>
      </c>
      <c r="I291">
        <f>SUM(I292:I296)</f>
        <v>70</v>
      </c>
      <c r="J291" s="116">
        <f>(J292*$B292+J293*$B293+J294*$B294+J295*$B295+J296*$B296)/$B291</f>
        <v>64.294736842105266</v>
      </c>
      <c r="K291" s="116">
        <f>(K292*$B292+K293*$B293+K294*$B294+K295*$B295+K296*$B296)/$B291</f>
        <v>35.705263157894734</v>
      </c>
      <c r="L291" s="116">
        <f>(L292*$B292+L293*$B293+L294*$B294+L295*$B295+L296*$B296)/$B291</f>
        <v>69.178947368421049</v>
      </c>
      <c r="M291" s="116">
        <f>(M292*$B292+M293*$B293+M294*$B294+M295*$B295+M296*$B296)/$B291</f>
        <v>64.771929824561397</v>
      </c>
      <c r="N291" s="116">
        <f>(N292*$B292+N293*$B293+N294*$B294+N295*$B295+N296*$B296)/$B291</f>
        <v>6.8614035087719296</v>
      </c>
      <c r="T291" t="str">
        <f t="shared" si="9"/>
        <v>Opaskwayak Cree Nation</v>
      </c>
      <c r="W291">
        <v>0</v>
      </c>
      <c r="X291">
        <v>2514.3157894736842</v>
      </c>
      <c r="Y291">
        <v>1465.6140350877192</v>
      </c>
      <c r="Z291">
        <v>2066.3157894736842</v>
      </c>
      <c r="AA291">
        <v>1125.8245614035088</v>
      </c>
      <c r="AB291">
        <v>415</v>
      </c>
      <c r="AC291">
        <v>1350</v>
      </c>
      <c r="AD291">
        <v>470</v>
      </c>
      <c r="AE291">
        <v>185</v>
      </c>
    </row>
    <row r="292" spans="1:31">
      <c r="A292" t="s">
        <v>701</v>
      </c>
      <c r="B292">
        <v>1855</v>
      </c>
      <c r="C292">
        <v>1855</v>
      </c>
      <c r="D292">
        <v>1.2</v>
      </c>
      <c r="E292">
        <v>60855</v>
      </c>
      <c r="F292">
        <v>8.8000000000000007</v>
      </c>
      <c r="G292">
        <v>755</v>
      </c>
      <c r="H292">
        <v>280</v>
      </c>
      <c r="I292">
        <v>60</v>
      </c>
      <c r="J292">
        <v>61.6</v>
      </c>
      <c r="K292">
        <v>38.4</v>
      </c>
      <c r="L292">
        <v>69.599999999999994</v>
      </c>
      <c r="M292">
        <v>65.2</v>
      </c>
      <c r="N292">
        <v>6.3</v>
      </c>
      <c r="T292">
        <f t="shared" si="9"/>
        <v>0</v>
      </c>
      <c r="W292">
        <v>0</v>
      </c>
      <c r="X292">
        <v>0</v>
      </c>
      <c r="Y292">
        <v>0</v>
      </c>
      <c r="Z292">
        <v>0</v>
      </c>
      <c r="AA292">
        <v>0</v>
      </c>
      <c r="AB292">
        <v>0</v>
      </c>
      <c r="AC292">
        <v>0</v>
      </c>
      <c r="AD292">
        <v>0</v>
      </c>
      <c r="AE292">
        <v>0</v>
      </c>
    </row>
    <row r="293" spans="1:31">
      <c r="A293" t="s">
        <v>769</v>
      </c>
      <c r="B293">
        <v>140</v>
      </c>
      <c r="C293">
        <v>140</v>
      </c>
      <c r="D293">
        <v>1.1000000000000001</v>
      </c>
      <c r="E293">
        <v>0</v>
      </c>
      <c r="F293">
        <v>0</v>
      </c>
      <c r="G293">
        <v>40</v>
      </c>
      <c r="H293">
        <v>15</v>
      </c>
      <c r="I293">
        <v>10</v>
      </c>
      <c r="J293">
        <v>100</v>
      </c>
      <c r="K293">
        <v>0</v>
      </c>
      <c r="L293">
        <v>63.6</v>
      </c>
      <c r="M293">
        <v>59.1</v>
      </c>
      <c r="N293">
        <v>14.3</v>
      </c>
      <c r="T293">
        <f t="shared" si="9"/>
        <v>0</v>
      </c>
      <c r="W293">
        <v>0</v>
      </c>
      <c r="X293">
        <v>35829</v>
      </c>
      <c r="Y293">
        <v>20885</v>
      </c>
      <c r="Z293">
        <v>29445</v>
      </c>
      <c r="AA293">
        <v>16043</v>
      </c>
      <c r="AB293">
        <v>375</v>
      </c>
      <c r="AC293">
        <v>1280</v>
      </c>
      <c r="AD293">
        <v>430</v>
      </c>
      <c r="AE293">
        <v>185</v>
      </c>
    </row>
    <row r="294" spans="1:31">
      <c r="A294" s="103" t="s">
        <v>770</v>
      </c>
      <c r="W294">
        <v>0</v>
      </c>
      <c r="X294">
        <v>0</v>
      </c>
      <c r="Y294">
        <v>0</v>
      </c>
      <c r="Z294">
        <v>0</v>
      </c>
      <c r="AA294">
        <v>0</v>
      </c>
      <c r="AB294">
        <v>0</v>
      </c>
      <c r="AC294">
        <v>0</v>
      </c>
      <c r="AD294">
        <v>0</v>
      </c>
      <c r="AE294">
        <v>0</v>
      </c>
    </row>
    <row r="295" spans="1:31">
      <c r="A295" s="103" t="s">
        <v>801</v>
      </c>
      <c r="W295">
        <v>0</v>
      </c>
      <c r="X295">
        <v>0</v>
      </c>
      <c r="Y295">
        <v>0</v>
      </c>
      <c r="Z295">
        <v>0</v>
      </c>
      <c r="AA295">
        <v>0</v>
      </c>
      <c r="AB295">
        <v>0</v>
      </c>
      <c r="AC295">
        <v>0</v>
      </c>
      <c r="AD295">
        <v>0</v>
      </c>
      <c r="AE295">
        <v>0</v>
      </c>
    </row>
    <row r="296" spans="1:31">
      <c r="A296" s="103" t="s">
        <v>702</v>
      </c>
      <c r="W296">
        <v>0</v>
      </c>
      <c r="X296">
        <v>0</v>
      </c>
      <c r="Y296">
        <v>0</v>
      </c>
      <c r="Z296">
        <v>0</v>
      </c>
      <c r="AA296">
        <v>0</v>
      </c>
      <c r="AB296">
        <v>40</v>
      </c>
      <c r="AC296">
        <v>70</v>
      </c>
      <c r="AD296">
        <v>40</v>
      </c>
      <c r="AE296">
        <v>0</v>
      </c>
    </row>
    <row r="297" spans="1:31">
      <c r="A297" t="s">
        <v>844</v>
      </c>
      <c r="B297">
        <v>880</v>
      </c>
      <c r="C297">
        <v>875</v>
      </c>
      <c r="D297">
        <v>2.8</v>
      </c>
      <c r="E297">
        <v>28555</v>
      </c>
      <c r="F297">
        <v>0</v>
      </c>
      <c r="G297">
        <v>155</v>
      </c>
      <c r="H297">
        <v>55</v>
      </c>
      <c r="I297">
        <v>70</v>
      </c>
      <c r="J297">
        <v>51.6</v>
      </c>
      <c r="K297">
        <v>51.6</v>
      </c>
      <c r="L297">
        <v>41.2</v>
      </c>
      <c r="M297">
        <v>29.4</v>
      </c>
      <c r="N297">
        <v>28.6</v>
      </c>
      <c r="T297" t="str">
        <f t="shared" si="9"/>
        <v>OPiponNaPiwin</v>
      </c>
      <c r="W297">
        <v>0</v>
      </c>
      <c r="X297">
        <v>10742</v>
      </c>
      <c r="Y297">
        <v>14188</v>
      </c>
      <c r="Z297">
        <v>8992</v>
      </c>
      <c r="AA297">
        <v>5152</v>
      </c>
      <c r="AB297">
        <v>365</v>
      </c>
      <c r="AC297">
        <v>480</v>
      </c>
      <c r="AD297">
        <v>80</v>
      </c>
      <c r="AE297">
        <v>30</v>
      </c>
    </row>
    <row r="298" spans="1:31">
      <c r="A298" t="s">
        <v>680</v>
      </c>
      <c r="B298">
        <v>400</v>
      </c>
      <c r="C298">
        <v>400</v>
      </c>
      <c r="D298">
        <v>1.2</v>
      </c>
      <c r="E298">
        <v>31284</v>
      </c>
      <c r="F298">
        <v>22.2</v>
      </c>
      <c r="G298">
        <v>145</v>
      </c>
      <c r="H298">
        <v>45</v>
      </c>
      <c r="I298">
        <v>35</v>
      </c>
      <c r="J298">
        <v>82.8</v>
      </c>
      <c r="K298">
        <v>20.7</v>
      </c>
      <c r="L298">
        <v>68.8</v>
      </c>
      <c r="M298">
        <v>51.6</v>
      </c>
      <c r="N298">
        <v>25</v>
      </c>
      <c r="T298">
        <f t="shared" si="9"/>
        <v>0</v>
      </c>
      <c r="W298">
        <v>0</v>
      </c>
      <c r="X298">
        <v>11537</v>
      </c>
      <c r="Y298">
        <v>11407</v>
      </c>
      <c r="Z298">
        <v>14503</v>
      </c>
      <c r="AA298">
        <v>8587</v>
      </c>
      <c r="AB298">
        <v>80</v>
      </c>
      <c r="AC298">
        <v>250</v>
      </c>
      <c r="AD298">
        <v>110</v>
      </c>
      <c r="AE298">
        <v>50</v>
      </c>
    </row>
    <row r="299" spans="1:31">
      <c r="A299" t="s">
        <v>675</v>
      </c>
      <c r="B299">
        <v>955</v>
      </c>
      <c r="C299">
        <v>955</v>
      </c>
      <c r="D299">
        <v>0.9</v>
      </c>
      <c r="E299">
        <v>41245</v>
      </c>
      <c r="F299">
        <v>12.7</v>
      </c>
      <c r="G299">
        <v>390</v>
      </c>
      <c r="H299">
        <v>165</v>
      </c>
      <c r="I299">
        <v>35</v>
      </c>
      <c r="J299">
        <v>84.6</v>
      </c>
      <c r="K299">
        <v>14.1</v>
      </c>
      <c r="L299">
        <v>71.2</v>
      </c>
      <c r="M299">
        <v>67.3</v>
      </c>
      <c r="N299">
        <v>5.4</v>
      </c>
      <c r="T299">
        <f t="shared" si="9"/>
        <v>0</v>
      </c>
      <c r="W299">
        <v>0</v>
      </c>
      <c r="X299">
        <v>22696</v>
      </c>
      <c r="Y299">
        <v>17947</v>
      </c>
      <c r="Z299">
        <v>16850</v>
      </c>
      <c r="AA299">
        <v>12012</v>
      </c>
      <c r="AB299">
        <v>170</v>
      </c>
      <c r="AC299">
        <v>600</v>
      </c>
      <c r="AD299">
        <v>300</v>
      </c>
      <c r="AE299">
        <v>165</v>
      </c>
    </row>
    <row r="300" spans="1:31">
      <c r="A300" t="s">
        <v>762</v>
      </c>
      <c r="T300">
        <f t="shared" si="9"/>
        <v>0</v>
      </c>
      <c r="W300">
        <v>0</v>
      </c>
      <c r="X300">
        <v>0</v>
      </c>
      <c r="Y300">
        <v>0</v>
      </c>
      <c r="Z300">
        <v>0</v>
      </c>
      <c r="AA300">
        <v>0</v>
      </c>
      <c r="AB300">
        <v>0</v>
      </c>
      <c r="AC300">
        <v>0</v>
      </c>
      <c r="AD300">
        <v>0</v>
      </c>
      <c r="AE300">
        <v>0</v>
      </c>
    </row>
    <row r="301" spans="1:31">
      <c r="A301" t="s">
        <v>763</v>
      </c>
      <c r="B301">
        <v>45490</v>
      </c>
      <c r="C301">
        <v>45340</v>
      </c>
      <c r="D301">
        <v>1.1000000000000001</v>
      </c>
      <c r="E301">
        <v>39795</v>
      </c>
      <c r="F301">
        <v>15.1</v>
      </c>
      <c r="G301">
        <v>18515</v>
      </c>
      <c r="H301">
        <v>6245</v>
      </c>
      <c r="I301">
        <v>2610</v>
      </c>
      <c r="J301">
        <v>75.7</v>
      </c>
      <c r="K301">
        <v>21.5</v>
      </c>
      <c r="L301">
        <v>61.2</v>
      </c>
      <c r="M301">
        <v>56.8</v>
      </c>
      <c r="N301">
        <v>7.1</v>
      </c>
      <c r="T301">
        <f t="shared" si="9"/>
        <v>0</v>
      </c>
      <c r="AB301">
        <v>0</v>
      </c>
      <c r="AC301">
        <v>0</v>
      </c>
      <c r="AD301">
        <v>0</v>
      </c>
      <c r="AE301">
        <v>0</v>
      </c>
    </row>
    <row r="302" spans="1:31">
      <c r="A302" t="s">
        <v>246</v>
      </c>
      <c r="B302">
        <v>350</v>
      </c>
      <c r="C302">
        <v>350</v>
      </c>
      <c r="D302">
        <v>1.7</v>
      </c>
      <c r="E302">
        <v>18518</v>
      </c>
      <c r="F302">
        <v>0</v>
      </c>
      <c r="G302">
        <v>75</v>
      </c>
      <c r="H302">
        <v>30</v>
      </c>
      <c r="I302">
        <v>30</v>
      </c>
      <c r="J302">
        <v>13.3</v>
      </c>
      <c r="K302">
        <v>0</v>
      </c>
      <c r="L302">
        <v>33.299999999999997</v>
      </c>
      <c r="M302">
        <v>23.8</v>
      </c>
      <c r="N302">
        <v>14.3</v>
      </c>
      <c r="T302" t="str">
        <f t="shared" si="9"/>
        <v>Pauingassi First Nation</v>
      </c>
      <c r="W302">
        <v>0</v>
      </c>
      <c r="X302">
        <v>11004</v>
      </c>
      <c r="Y302">
        <v>17268</v>
      </c>
      <c r="Z302">
        <v>7408</v>
      </c>
      <c r="AA302">
        <v>3318</v>
      </c>
      <c r="AB302">
        <v>135</v>
      </c>
      <c r="AC302">
        <v>190</v>
      </c>
      <c r="AD302">
        <v>50</v>
      </c>
      <c r="AE302">
        <v>20</v>
      </c>
    </row>
    <row r="303" spans="1:31">
      <c r="A303" t="s">
        <v>247</v>
      </c>
      <c r="B303">
        <v>2075</v>
      </c>
      <c r="C303">
        <v>2060</v>
      </c>
      <c r="D303">
        <v>1.8</v>
      </c>
      <c r="E303">
        <v>24840</v>
      </c>
      <c r="F303">
        <v>0</v>
      </c>
      <c r="G303">
        <v>610</v>
      </c>
      <c r="H303">
        <v>165</v>
      </c>
      <c r="I303">
        <v>220</v>
      </c>
      <c r="J303">
        <v>9</v>
      </c>
      <c r="K303">
        <v>3.3</v>
      </c>
      <c r="L303">
        <v>61.6</v>
      </c>
      <c r="M303">
        <v>50.4</v>
      </c>
      <c r="N303">
        <v>18.2</v>
      </c>
      <c r="T303" t="str">
        <f t="shared" si="9"/>
        <v>Peguis First Nation</v>
      </c>
      <c r="W303">
        <v>0</v>
      </c>
      <c r="X303">
        <v>16338</v>
      </c>
      <c r="Y303">
        <v>14880</v>
      </c>
      <c r="Z303">
        <v>7648</v>
      </c>
      <c r="AA303">
        <v>7168</v>
      </c>
      <c r="AB303">
        <v>735</v>
      </c>
      <c r="AC303">
        <v>1230</v>
      </c>
      <c r="AD303">
        <v>295</v>
      </c>
      <c r="AE303">
        <v>110</v>
      </c>
    </row>
    <row r="304" spans="1:31">
      <c r="A304" t="s">
        <v>248</v>
      </c>
      <c r="B304">
        <v>176</v>
      </c>
      <c r="C304" s="102"/>
      <c r="D304" s="102"/>
      <c r="E304" s="102"/>
      <c r="F304" s="102"/>
      <c r="G304" s="102"/>
      <c r="H304" s="102"/>
      <c r="I304" s="102"/>
      <c r="J304" s="102"/>
      <c r="K304" s="102"/>
      <c r="L304" s="102"/>
      <c r="M304" s="102"/>
      <c r="N304" s="102"/>
      <c r="T304">
        <f t="shared" si="9"/>
        <v>0</v>
      </c>
      <c r="AB304">
        <v>0</v>
      </c>
      <c r="AC304">
        <v>0</v>
      </c>
      <c r="AD304">
        <v>0</v>
      </c>
      <c r="AE304">
        <v>0</v>
      </c>
    </row>
    <row r="305" spans="1:31">
      <c r="A305" t="s">
        <v>616</v>
      </c>
      <c r="B305">
        <v>1810</v>
      </c>
      <c r="C305">
        <v>1620</v>
      </c>
      <c r="D305">
        <v>1.1000000000000001</v>
      </c>
      <c r="E305">
        <v>39659</v>
      </c>
      <c r="F305">
        <v>12.1</v>
      </c>
      <c r="G305">
        <v>615</v>
      </c>
      <c r="H305">
        <v>195</v>
      </c>
      <c r="I305">
        <v>85</v>
      </c>
      <c r="J305">
        <v>86.2</v>
      </c>
      <c r="K305">
        <v>13.8</v>
      </c>
      <c r="L305">
        <v>74.400000000000006</v>
      </c>
      <c r="M305">
        <v>70.900000000000006</v>
      </c>
      <c r="N305">
        <v>4.7</v>
      </c>
      <c r="T305">
        <f>IFERROR(VLOOKUP(A305,$U$12:$U$74,1,0),0)</f>
        <v>0</v>
      </c>
      <c r="W305">
        <v>0</v>
      </c>
      <c r="X305">
        <v>16395</v>
      </c>
      <c r="Y305">
        <v>9888</v>
      </c>
      <c r="Z305">
        <v>16434</v>
      </c>
      <c r="AA305">
        <v>10863</v>
      </c>
      <c r="AB305">
        <v>365</v>
      </c>
      <c r="AC305">
        <v>1190</v>
      </c>
      <c r="AD305">
        <v>415</v>
      </c>
      <c r="AE305">
        <v>250</v>
      </c>
    </row>
    <row r="306" spans="1:31">
      <c r="A306" t="s">
        <v>407</v>
      </c>
      <c r="B306">
        <v>140</v>
      </c>
      <c r="C306" s="102"/>
      <c r="D306" s="102"/>
      <c r="E306" s="102"/>
      <c r="F306" s="102"/>
      <c r="G306" s="102"/>
      <c r="H306" s="102"/>
      <c r="I306" s="102"/>
      <c r="J306" s="102"/>
      <c r="K306" s="102"/>
      <c r="L306" s="102"/>
      <c r="M306" s="102"/>
      <c r="N306" s="102"/>
      <c r="T306">
        <f>IFERROR(VLOOKUP(A306,$U$12:$U$74,1,0),0)</f>
        <v>0</v>
      </c>
      <c r="AB306">
        <v>0</v>
      </c>
      <c r="AC306">
        <v>0</v>
      </c>
      <c r="AD306">
        <v>0</v>
      </c>
      <c r="AE306">
        <v>0</v>
      </c>
    </row>
    <row r="307" spans="1:31">
      <c r="A307" t="s">
        <v>408</v>
      </c>
      <c r="B307">
        <v>665</v>
      </c>
      <c r="C307">
        <v>665</v>
      </c>
      <c r="D307">
        <v>1.1000000000000001</v>
      </c>
      <c r="E307">
        <v>40606</v>
      </c>
      <c r="F307">
        <v>4.4000000000000004</v>
      </c>
      <c r="G307">
        <v>320</v>
      </c>
      <c r="H307">
        <v>60</v>
      </c>
      <c r="I307">
        <v>25</v>
      </c>
      <c r="J307">
        <v>60.9</v>
      </c>
      <c r="K307">
        <v>39.1</v>
      </c>
      <c r="L307">
        <v>47.7</v>
      </c>
      <c r="M307">
        <v>45.8</v>
      </c>
      <c r="N307">
        <v>3.9</v>
      </c>
      <c r="T307">
        <f t="shared" si="9"/>
        <v>0</v>
      </c>
      <c r="W307">
        <v>0</v>
      </c>
      <c r="X307">
        <v>24662</v>
      </c>
      <c r="Y307">
        <v>18734</v>
      </c>
      <c r="Z307">
        <v>17744</v>
      </c>
      <c r="AA307">
        <v>14476</v>
      </c>
      <c r="AB307">
        <v>130</v>
      </c>
      <c r="AC307">
        <v>295</v>
      </c>
      <c r="AD307">
        <v>85</v>
      </c>
      <c r="AE307">
        <v>230</v>
      </c>
    </row>
    <row r="308" spans="1:31">
      <c r="A308" t="s">
        <v>409</v>
      </c>
      <c r="B308">
        <v>1670</v>
      </c>
      <c r="C308">
        <v>1630</v>
      </c>
      <c r="D308">
        <v>1</v>
      </c>
      <c r="E308">
        <v>67170</v>
      </c>
      <c r="F308">
        <v>2.9</v>
      </c>
      <c r="G308">
        <v>600</v>
      </c>
      <c r="H308">
        <v>160</v>
      </c>
      <c r="I308">
        <v>35</v>
      </c>
      <c r="J308">
        <v>87.5</v>
      </c>
      <c r="K308">
        <v>11.7</v>
      </c>
      <c r="L308">
        <v>70.3</v>
      </c>
      <c r="M308">
        <v>66.8</v>
      </c>
      <c r="N308">
        <v>4.4000000000000004</v>
      </c>
      <c r="T308">
        <f t="shared" si="9"/>
        <v>0</v>
      </c>
      <c r="W308">
        <v>0</v>
      </c>
      <c r="X308">
        <v>45007</v>
      </c>
      <c r="Y308">
        <v>17442</v>
      </c>
      <c r="Z308">
        <v>48159</v>
      </c>
      <c r="AA308">
        <v>11964</v>
      </c>
      <c r="AB308">
        <v>360</v>
      </c>
      <c r="AC308">
        <v>1180</v>
      </c>
      <c r="AD308">
        <v>565</v>
      </c>
      <c r="AE308">
        <v>110</v>
      </c>
    </row>
    <row r="309" spans="1:31">
      <c r="A309" t="s">
        <v>249</v>
      </c>
      <c r="B309">
        <v>830</v>
      </c>
      <c r="C309">
        <v>830</v>
      </c>
      <c r="D309">
        <v>2.2000000000000002</v>
      </c>
      <c r="E309">
        <v>23748</v>
      </c>
      <c r="F309">
        <v>0</v>
      </c>
      <c r="G309">
        <v>185</v>
      </c>
      <c r="H309">
        <v>50</v>
      </c>
      <c r="I309">
        <v>85</v>
      </c>
      <c r="J309">
        <v>13.5</v>
      </c>
      <c r="K309">
        <v>0</v>
      </c>
      <c r="L309">
        <v>44.2</v>
      </c>
      <c r="M309">
        <v>34.700000000000003</v>
      </c>
      <c r="N309">
        <v>23.8</v>
      </c>
      <c r="T309" t="str">
        <f t="shared" si="9"/>
        <v>Pinaymootang First Nation</v>
      </c>
      <c r="W309">
        <v>0</v>
      </c>
      <c r="X309">
        <v>11000</v>
      </c>
      <c r="Y309">
        <v>13136</v>
      </c>
      <c r="Z309">
        <v>7768</v>
      </c>
      <c r="AA309">
        <v>5920</v>
      </c>
      <c r="AB309">
        <v>355</v>
      </c>
      <c r="AC309">
        <v>440</v>
      </c>
      <c r="AD309">
        <v>95</v>
      </c>
      <c r="AE309">
        <v>40</v>
      </c>
    </row>
    <row r="310" spans="1:31">
      <c r="A310" t="s">
        <v>250</v>
      </c>
      <c r="B310">
        <v>575</v>
      </c>
      <c r="C310">
        <v>575</v>
      </c>
      <c r="D310">
        <v>2</v>
      </c>
      <c r="E310">
        <v>22718</v>
      </c>
      <c r="F310">
        <v>0</v>
      </c>
      <c r="G310">
        <v>165</v>
      </c>
      <c r="H310">
        <v>45</v>
      </c>
      <c r="I310">
        <v>75</v>
      </c>
      <c r="J310">
        <v>0</v>
      </c>
      <c r="K310">
        <v>6.1</v>
      </c>
      <c r="L310">
        <v>39.5</v>
      </c>
      <c r="M310">
        <v>26.3</v>
      </c>
      <c r="N310">
        <v>33.299999999999997</v>
      </c>
      <c r="T310" t="str">
        <f t="shared" si="9"/>
        <v>Pine Creek First Nation</v>
      </c>
      <c r="W310">
        <v>0</v>
      </c>
      <c r="X310">
        <v>13420</v>
      </c>
      <c r="Y310">
        <v>15952</v>
      </c>
      <c r="Z310">
        <v>5296</v>
      </c>
      <c r="AA310">
        <v>6512</v>
      </c>
      <c r="AB310">
        <v>195</v>
      </c>
      <c r="AC310">
        <v>355</v>
      </c>
      <c r="AD310">
        <v>65</v>
      </c>
      <c r="AE310">
        <v>50</v>
      </c>
    </row>
    <row r="311" spans="1:31">
      <c r="A311" t="s">
        <v>251</v>
      </c>
      <c r="B311">
        <v>104</v>
      </c>
      <c r="C311" s="102"/>
      <c r="D311" s="102"/>
      <c r="E311" s="102"/>
      <c r="F311" s="102"/>
      <c r="G311" s="102"/>
      <c r="H311" s="102"/>
      <c r="I311" s="102"/>
      <c r="J311" s="102"/>
      <c r="K311" s="102"/>
      <c r="L311" s="102"/>
      <c r="M311" s="102"/>
      <c r="N311" s="102"/>
      <c r="T311">
        <f t="shared" si="9"/>
        <v>0</v>
      </c>
      <c r="AB311">
        <v>0</v>
      </c>
      <c r="AC311">
        <v>0</v>
      </c>
      <c r="AD311">
        <v>0</v>
      </c>
      <c r="AE311">
        <v>0</v>
      </c>
    </row>
    <row r="312" spans="1:31">
      <c r="A312" t="s">
        <v>410</v>
      </c>
      <c r="B312">
        <v>1535</v>
      </c>
      <c r="C312">
        <v>1535</v>
      </c>
      <c r="D312">
        <v>1.2</v>
      </c>
      <c r="E312">
        <v>56166</v>
      </c>
      <c r="F312">
        <v>6.5</v>
      </c>
      <c r="G312">
        <v>585</v>
      </c>
      <c r="H312">
        <v>135</v>
      </c>
      <c r="I312">
        <v>80</v>
      </c>
      <c r="J312">
        <v>70.900000000000006</v>
      </c>
      <c r="K312">
        <v>29.1</v>
      </c>
      <c r="L312">
        <v>66.099999999999994</v>
      </c>
      <c r="M312">
        <v>63.3</v>
      </c>
      <c r="N312">
        <v>4.3</v>
      </c>
      <c r="T312">
        <f t="shared" si="9"/>
        <v>0</v>
      </c>
      <c r="W312">
        <v>0</v>
      </c>
      <c r="X312">
        <v>33680</v>
      </c>
      <c r="Y312">
        <v>16416</v>
      </c>
      <c r="Z312">
        <v>32858</v>
      </c>
      <c r="AA312">
        <v>14369</v>
      </c>
      <c r="AB312">
        <v>315</v>
      </c>
      <c r="AC312">
        <v>1015</v>
      </c>
      <c r="AD312">
        <v>295</v>
      </c>
      <c r="AE312">
        <v>200</v>
      </c>
    </row>
    <row r="313" spans="1:31">
      <c r="A313" t="s">
        <v>411</v>
      </c>
      <c r="B313">
        <v>1580</v>
      </c>
      <c r="C313">
        <v>1575</v>
      </c>
      <c r="D313">
        <v>1</v>
      </c>
      <c r="E313">
        <v>31549</v>
      </c>
      <c r="F313">
        <v>19.600000000000001</v>
      </c>
      <c r="G313">
        <v>675</v>
      </c>
      <c r="H313">
        <v>230</v>
      </c>
      <c r="I313">
        <v>80</v>
      </c>
      <c r="J313">
        <v>86.7</v>
      </c>
      <c r="K313">
        <v>14.1</v>
      </c>
      <c r="L313">
        <v>56</v>
      </c>
      <c r="M313">
        <v>47.9</v>
      </c>
      <c r="N313">
        <v>15.3</v>
      </c>
      <c r="T313">
        <f t="shared" si="9"/>
        <v>0</v>
      </c>
      <c r="W313">
        <v>0</v>
      </c>
      <c r="X313">
        <v>18510</v>
      </c>
      <c r="Y313">
        <v>9282</v>
      </c>
      <c r="Z313">
        <v>15845</v>
      </c>
      <c r="AA313">
        <v>10180</v>
      </c>
      <c r="AB313">
        <v>295</v>
      </c>
      <c r="AC313">
        <v>945</v>
      </c>
      <c r="AD313">
        <v>430</v>
      </c>
      <c r="AE313">
        <v>340</v>
      </c>
    </row>
    <row r="314" spans="1:31">
      <c r="A314" t="s">
        <v>412</v>
      </c>
      <c r="B314">
        <v>1700</v>
      </c>
      <c r="C314">
        <v>1700</v>
      </c>
      <c r="D314">
        <v>1.3</v>
      </c>
      <c r="E314">
        <v>39077</v>
      </c>
      <c r="F314">
        <v>15.7</v>
      </c>
      <c r="G314">
        <v>650</v>
      </c>
      <c r="H314">
        <v>310</v>
      </c>
      <c r="I314">
        <v>45</v>
      </c>
      <c r="J314">
        <v>85.4</v>
      </c>
      <c r="K314">
        <v>14.6</v>
      </c>
      <c r="L314">
        <v>67.400000000000006</v>
      </c>
      <c r="M314">
        <v>65.900000000000006</v>
      </c>
      <c r="N314">
        <v>1.7</v>
      </c>
      <c r="T314">
        <f t="shared" si="9"/>
        <v>0</v>
      </c>
      <c r="W314">
        <v>0</v>
      </c>
      <c r="X314">
        <v>19594</v>
      </c>
      <c r="Y314">
        <v>11733</v>
      </c>
      <c r="Z314">
        <v>17094</v>
      </c>
      <c r="AA314">
        <v>11973</v>
      </c>
      <c r="AB314">
        <v>415</v>
      </c>
      <c r="AC314">
        <v>925</v>
      </c>
      <c r="AD314">
        <v>315</v>
      </c>
      <c r="AE314">
        <v>340</v>
      </c>
    </row>
    <row r="315" spans="1:31">
      <c r="A315" t="s">
        <v>413</v>
      </c>
      <c r="B315">
        <v>730</v>
      </c>
      <c r="C315">
        <v>730</v>
      </c>
      <c r="D315">
        <v>1.8</v>
      </c>
      <c r="E315">
        <v>30241</v>
      </c>
      <c r="F315">
        <v>24.6</v>
      </c>
      <c r="G315">
        <v>230</v>
      </c>
      <c r="H315">
        <v>90</v>
      </c>
      <c r="I315">
        <v>0</v>
      </c>
      <c r="J315">
        <v>73.900000000000006</v>
      </c>
      <c r="K315">
        <v>23.9</v>
      </c>
      <c r="L315">
        <v>56.4</v>
      </c>
      <c r="M315">
        <v>53.2</v>
      </c>
      <c r="N315">
        <v>3.8</v>
      </c>
      <c r="T315">
        <f t="shared" si="9"/>
        <v>0</v>
      </c>
      <c r="W315">
        <v>0</v>
      </c>
      <c r="X315">
        <v>20264</v>
      </c>
      <c r="Y315">
        <v>7210</v>
      </c>
      <c r="Z315">
        <v>18192</v>
      </c>
      <c r="AA315">
        <v>7508</v>
      </c>
      <c r="AB315">
        <v>260</v>
      </c>
      <c r="AC315">
        <v>335</v>
      </c>
      <c r="AD315">
        <v>65</v>
      </c>
      <c r="AE315">
        <v>120</v>
      </c>
    </row>
    <row r="316" spans="1:31">
      <c r="A316" t="s">
        <v>252</v>
      </c>
      <c r="B316">
        <v>525</v>
      </c>
      <c r="C316">
        <v>525</v>
      </c>
      <c r="D316">
        <v>2.2000000000000002</v>
      </c>
      <c r="E316">
        <v>24799</v>
      </c>
      <c r="F316">
        <v>0</v>
      </c>
      <c r="G316">
        <v>125</v>
      </c>
      <c r="H316">
        <v>35</v>
      </c>
      <c r="I316">
        <v>45</v>
      </c>
      <c r="J316">
        <v>32</v>
      </c>
      <c r="K316">
        <v>8</v>
      </c>
      <c r="L316">
        <v>47.6</v>
      </c>
      <c r="M316">
        <v>25.4</v>
      </c>
      <c r="N316">
        <v>50</v>
      </c>
      <c r="T316" t="str">
        <f t="shared" si="9"/>
        <v>Poplar River First Nation</v>
      </c>
      <c r="W316">
        <v>0</v>
      </c>
      <c r="X316">
        <v>13382</v>
      </c>
      <c r="Y316">
        <v>15484</v>
      </c>
      <c r="Z316">
        <v>9344</v>
      </c>
      <c r="AA316">
        <v>6192</v>
      </c>
      <c r="AB316">
        <v>215</v>
      </c>
      <c r="AC316">
        <v>295</v>
      </c>
      <c r="AD316">
        <v>50</v>
      </c>
      <c r="AE316">
        <v>40</v>
      </c>
    </row>
    <row r="317" spans="1:31">
      <c r="A317" t="s">
        <v>803</v>
      </c>
      <c r="B317">
        <v>6635</v>
      </c>
      <c r="C317">
        <v>5740</v>
      </c>
      <c r="D317">
        <v>1.2</v>
      </c>
      <c r="E317">
        <v>46990</v>
      </c>
      <c r="F317">
        <v>7.4</v>
      </c>
      <c r="G317">
        <v>2020</v>
      </c>
      <c r="H317">
        <v>720</v>
      </c>
      <c r="I317">
        <v>220</v>
      </c>
      <c r="J317">
        <v>78.7</v>
      </c>
      <c r="K317">
        <v>21</v>
      </c>
      <c r="L317">
        <v>73.8</v>
      </c>
      <c r="M317">
        <v>70.599999999999994</v>
      </c>
      <c r="N317">
        <v>4.4000000000000004</v>
      </c>
      <c r="T317">
        <f t="shared" si="9"/>
        <v>0</v>
      </c>
      <c r="W317">
        <v>0</v>
      </c>
      <c r="X317">
        <v>23365</v>
      </c>
      <c r="Y317">
        <v>16119</v>
      </c>
      <c r="Z317">
        <v>23688</v>
      </c>
      <c r="AA317">
        <v>12685</v>
      </c>
      <c r="AB317">
        <v>1720</v>
      </c>
      <c r="AC317">
        <v>4165</v>
      </c>
      <c r="AD317">
        <v>1300</v>
      </c>
      <c r="AE317">
        <v>725</v>
      </c>
    </row>
    <row r="318" spans="1:31">
      <c r="A318" t="s">
        <v>414</v>
      </c>
      <c r="B318">
        <v>12235</v>
      </c>
      <c r="C318">
        <v>12210</v>
      </c>
      <c r="D318">
        <v>1.2</v>
      </c>
      <c r="E318">
        <v>44108</v>
      </c>
      <c r="F318">
        <v>18.100000000000001</v>
      </c>
      <c r="G318">
        <v>5085</v>
      </c>
      <c r="H318">
        <v>1465</v>
      </c>
      <c r="I318">
        <v>535</v>
      </c>
      <c r="J318">
        <v>65.5</v>
      </c>
      <c r="K318">
        <v>34.5</v>
      </c>
      <c r="L318">
        <v>63.9</v>
      </c>
      <c r="M318">
        <v>58.7</v>
      </c>
      <c r="N318">
        <v>8.1</v>
      </c>
      <c r="T318">
        <f t="shared" si="9"/>
        <v>0</v>
      </c>
      <c r="W318">
        <v>0</v>
      </c>
      <c r="X318">
        <v>25530</v>
      </c>
      <c r="Y318">
        <v>17460</v>
      </c>
      <c r="Z318">
        <v>22612</v>
      </c>
      <c r="AA318">
        <v>14404</v>
      </c>
      <c r="AB318">
        <v>2780</v>
      </c>
      <c r="AC318">
        <v>7480</v>
      </c>
      <c r="AD318">
        <v>2265</v>
      </c>
      <c r="AE318">
        <v>1965</v>
      </c>
    </row>
    <row r="319" spans="1:31">
      <c r="A319" t="s">
        <v>253</v>
      </c>
      <c r="B319">
        <v>23</v>
      </c>
      <c r="C319" s="102"/>
      <c r="D319" s="102"/>
      <c r="E319" s="102"/>
      <c r="F319" s="102"/>
      <c r="G319" s="102"/>
      <c r="H319" s="102"/>
      <c r="I319" s="102"/>
      <c r="J319" s="102"/>
      <c r="K319" s="102"/>
      <c r="L319" s="102"/>
      <c r="M319" s="102"/>
      <c r="N319" s="102"/>
      <c r="T319">
        <f t="shared" si="9"/>
        <v>0</v>
      </c>
      <c r="AB319">
        <v>0</v>
      </c>
      <c r="AC319">
        <v>0</v>
      </c>
      <c r="AD319">
        <v>0</v>
      </c>
      <c r="AE319">
        <v>0</v>
      </c>
    </row>
    <row r="320" spans="1:31">
      <c r="A320" t="s">
        <v>415</v>
      </c>
      <c r="B320">
        <v>1535</v>
      </c>
      <c r="C320">
        <v>1535</v>
      </c>
      <c r="D320">
        <v>1.2</v>
      </c>
      <c r="E320">
        <v>56166</v>
      </c>
      <c r="F320">
        <v>6.5</v>
      </c>
      <c r="G320">
        <v>585</v>
      </c>
      <c r="H320">
        <v>135</v>
      </c>
      <c r="I320">
        <v>80</v>
      </c>
      <c r="J320">
        <v>70.900000000000006</v>
      </c>
      <c r="K320">
        <v>29.1</v>
      </c>
      <c r="L320">
        <v>66.099999999999994</v>
      </c>
      <c r="M320">
        <v>63.3</v>
      </c>
      <c r="N320">
        <v>4.3</v>
      </c>
      <c r="T320">
        <f t="shared" si="9"/>
        <v>0</v>
      </c>
      <c r="W320">
        <v>0</v>
      </c>
      <c r="X320">
        <v>33680</v>
      </c>
      <c r="Y320">
        <v>16416</v>
      </c>
      <c r="Z320">
        <v>32858</v>
      </c>
      <c r="AA320">
        <v>14369</v>
      </c>
      <c r="AB320">
        <v>315</v>
      </c>
      <c r="AC320">
        <v>1015</v>
      </c>
      <c r="AD320">
        <v>295</v>
      </c>
      <c r="AE320">
        <v>200</v>
      </c>
    </row>
    <row r="321" spans="1:31">
      <c r="A321" t="s">
        <v>254</v>
      </c>
      <c r="B321">
        <v>5</v>
      </c>
      <c r="C321" s="102"/>
      <c r="D321" s="102"/>
      <c r="E321" s="102"/>
      <c r="F321" s="102"/>
      <c r="G321" s="102"/>
      <c r="H321" s="102"/>
      <c r="I321" s="102"/>
      <c r="J321" s="102"/>
      <c r="K321" s="102"/>
      <c r="L321" s="102"/>
      <c r="M321" s="102"/>
      <c r="N321" s="102"/>
      <c r="T321">
        <f t="shared" si="9"/>
        <v>0</v>
      </c>
      <c r="AB321">
        <v>0</v>
      </c>
      <c r="AC321">
        <v>0</v>
      </c>
      <c r="AD321">
        <v>0</v>
      </c>
      <c r="AE321">
        <v>0</v>
      </c>
    </row>
    <row r="322" spans="1:31">
      <c r="A322" t="s">
        <v>417</v>
      </c>
      <c r="B322">
        <v>410</v>
      </c>
      <c r="C322">
        <v>410</v>
      </c>
      <c r="D322">
        <v>1.2</v>
      </c>
      <c r="E322">
        <v>39756</v>
      </c>
      <c r="F322">
        <v>4.5</v>
      </c>
      <c r="G322">
        <v>165</v>
      </c>
      <c r="H322">
        <v>45</v>
      </c>
      <c r="I322">
        <v>45</v>
      </c>
      <c r="J322">
        <v>84.8</v>
      </c>
      <c r="K322">
        <v>18.2</v>
      </c>
      <c r="L322">
        <v>67.7</v>
      </c>
      <c r="M322">
        <v>66.099999999999994</v>
      </c>
      <c r="N322">
        <v>0</v>
      </c>
      <c r="T322">
        <f t="shared" si="9"/>
        <v>0</v>
      </c>
      <c r="W322">
        <v>0</v>
      </c>
      <c r="X322">
        <v>26529</v>
      </c>
      <c r="Y322">
        <v>12442</v>
      </c>
      <c r="Z322">
        <v>26448</v>
      </c>
      <c r="AA322">
        <v>12548</v>
      </c>
      <c r="AB322">
        <v>100</v>
      </c>
      <c r="AC322">
        <v>210</v>
      </c>
      <c r="AD322">
        <v>55</v>
      </c>
      <c r="AE322">
        <v>75</v>
      </c>
    </row>
    <row r="323" spans="1:31">
      <c r="A323" t="s">
        <v>255</v>
      </c>
      <c r="B323">
        <v>39</v>
      </c>
      <c r="C323" s="102"/>
      <c r="D323" s="102"/>
      <c r="E323" s="102"/>
      <c r="F323" s="102"/>
      <c r="G323" s="102"/>
      <c r="H323" s="102"/>
      <c r="I323" s="102"/>
      <c r="J323" s="102"/>
      <c r="K323" s="102"/>
      <c r="L323" s="102"/>
      <c r="M323" s="102"/>
      <c r="N323" s="102"/>
      <c r="T323">
        <f t="shared" si="9"/>
        <v>0</v>
      </c>
      <c r="AB323">
        <v>0</v>
      </c>
      <c r="AC323">
        <v>0</v>
      </c>
      <c r="AD323">
        <v>0</v>
      </c>
      <c r="AE323">
        <v>0</v>
      </c>
    </row>
    <row r="324" spans="1:31">
      <c r="A324" t="s">
        <v>256</v>
      </c>
      <c r="B324">
        <v>50</v>
      </c>
      <c r="C324" s="102"/>
      <c r="D324" s="102"/>
      <c r="E324" s="102"/>
      <c r="F324" s="102"/>
      <c r="G324" s="102"/>
      <c r="H324" s="102"/>
      <c r="I324" s="102"/>
      <c r="J324" s="102"/>
      <c r="K324" s="102"/>
      <c r="L324" s="102"/>
      <c r="M324" s="102"/>
      <c r="N324" s="102"/>
      <c r="T324">
        <f t="shared" si="9"/>
        <v>0</v>
      </c>
      <c r="AB324">
        <v>0</v>
      </c>
      <c r="AC324">
        <v>0</v>
      </c>
      <c r="AD324">
        <v>0</v>
      </c>
      <c r="AE324">
        <v>0</v>
      </c>
    </row>
    <row r="325" spans="1:31">
      <c r="A325" t="s">
        <v>418</v>
      </c>
      <c r="B325">
        <v>25</v>
      </c>
      <c r="C325" s="102"/>
      <c r="D325" s="102"/>
      <c r="E325" s="102"/>
      <c r="F325" s="102"/>
      <c r="G325" s="102"/>
      <c r="H325" s="102"/>
      <c r="I325" s="102"/>
      <c r="J325" s="102"/>
      <c r="K325" s="102"/>
      <c r="L325" s="102"/>
      <c r="M325" s="102"/>
      <c r="N325" s="102"/>
      <c r="T325">
        <f t="shared" si="9"/>
        <v>0</v>
      </c>
      <c r="W325">
        <v>0</v>
      </c>
      <c r="X325">
        <v>0</v>
      </c>
      <c r="Y325">
        <v>0</v>
      </c>
      <c r="Z325">
        <v>0</v>
      </c>
      <c r="AA325">
        <v>0</v>
      </c>
      <c r="AB325">
        <v>0</v>
      </c>
      <c r="AC325">
        <v>0</v>
      </c>
      <c r="AD325">
        <v>0</v>
      </c>
      <c r="AE325">
        <v>0</v>
      </c>
    </row>
    <row r="326" spans="1:31">
      <c r="A326" t="s">
        <v>257</v>
      </c>
      <c r="T326" t="str">
        <f t="shared" si="9"/>
        <v>Red Sucker Lake First Nation</v>
      </c>
      <c r="W326">
        <v>0</v>
      </c>
      <c r="X326">
        <v>0</v>
      </c>
      <c r="Y326">
        <v>0</v>
      </c>
      <c r="Z326">
        <v>0</v>
      </c>
      <c r="AA326">
        <v>0</v>
      </c>
      <c r="AB326">
        <v>0</v>
      </c>
      <c r="AC326">
        <v>0</v>
      </c>
      <c r="AD326">
        <v>0</v>
      </c>
      <c r="AE326">
        <v>0</v>
      </c>
    </row>
    <row r="327" spans="1:31">
      <c r="A327" t="s">
        <v>603</v>
      </c>
      <c r="B327">
        <v>1305</v>
      </c>
      <c r="C327">
        <v>1290</v>
      </c>
      <c r="D327">
        <v>1</v>
      </c>
      <c r="E327">
        <v>38525</v>
      </c>
      <c r="F327">
        <v>8.1999999999999993</v>
      </c>
      <c r="G327">
        <v>505</v>
      </c>
      <c r="H327">
        <v>175</v>
      </c>
      <c r="I327">
        <v>75</v>
      </c>
      <c r="J327">
        <v>86.1</v>
      </c>
      <c r="K327">
        <v>13.9</v>
      </c>
      <c r="L327">
        <v>67.5</v>
      </c>
      <c r="M327">
        <v>62.7</v>
      </c>
      <c r="N327">
        <v>7.8</v>
      </c>
      <c r="T327">
        <f t="shared" si="9"/>
        <v>0</v>
      </c>
      <c r="W327">
        <v>0</v>
      </c>
      <c r="X327">
        <v>18265</v>
      </c>
      <c r="Y327">
        <v>13085</v>
      </c>
      <c r="Z327">
        <v>19378</v>
      </c>
      <c r="AA327">
        <v>10792</v>
      </c>
      <c r="AB327">
        <v>255</v>
      </c>
      <c r="AC327">
        <v>870</v>
      </c>
      <c r="AD327">
        <v>340</v>
      </c>
      <c r="AE327">
        <v>165</v>
      </c>
    </row>
    <row r="328" spans="1:31">
      <c r="A328" t="s">
        <v>612</v>
      </c>
      <c r="B328">
        <v>4205</v>
      </c>
      <c r="C328">
        <v>4105</v>
      </c>
      <c r="D328">
        <v>2</v>
      </c>
      <c r="E328">
        <v>44553</v>
      </c>
      <c r="F328">
        <v>10.4</v>
      </c>
      <c r="G328">
        <v>1075</v>
      </c>
      <c r="H328">
        <v>375</v>
      </c>
      <c r="I328">
        <v>155</v>
      </c>
      <c r="J328">
        <v>92.1</v>
      </c>
      <c r="K328">
        <v>8.4</v>
      </c>
      <c r="L328">
        <v>76.3</v>
      </c>
      <c r="M328">
        <v>72.8</v>
      </c>
      <c r="N328">
        <v>4.8</v>
      </c>
      <c r="T328">
        <f t="shared" si="9"/>
        <v>0</v>
      </c>
      <c r="W328">
        <v>0</v>
      </c>
      <c r="X328">
        <v>22310</v>
      </c>
      <c r="Y328">
        <v>10460</v>
      </c>
      <c r="Z328">
        <v>23104</v>
      </c>
      <c r="AA328">
        <v>7101</v>
      </c>
      <c r="AB328">
        <v>1350</v>
      </c>
      <c r="AC328">
        <v>2665</v>
      </c>
      <c r="AD328">
        <v>720</v>
      </c>
      <c r="AE328">
        <v>160</v>
      </c>
    </row>
    <row r="329" spans="1:31">
      <c r="A329" t="s">
        <v>610</v>
      </c>
      <c r="B329">
        <v>5330</v>
      </c>
      <c r="C329">
        <v>5320</v>
      </c>
      <c r="D329">
        <v>1.4</v>
      </c>
      <c r="E329">
        <v>53498</v>
      </c>
      <c r="F329">
        <v>9.1</v>
      </c>
      <c r="G329">
        <v>1695</v>
      </c>
      <c r="H329">
        <v>505</v>
      </c>
      <c r="I329">
        <v>185</v>
      </c>
      <c r="J329">
        <v>88.8</v>
      </c>
      <c r="K329">
        <v>10.9</v>
      </c>
      <c r="L329">
        <v>77.3</v>
      </c>
      <c r="M329">
        <v>73.3</v>
      </c>
      <c r="N329">
        <v>4.8</v>
      </c>
      <c r="T329">
        <f t="shared" ref="T329:T368" si="10">IFERROR(VLOOKUP(A329,$U$12:$U$74,1,0),0)</f>
        <v>0</v>
      </c>
      <c r="W329">
        <v>0</v>
      </c>
      <c r="X329">
        <v>27930</v>
      </c>
      <c r="Y329">
        <v>17381</v>
      </c>
      <c r="Z329">
        <v>28414</v>
      </c>
      <c r="AA329">
        <v>12330</v>
      </c>
      <c r="AB329">
        <v>1405</v>
      </c>
      <c r="AC329">
        <v>3515</v>
      </c>
      <c r="AD329">
        <v>1015</v>
      </c>
      <c r="AE329">
        <v>385</v>
      </c>
    </row>
    <row r="330" spans="1:31">
      <c r="A330" t="s">
        <v>423</v>
      </c>
      <c r="B330">
        <v>1100</v>
      </c>
      <c r="C330">
        <v>1095</v>
      </c>
      <c r="D330">
        <v>0.9</v>
      </c>
      <c r="E330">
        <v>41430</v>
      </c>
      <c r="F330">
        <v>12.3</v>
      </c>
      <c r="G330">
        <v>495</v>
      </c>
      <c r="H330">
        <v>210</v>
      </c>
      <c r="I330">
        <v>55</v>
      </c>
      <c r="J330">
        <v>75.8</v>
      </c>
      <c r="K330">
        <v>24.2</v>
      </c>
      <c r="L330">
        <v>49.2</v>
      </c>
      <c r="M330">
        <v>47</v>
      </c>
      <c r="N330">
        <v>5.5</v>
      </c>
      <c r="T330">
        <f t="shared" si="10"/>
        <v>0</v>
      </c>
      <c r="W330">
        <v>0</v>
      </c>
      <c r="X330">
        <v>25531</v>
      </c>
      <c r="Y330">
        <v>17089</v>
      </c>
      <c r="Z330">
        <v>19022</v>
      </c>
      <c r="AA330">
        <v>11681</v>
      </c>
      <c r="AB330">
        <v>180</v>
      </c>
      <c r="AC330">
        <v>600</v>
      </c>
      <c r="AD330">
        <v>235</v>
      </c>
      <c r="AE330">
        <v>310</v>
      </c>
    </row>
    <row r="331" spans="1:31">
      <c r="A331" t="s">
        <v>627</v>
      </c>
      <c r="B331">
        <v>830</v>
      </c>
      <c r="C331">
        <v>700</v>
      </c>
      <c r="D331">
        <v>1.4</v>
      </c>
      <c r="E331">
        <v>40371</v>
      </c>
      <c r="F331">
        <v>12.3</v>
      </c>
      <c r="G331">
        <v>270</v>
      </c>
      <c r="H331">
        <v>125</v>
      </c>
      <c r="I331">
        <v>20</v>
      </c>
      <c r="J331">
        <v>94.4</v>
      </c>
      <c r="K331">
        <v>3.7</v>
      </c>
      <c r="L331">
        <v>62.5</v>
      </c>
      <c r="M331">
        <v>60.8</v>
      </c>
      <c r="N331">
        <v>0</v>
      </c>
      <c r="T331">
        <f t="shared" si="10"/>
        <v>0</v>
      </c>
      <c r="W331">
        <v>0</v>
      </c>
      <c r="X331">
        <v>20379</v>
      </c>
      <c r="Y331">
        <v>14268</v>
      </c>
      <c r="Z331">
        <v>20660</v>
      </c>
      <c r="AA331">
        <v>11130</v>
      </c>
      <c r="AB331">
        <v>230</v>
      </c>
      <c r="AC331">
        <v>440</v>
      </c>
      <c r="AD331">
        <v>160</v>
      </c>
      <c r="AE331">
        <v>140</v>
      </c>
    </row>
    <row r="332" spans="1:31">
      <c r="A332" t="s">
        <v>424</v>
      </c>
      <c r="B332">
        <v>560</v>
      </c>
      <c r="C332">
        <v>560</v>
      </c>
      <c r="D332">
        <v>1.1000000000000001</v>
      </c>
      <c r="E332">
        <v>42010</v>
      </c>
      <c r="F332">
        <v>7.7</v>
      </c>
      <c r="G332">
        <v>225</v>
      </c>
      <c r="H332">
        <v>70</v>
      </c>
      <c r="I332">
        <v>30</v>
      </c>
      <c r="J332">
        <v>62.2</v>
      </c>
      <c r="K332">
        <v>40</v>
      </c>
      <c r="L332">
        <v>71.900000000000006</v>
      </c>
      <c r="M332">
        <v>59.6</v>
      </c>
      <c r="N332">
        <v>17.2</v>
      </c>
      <c r="T332">
        <f t="shared" si="10"/>
        <v>0</v>
      </c>
      <c r="W332">
        <v>0</v>
      </c>
      <c r="X332">
        <v>23017</v>
      </c>
      <c r="Y332">
        <v>15906</v>
      </c>
      <c r="Z332">
        <v>23628</v>
      </c>
      <c r="AA332">
        <v>11483</v>
      </c>
      <c r="AB332">
        <v>115</v>
      </c>
      <c r="AC332">
        <v>360</v>
      </c>
      <c r="AD332">
        <v>115</v>
      </c>
      <c r="AE332">
        <v>90</v>
      </c>
    </row>
    <row r="333" spans="1:31">
      <c r="A333" s="83" t="s">
        <v>425</v>
      </c>
      <c r="B333">
        <v>1835</v>
      </c>
      <c r="C333">
        <v>1825</v>
      </c>
      <c r="D333">
        <v>1</v>
      </c>
      <c r="E333">
        <v>38524</v>
      </c>
      <c r="F333">
        <v>10.1</v>
      </c>
      <c r="G333">
        <v>865</v>
      </c>
      <c r="H333">
        <v>235</v>
      </c>
      <c r="I333">
        <v>140</v>
      </c>
      <c r="J333">
        <v>67.099999999999994</v>
      </c>
      <c r="K333">
        <v>32.9</v>
      </c>
      <c r="L333">
        <v>46.6</v>
      </c>
      <c r="M333">
        <v>43</v>
      </c>
      <c r="N333">
        <v>8.5</v>
      </c>
      <c r="T333">
        <f>IFERROR(VLOOKUP(A333,$U$12:$U$74,1,0),0)</f>
        <v>0</v>
      </c>
      <c r="W333">
        <v>0</v>
      </c>
      <c r="X333">
        <v>19456</v>
      </c>
      <c r="Y333">
        <v>12913</v>
      </c>
      <c r="Z333">
        <v>14505</v>
      </c>
      <c r="AA333">
        <v>11479</v>
      </c>
      <c r="AB333">
        <v>310</v>
      </c>
      <c r="AC333">
        <v>890</v>
      </c>
      <c r="AD333">
        <v>335</v>
      </c>
      <c r="AE333">
        <v>635</v>
      </c>
    </row>
    <row r="334" spans="1:31">
      <c r="A334" s="82" t="s">
        <v>782</v>
      </c>
      <c r="B334">
        <v>970</v>
      </c>
      <c r="C334">
        <v>765</v>
      </c>
      <c r="D334">
        <v>1.4</v>
      </c>
      <c r="E334">
        <v>38216</v>
      </c>
      <c r="F334">
        <v>15.4</v>
      </c>
      <c r="G334">
        <v>250</v>
      </c>
      <c r="H334">
        <v>75</v>
      </c>
      <c r="I334">
        <v>40</v>
      </c>
      <c r="J334">
        <v>88</v>
      </c>
      <c r="K334">
        <v>12</v>
      </c>
      <c r="L334">
        <v>87.7</v>
      </c>
      <c r="M334">
        <v>86.9</v>
      </c>
      <c r="N334">
        <v>0</v>
      </c>
      <c r="T334">
        <f>IFERROR(VLOOKUP(A334,$U$12:$U$74,1,0),0)</f>
        <v>0</v>
      </c>
      <c r="W334">
        <v>0</v>
      </c>
      <c r="X334">
        <v>14853</v>
      </c>
      <c r="Y334">
        <v>13763</v>
      </c>
      <c r="Z334">
        <v>17573</v>
      </c>
      <c r="AA334">
        <v>12004</v>
      </c>
      <c r="AB334">
        <v>315</v>
      </c>
      <c r="AC334">
        <v>575</v>
      </c>
      <c r="AD334">
        <v>230</v>
      </c>
      <c r="AE334">
        <v>55</v>
      </c>
    </row>
    <row r="335" spans="1:31">
      <c r="A335" t="s">
        <v>258</v>
      </c>
      <c r="B335">
        <v>56</v>
      </c>
      <c r="C335" s="102"/>
      <c r="D335" s="102"/>
      <c r="E335" s="102"/>
      <c r="F335" s="102"/>
      <c r="G335" s="102"/>
      <c r="H335" s="102"/>
      <c r="I335" s="102"/>
      <c r="J335" s="102"/>
      <c r="K335" s="102"/>
      <c r="L335" s="102"/>
      <c r="M335" s="102"/>
      <c r="N335" s="102"/>
      <c r="T335">
        <f t="shared" si="10"/>
        <v>0</v>
      </c>
      <c r="AB335">
        <v>0</v>
      </c>
      <c r="AC335">
        <v>0</v>
      </c>
      <c r="AD335">
        <v>0</v>
      </c>
      <c r="AE335">
        <v>0</v>
      </c>
    </row>
    <row r="336" spans="1:31">
      <c r="A336" t="s">
        <v>662</v>
      </c>
      <c r="B336">
        <v>6850</v>
      </c>
      <c r="C336">
        <v>6525</v>
      </c>
      <c r="D336">
        <v>1.2</v>
      </c>
      <c r="E336">
        <v>53098</v>
      </c>
      <c r="F336">
        <v>6.9</v>
      </c>
      <c r="G336">
        <v>2290</v>
      </c>
      <c r="H336">
        <v>755</v>
      </c>
      <c r="I336">
        <v>215</v>
      </c>
      <c r="J336">
        <v>91.7</v>
      </c>
      <c r="K336">
        <v>8.5</v>
      </c>
      <c r="L336">
        <v>74</v>
      </c>
      <c r="M336">
        <v>69.8</v>
      </c>
      <c r="N336">
        <v>5.5</v>
      </c>
      <c r="T336">
        <f t="shared" si="10"/>
        <v>0</v>
      </c>
      <c r="W336">
        <v>0</v>
      </c>
      <c r="X336">
        <v>29324</v>
      </c>
      <c r="Y336">
        <v>17746</v>
      </c>
      <c r="Z336">
        <v>26599</v>
      </c>
      <c r="AA336">
        <v>13977</v>
      </c>
      <c r="AB336">
        <v>1585</v>
      </c>
      <c r="AC336">
        <v>4615</v>
      </c>
      <c r="AD336">
        <v>1595</v>
      </c>
      <c r="AE336">
        <v>645</v>
      </c>
    </row>
    <row r="337" spans="1:31">
      <c r="A337" t="s">
        <v>614</v>
      </c>
      <c r="B337">
        <v>985</v>
      </c>
      <c r="C337">
        <v>985</v>
      </c>
      <c r="D337">
        <v>1.4</v>
      </c>
      <c r="E337">
        <v>43449</v>
      </c>
      <c r="F337">
        <v>6.5</v>
      </c>
      <c r="G337">
        <v>325</v>
      </c>
      <c r="H337">
        <v>135</v>
      </c>
      <c r="I337">
        <v>25</v>
      </c>
      <c r="J337">
        <v>90.8</v>
      </c>
      <c r="K337">
        <v>9.1999999999999993</v>
      </c>
      <c r="L337">
        <v>61.7</v>
      </c>
      <c r="M337">
        <v>59.7</v>
      </c>
      <c r="N337">
        <v>3.3</v>
      </c>
      <c r="T337">
        <f t="shared" si="10"/>
        <v>0</v>
      </c>
      <c r="W337">
        <v>0</v>
      </c>
      <c r="X337">
        <v>22662</v>
      </c>
      <c r="Y337">
        <v>13135</v>
      </c>
      <c r="Z337">
        <v>23107</v>
      </c>
      <c r="AA337">
        <v>12237</v>
      </c>
      <c r="AB337">
        <v>245</v>
      </c>
      <c r="AC337">
        <v>610</v>
      </c>
      <c r="AD337">
        <v>215</v>
      </c>
      <c r="AE337">
        <v>150</v>
      </c>
    </row>
    <row r="338" spans="1:31">
      <c r="A338" t="s">
        <v>259</v>
      </c>
      <c r="B338">
        <v>265</v>
      </c>
      <c r="C338">
        <v>265</v>
      </c>
      <c r="D338">
        <v>1.5</v>
      </c>
      <c r="E338">
        <v>24823</v>
      </c>
      <c r="F338">
        <v>0</v>
      </c>
      <c r="G338">
        <v>85</v>
      </c>
      <c r="H338">
        <v>40</v>
      </c>
      <c r="I338">
        <v>30</v>
      </c>
      <c r="J338">
        <v>0</v>
      </c>
      <c r="K338">
        <v>0</v>
      </c>
      <c r="L338">
        <v>68.599999999999994</v>
      </c>
      <c r="M338">
        <v>57.1</v>
      </c>
      <c r="N338">
        <v>20.8</v>
      </c>
      <c r="T338" t="str">
        <f t="shared" si="10"/>
        <v>Rolling River First Nation</v>
      </c>
      <c r="W338">
        <v>0</v>
      </c>
      <c r="X338">
        <v>12096</v>
      </c>
      <c r="Y338">
        <v>10208</v>
      </c>
      <c r="Z338">
        <v>9184</v>
      </c>
      <c r="AA338">
        <v>9424</v>
      </c>
      <c r="AB338">
        <v>95</v>
      </c>
      <c r="AC338">
        <v>155</v>
      </c>
      <c r="AD338">
        <v>20</v>
      </c>
      <c r="AE338">
        <v>10</v>
      </c>
    </row>
    <row r="339" spans="1:31">
      <c r="A339" t="s">
        <v>260</v>
      </c>
      <c r="B339">
        <f>SUM(B340:B341)</f>
        <v>540</v>
      </c>
      <c r="C339">
        <f>SUM(C340:C341)</f>
        <v>540</v>
      </c>
      <c r="D339" s="116">
        <f>(D340*$B340+D341*$B341)/$B339</f>
        <v>2.1722222222222221</v>
      </c>
      <c r="E339" s="117">
        <f>(E340*$B340+E341*$B341)/$B339</f>
        <v>12676.416666666666</v>
      </c>
      <c r="F339" s="116">
        <f>(F340*$B340+F341*$B341)/$B339</f>
        <v>0</v>
      </c>
      <c r="G339">
        <f>SUM(G340:G341)</f>
        <v>180</v>
      </c>
      <c r="H339">
        <f>SUM(H340:H341)</f>
        <v>70</v>
      </c>
      <c r="I339">
        <f>SUM(I340:I341)</f>
        <v>55</v>
      </c>
      <c r="J339" s="116">
        <f>(J340*$B340+J341*$B341)/$B339</f>
        <v>0</v>
      </c>
      <c r="K339" s="116">
        <f>(K340*$B340+K341*$B341)/$B339</f>
        <v>6.6305555555555555</v>
      </c>
      <c r="L339" s="116">
        <f>(L340*$B340+L341*$B341)/$B339</f>
        <v>40.008333333333333</v>
      </c>
      <c r="M339" s="116">
        <f>(M340*$B340+M341*$B341)/$B339</f>
        <v>26.152777777777779</v>
      </c>
      <c r="N339" s="116">
        <f>(N340*$B340+N341*$B341)/$B339</f>
        <v>27.383333333333333</v>
      </c>
      <c r="T339" t="str">
        <f t="shared" si="10"/>
        <v>Roseau River Anishinabe First Nation</v>
      </c>
      <c r="W339">
        <v>0</v>
      </c>
      <c r="X339">
        <v>9471.3611111111113</v>
      </c>
      <c r="Y339">
        <v>12071.055555555555</v>
      </c>
      <c r="Z339">
        <v>2287.1111111111113</v>
      </c>
      <c r="AA339">
        <v>5139.1111111111113</v>
      </c>
      <c r="AB339">
        <v>225</v>
      </c>
      <c r="AC339">
        <v>305</v>
      </c>
      <c r="AD339">
        <v>75</v>
      </c>
      <c r="AE339">
        <v>40</v>
      </c>
    </row>
    <row r="340" spans="1:31">
      <c r="A340" t="s">
        <v>764</v>
      </c>
      <c r="B340">
        <v>75</v>
      </c>
      <c r="C340">
        <v>75</v>
      </c>
      <c r="D340">
        <v>2</v>
      </c>
      <c r="E340">
        <v>0</v>
      </c>
      <c r="F340">
        <v>0</v>
      </c>
      <c r="G340">
        <v>25</v>
      </c>
      <c r="H340">
        <v>10</v>
      </c>
      <c r="I340">
        <v>15</v>
      </c>
      <c r="J340">
        <v>0</v>
      </c>
      <c r="K340">
        <v>0</v>
      </c>
      <c r="L340">
        <v>44.4</v>
      </c>
      <c r="M340">
        <v>33.299999999999997</v>
      </c>
      <c r="N340">
        <v>0</v>
      </c>
      <c r="T340">
        <f t="shared" si="10"/>
        <v>0</v>
      </c>
      <c r="W340">
        <v>0</v>
      </c>
      <c r="X340">
        <v>0</v>
      </c>
      <c r="Y340">
        <v>0</v>
      </c>
      <c r="Z340">
        <v>0</v>
      </c>
      <c r="AA340">
        <v>0</v>
      </c>
      <c r="AB340">
        <v>40</v>
      </c>
      <c r="AC340">
        <v>30</v>
      </c>
      <c r="AD340">
        <v>10</v>
      </c>
      <c r="AE340">
        <v>10</v>
      </c>
    </row>
    <row r="341" spans="1:31">
      <c r="A341" t="s">
        <v>853</v>
      </c>
      <c r="B341">
        <v>465</v>
      </c>
      <c r="C341">
        <v>465</v>
      </c>
      <c r="D341">
        <v>2.2000000000000002</v>
      </c>
      <c r="E341">
        <v>14721</v>
      </c>
      <c r="F341">
        <v>0</v>
      </c>
      <c r="G341">
        <v>155</v>
      </c>
      <c r="H341">
        <v>60</v>
      </c>
      <c r="I341">
        <v>40</v>
      </c>
      <c r="J341">
        <v>0</v>
      </c>
      <c r="K341">
        <v>7.7</v>
      </c>
      <c r="L341">
        <v>39.299999999999997</v>
      </c>
      <c r="M341">
        <v>25</v>
      </c>
      <c r="N341">
        <v>31.8</v>
      </c>
      <c r="T341">
        <f t="shared" si="10"/>
        <v>0</v>
      </c>
      <c r="W341">
        <v>0</v>
      </c>
      <c r="X341">
        <v>10999</v>
      </c>
      <c r="Y341">
        <v>14018</v>
      </c>
      <c r="Z341">
        <v>2656</v>
      </c>
      <c r="AA341">
        <v>5968</v>
      </c>
      <c r="AB341">
        <v>185</v>
      </c>
      <c r="AC341">
        <v>275</v>
      </c>
      <c r="AD341">
        <v>65</v>
      </c>
      <c r="AE341">
        <v>30</v>
      </c>
    </row>
    <row r="342" spans="1:31">
      <c r="A342" t="s">
        <v>673</v>
      </c>
      <c r="B342">
        <v>1680</v>
      </c>
      <c r="C342">
        <v>1490</v>
      </c>
      <c r="D342">
        <v>1.2</v>
      </c>
      <c r="E342">
        <v>40373</v>
      </c>
      <c r="F342">
        <v>15.7</v>
      </c>
      <c r="G342">
        <v>545</v>
      </c>
      <c r="H342">
        <v>225</v>
      </c>
      <c r="I342">
        <v>125</v>
      </c>
      <c r="J342">
        <v>91.7</v>
      </c>
      <c r="K342">
        <v>8.3000000000000007</v>
      </c>
      <c r="L342">
        <v>64.599999999999994</v>
      </c>
      <c r="M342">
        <v>61</v>
      </c>
      <c r="N342">
        <v>5.5</v>
      </c>
      <c r="T342">
        <f t="shared" si="10"/>
        <v>0</v>
      </c>
      <c r="W342">
        <v>0</v>
      </c>
      <c r="X342">
        <v>19742</v>
      </c>
      <c r="Y342">
        <v>13907</v>
      </c>
      <c r="Z342">
        <v>13426</v>
      </c>
      <c r="AA342">
        <v>11969</v>
      </c>
      <c r="AB342">
        <v>415</v>
      </c>
      <c r="AC342">
        <v>975</v>
      </c>
      <c r="AD342">
        <v>320</v>
      </c>
      <c r="AE342">
        <v>275</v>
      </c>
    </row>
    <row r="343" spans="1:31">
      <c r="A343" t="s">
        <v>426</v>
      </c>
      <c r="B343">
        <v>620</v>
      </c>
      <c r="C343">
        <v>625</v>
      </c>
      <c r="D343">
        <v>1.3</v>
      </c>
      <c r="E343">
        <v>40946</v>
      </c>
      <c r="F343">
        <v>6.4</v>
      </c>
      <c r="G343">
        <v>230</v>
      </c>
      <c r="H343">
        <v>125</v>
      </c>
      <c r="I343">
        <v>45</v>
      </c>
      <c r="J343">
        <v>97.8</v>
      </c>
      <c r="K343">
        <v>0</v>
      </c>
      <c r="L343">
        <v>73.900000000000006</v>
      </c>
      <c r="M343">
        <v>73.900000000000006</v>
      </c>
      <c r="N343">
        <v>0</v>
      </c>
      <c r="T343">
        <f t="shared" si="10"/>
        <v>0</v>
      </c>
      <c r="W343">
        <v>0</v>
      </c>
      <c r="X343">
        <v>19463</v>
      </c>
      <c r="Y343">
        <v>13220</v>
      </c>
      <c r="Z343">
        <v>15108</v>
      </c>
      <c r="AA343">
        <v>10838</v>
      </c>
      <c r="AB343">
        <v>65</v>
      </c>
      <c r="AC343">
        <v>285</v>
      </c>
      <c r="AD343">
        <v>105</v>
      </c>
      <c r="AE343">
        <v>200</v>
      </c>
    </row>
    <row r="344" spans="1:31">
      <c r="A344" t="s">
        <v>802</v>
      </c>
      <c r="B344">
        <v>560</v>
      </c>
      <c r="C344">
        <v>560</v>
      </c>
      <c r="D344">
        <v>0.9</v>
      </c>
      <c r="E344">
        <v>32688</v>
      </c>
      <c r="F344">
        <v>12</v>
      </c>
      <c r="G344">
        <v>290</v>
      </c>
      <c r="H344">
        <v>100</v>
      </c>
      <c r="I344">
        <v>35</v>
      </c>
      <c r="J344">
        <v>72.400000000000006</v>
      </c>
      <c r="K344">
        <v>27.6</v>
      </c>
      <c r="L344">
        <v>47.5</v>
      </c>
      <c r="M344">
        <v>45.5</v>
      </c>
      <c r="N344">
        <v>4.3</v>
      </c>
      <c r="T344">
        <f t="shared" si="10"/>
        <v>0</v>
      </c>
      <c r="W344">
        <v>0</v>
      </c>
      <c r="X344">
        <v>15625</v>
      </c>
      <c r="Y344">
        <v>15121</v>
      </c>
      <c r="Z344">
        <v>12281</v>
      </c>
      <c r="AA344">
        <v>14423</v>
      </c>
      <c r="AB344">
        <v>160</v>
      </c>
      <c r="AC344">
        <v>355</v>
      </c>
      <c r="AD344">
        <v>205</v>
      </c>
      <c r="AE344">
        <v>90</v>
      </c>
    </row>
    <row r="345" spans="1:31">
      <c r="A345" t="s">
        <v>660</v>
      </c>
      <c r="B345">
        <v>1345</v>
      </c>
      <c r="C345">
        <v>1250</v>
      </c>
      <c r="D345">
        <v>1.1000000000000001</v>
      </c>
      <c r="E345">
        <v>51414</v>
      </c>
      <c r="F345">
        <v>2</v>
      </c>
      <c r="G345">
        <v>430</v>
      </c>
      <c r="H345">
        <v>130</v>
      </c>
      <c r="I345">
        <v>55</v>
      </c>
      <c r="J345">
        <v>93</v>
      </c>
      <c r="K345">
        <v>7</v>
      </c>
      <c r="L345">
        <v>81.5</v>
      </c>
      <c r="M345">
        <v>77.599999999999994</v>
      </c>
      <c r="N345">
        <v>4.8</v>
      </c>
      <c r="T345">
        <f t="shared" si="10"/>
        <v>0</v>
      </c>
      <c r="W345">
        <v>0</v>
      </c>
      <c r="X345">
        <v>24929</v>
      </c>
      <c r="Y345">
        <v>20549</v>
      </c>
      <c r="Z345">
        <v>24534</v>
      </c>
      <c r="AA345">
        <v>14427</v>
      </c>
      <c r="AB345">
        <v>315</v>
      </c>
      <c r="AC345">
        <v>825</v>
      </c>
      <c r="AD345">
        <v>275</v>
      </c>
      <c r="AE345">
        <v>180</v>
      </c>
    </row>
    <row r="346" spans="1:31">
      <c r="A346" s="83" t="s">
        <v>677</v>
      </c>
      <c r="B346">
        <v>1565</v>
      </c>
      <c r="C346">
        <v>1560</v>
      </c>
      <c r="D346">
        <v>1</v>
      </c>
      <c r="E346">
        <v>49952</v>
      </c>
      <c r="F346">
        <v>4.7</v>
      </c>
      <c r="G346">
        <v>690</v>
      </c>
      <c r="H346">
        <v>225</v>
      </c>
      <c r="I346">
        <v>60</v>
      </c>
      <c r="J346">
        <v>80.400000000000006</v>
      </c>
      <c r="K346">
        <v>20.3</v>
      </c>
      <c r="L346">
        <v>57.1</v>
      </c>
      <c r="M346">
        <v>53.9</v>
      </c>
      <c r="N346">
        <v>6.2</v>
      </c>
      <c r="T346">
        <f>IFERROR(VLOOKUP(A346,$U$12:$U$74,1,0),0)</f>
        <v>0</v>
      </c>
      <c r="W346">
        <v>0</v>
      </c>
      <c r="X346">
        <v>30828</v>
      </c>
      <c r="Y346">
        <v>15535</v>
      </c>
      <c r="Z346">
        <v>25684</v>
      </c>
      <c r="AA346">
        <v>11825</v>
      </c>
      <c r="AB346">
        <v>295</v>
      </c>
      <c r="AC346">
        <v>895</v>
      </c>
      <c r="AD346">
        <v>275</v>
      </c>
      <c r="AE346">
        <v>390</v>
      </c>
    </row>
    <row r="347" spans="1:31">
      <c r="A347" s="82" t="s">
        <v>781</v>
      </c>
      <c r="B347">
        <v>560</v>
      </c>
      <c r="C347">
        <v>560</v>
      </c>
      <c r="D347">
        <v>1.2</v>
      </c>
      <c r="E347">
        <v>44662</v>
      </c>
      <c r="F347">
        <v>12.4</v>
      </c>
      <c r="G347">
        <v>200</v>
      </c>
      <c r="H347">
        <v>80</v>
      </c>
      <c r="I347">
        <v>0</v>
      </c>
      <c r="J347">
        <v>87.5</v>
      </c>
      <c r="K347">
        <v>10</v>
      </c>
      <c r="L347">
        <v>74.099999999999994</v>
      </c>
      <c r="M347">
        <v>71.8</v>
      </c>
      <c r="N347">
        <v>3.2</v>
      </c>
      <c r="T347">
        <f>IFERROR(VLOOKUP(A347,$U$12:$U$74,1,0),0)</f>
        <v>0</v>
      </c>
      <c r="W347">
        <v>0</v>
      </c>
      <c r="X347">
        <v>22575</v>
      </c>
      <c r="Y347">
        <v>14745</v>
      </c>
      <c r="Z347">
        <v>20486</v>
      </c>
      <c r="AA347">
        <v>9705</v>
      </c>
      <c r="AB347">
        <v>135</v>
      </c>
      <c r="AC347">
        <v>350</v>
      </c>
      <c r="AD347">
        <v>115</v>
      </c>
      <c r="AE347">
        <v>70</v>
      </c>
    </row>
    <row r="348" spans="1:31">
      <c r="A348" t="s">
        <v>262</v>
      </c>
      <c r="B348">
        <v>1690</v>
      </c>
      <c r="C348">
        <v>1660</v>
      </c>
      <c r="D348">
        <v>1.9</v>
      </c>
      <c r="E348">
        <v>23882</v>
      </c>
      <c r="F348">
        <v>0</v>
      </c>
      <c r="G348">
        <v>460</v>
      </c>
      <c r="H348">
        <v>125</v>
      </c>
      <c r="I348">
        <v>195</v>
      </c>
      <c r="J348">
        <v>18.5</v>
      </c>
      <c r="K348">
        <v>2.2000000000000002</v>
      </c>
      <c r="L348">
        <v>43.1</v>
      </c>
      <c r="M348">
        <v>27.1</v>
      </c>
      <c r="N348">
        <v>37.1</v>
      </c>
      <c r="T348" t="str">
        <f t="shared" si="10"/>
        <v>Sagkeeng First Nation</v>
      </c>
      <c r="W348">
        <v>0</v>
      </c>
      <c r="X348">
        <v>17991</v>
      </c>
      <c r="Y348">
        <v>15249</v>
      </c>
      <c r="Z348">
        <v>7004</v>
      </c>
      <c r="AA348">
        <v>6013</v>
      </c>
      <c r="AB348">
        <v>555</v>
      </c>
      <c r="AC348">
        <v>1025</v>
      </c>
      <c r="AD348">
        <v>230</v>
      </c>
      <c r="AE348">
        <v>95</v>
      </c>
    </row>
    <row r="349" spans="1:31">
      <c r="A349" t="s">
        <v>263</v>
      </c>
      <c r="B349">
        <v>24</v>
      </c>
      <c r="C349" s="102"/>
      <c r="D349" s="102"/>
      <c r="E349" s="102"/>
      <c r="F349" s="102"/>
      <c r="G349" s="102"/>
      <c r="H349" s="102"/>
      <c r="I349" s="102"/>
      <c r="J349" s="102"/>
      <c r="K349" s="102"/>
      <c r="L349" s="102"/>
      <c r="M349" s="102"/>
      <c r="N349" s="102"/>
      <c r="T349">
        <f t="shared" si="10"/>
        <v>0</v>
      </c>
      <c r="AB349">
        <v>0</v>
      </c>
      <c r="AC349">
        <v>0</v>
      </c>
      <c r="AD349">
        <v>0</v>
      </c>
      <c r="AE349">
        <v>0</v>
      </c>
    </row>
    <row r="350" spans="1:31">
      <c r="A350" t="s">
        <v>264</v>
      </c>
      <c r="B350">
        <v>2230</v>
      </c>
      <c r="C350">
        <v>2230</v>
      </c>
      <c r="D350">
        <v>2.4</v>
      </c>
      <c r="E350">
        <v>22854</v>
      </c>
      <c r="F350">
        <v>0</v>
      </c>
      <c r="G350">
        <v>475</v>
      </c>
      <c r="H350">
        <v>150</v>
      </c>
      <c r="I350">
        <v>235</v>
      </c>
      <c r="J350">
        <v>0</v>
      </c>
      <c r="K350">
        <v>0</v>
      </c>
      <c r="L350">
        <v>39</v>
      </c>
      <c r="M350">
        <v>25.6</v>
      </c>
      <c r="N350">
        <v>34.4</v>
      </c>
      <c r="T350" t="str">
        <f t="shared" si="10"/>
        <v>Sandy Bay First Nation</v>
      </c>
      <c r="W350">
        <v>0</v>
      </c>
      <c r="X350">
        <v>12975</v>
      </c>
      <c r="Y350">
        <v>15076</v>
      </c>
      <c r="Z350">
        <v>6824</v>
      </c>
      <c r="AA350">
        <v>6992</v>
      </c>
      <c r="AB350">
        <v>1010</v>
      </c>
      <c r="AC350">
        <v>1200</v>
      </c>
      <c r="AD350">
        <v>205</v>
      </c>
      <c r="AE350">
        <v>45</v>
      </c>
    </row>
    <row r="351" spans="1:31">
      <c r="A351" t="s">
        <v>265</v>
      </c>
      <c r="B351">
        <v>530</v>
      </c>
      <c r="C351">
        <v>535</v>
      </c>
      <c r="D351">
        <v>2.7</v>
      </c>
      <c r="E351">
        <v>22076</v>
      </c>
      <c r="F351">
        <v>0</v>
      </c>
      <c r="G351">
        <v>140</v>
      </c>
      <c r="H351">
        <v>35</v>
      </c>
      <c r="I351">
        <v>80</v>
      </c>
      <c r="J351">
        <v>0</v>
      </c>
      <c r="K351">
        <v>0</v>
      </c>
      <c r="L351">
        <v>55.4</v>
      </c>
      <c r="M351">
        <v>37.5</v>
      </c>
      <c r="N351">
        <v>35.5</v>
      </c>
      <c r="T351" t="str">
        <f t="shared" si="10"/>
        <v>Sapotaweyak Cree Nation</v>
      </c>
      <c r="W351">
        <v>0</v>
      </c>
      <c r="X351">
        <v>9675</v>
      </c>
      <c r="Y351">
        <v>12860</v>
      </c>
      <c r="Z351">
        <v>6192</v>
      </c>
      <c r="AA351">
        <v>6320</v>
      </c>
      <c r="AB351">
        <v>255</v>
      </c>
      <c r="AC351">
        <v>255</v>
      </c>
      <c r="AD351">
        <v>45</v>
      </c>
      <c r="AE351">
        <v>0</v>
      </c>
    </row>
    <row r="352" spans="1:31">
      <c r="A352" t="s">
        <v>665</v>
      </c>
      <c r="B352">
        <v>650</v>
      </c>
      <c r="C352">
        <v>650</v>
      </c>
      <c r="D352">
        <v>1.4</v>
      </c>
      <c r="E352">
        <v>41759</v>
      </c>
      <c r="F352">
        <v>24.1</v>
      </c>
      <c r="G352">
        <v>225</v>
      </c>
      <c r="H352">
        <v>105</v>
      </c>
      <c r="I352">
        <v>30</v>
      </c>
      <c r="J352">
        <v>82.2</v>
      </c>
      <c r="K352">
        <v>17.8</v>
      </c>
      <c r="L352">
        <v>83.3</v>
      </c>
      <c r="M352">
        <v>81.400000000000006</v>
      </c>
      <c r="N352">
        <v>3.5</v>
      </c>
      <c r="T352">
        <f t="shared" si="10"/>
        <v>0</v>
      </c>
      <c r="W352">
        <v>0</v>
      </c>
      <c r="X352">
        <v>17161</v>
      </c>
      <c r="Y352">
        <v>13307</v>
      </c>
      <c r="Z352">
        <v>15649</v>
      </c>
      <c r="AA352">
        <v>9303</v>
      </c>
      <c r="AB352">
        <v>140</v>
      </c>
      <c r="AC352">
        <v>440</v>
      </c>
      <c r="AD352">
        <v>165</v>
      </c>
      <c r="AE352">
        <v>60</v>
      </c>
    </row>
    <row r="353" spans="1:31">
      <c r="A353" t="s">
        <v>441</v>
      </c>
      <c r="B353">
        <v>9345</v>
      </c>
      <c r="C353">
        <v>9295</v>
      </c>
      <c r="D353">
        <v>1.2</v>
      </c>
      <c r="E353">
        <v>48429</v>
      </c>
      <c r="F353">
        <v>15.9</v>
      </c>
      <c r="G353">
        <v>3710</v>
      </c>
      <c r="H353">
        <v>1010</v>
      </c>
      <c r="I353">
        <v>530</v>
      </c>
      <c r="J353">
        <v>64.7</v>
      </c>
      <c r="K353">
        <v>35.299999999999997</v>
      </c>
      <c r="L353">
        <v>63</v>
      </c>
      <c r="M353">
        <v>56.6</v>
      </c>
      <c r="N353">
        <v>10.199999999999999</v>
      </c>
      <c r="T353">
        <f t="shared" si="10"/>
        <v>0</v>
      </c>
      <c r="W353">
        <v>0</v>
      </c>
      <c r="X353">
        <v>28901</v>
      </c>
      <c r="Y353">
        <v>18173</v>
      </c>
      <c r="Z353">
        <v>24923</v>
      </c>
      <c r="AA353">
        <v>15025</v>
      </c>
      <c r="AB353">
        <v>1920</v>
      </c>
      <c r="AC353">
        <v>6005</v>
      </c>
      <c r="AD353">
        <v>1970</v>
      </c>
      <c r="AE353">
        <v>1405</v>
      </c>
    </row>
    <row r="354" spans="1:31">
      <c r="A354" t="s">
        <v>267</v>
      </c>
      <c r="B354">
        <v>132</v>
      </c>
      <c r="C354" s="102"/>
      <c r="D354" s="102"/>
      <c r="E354" s="102"/>
      <c r="F354" s="102"/>
      <c r="G354" s="102"/>
      <c r="H354" s="102"/>
      <c r="I354" s="102"/>
      <c r="J354" s="102"/>
      <c r="K354" s="102"/>
      <c r="L354" s="102"/>
      <c r="M354" s="102"/>
      <c r="N354" s="102"/>
      <c r="T354">
        <f t="shared" si="10"/>
        <v>0</v>
      </c>
      <c r="AB354">
        <v>0</v>
      </c>
      <c r="AC354">
        <v>0</v>
      </c>
      <c r="AD354">
        <v>0</v>
      </c>
      <c r="AE354">
        <v>0</v>
      </c>
    </row>
    <row r="355" spans="1:31">
      <c r="A355" t="s">
        <v>268</v>
      </c>
      <c r="B355">
        <v>750</v>
      </c>
      <c r="C355">
        <v>750</v>
      </c>
      <c r="D355">
        <v>3.1</v>
      </c>
      <c r="E355">
        <v>34010</v>
      </c>
      <c r="F355">
        <v>0</v>
      </c>
      <c r="G355">
        <v>140</v>
      </c>
      <c r="H355">
        <v>45</v>
      </c>
      <c r="I355">
        <v>45</v>
      </c>
      <c r="J355">
        <v>7.1</v>
      </c>
      <c r="K355">
        <v>35.700000000000003</v>
      </c>
      <c r="L355">
        <v>34.1</v>
      </c>
      <c r="M355">
        <v>28</v>
      </c>
      <c r="N355">
        <v>14.3</v>
      </c>
      <c r="T355" t="str">
        <f t="shared" si="10"/>
        <v>Shamattawa First Nation</v>
      </c>
      <c r="W355">
        <v>0</v>
      </c>
      <c r="X355">
        <v>19695</v>
      </c>
      <c r="Y355">
        <v>18084</v>
      </c>
      <c r="Z355">
        <v>9696</v>
      </c>
      <c r="AA355">
        <v>5584</v>
      </c>
      <c r="AB355">
        <v>340</v>
      </c>
      <c r="AC355">
        <v>410</v>
      </c>
      <c r="AD355">
        <v>80</v>
      </c>
      <c r="AE355">
        <v>30</v>
      </c>
    </row>
    <row r="356" spans="1:31">
      <c r="A356" t="s">
        <v>679</v>
      </c>
      <c r="B356">
        <v>1075</v>
      </c>
      <c r="C356">
        <v>1070</v>
      </c>
      <c r="D356">
        <v>1.1000000000000001</v>
      </c>
      <c r="E356">
        <v>37010</v>
      </c>
      <c r="F356">
        <v>9.6</v>
      </c>
      <c r="G356">
        <v>355</v>
      </c>
      <c r="H356">
        <v>140</v>
      </c>
      <c r="I356">
        <v>70</v>
      </c>
      <c r="J356">
        <v>94.4</v>
      </c>
      <c r="K356">
        <v>5.6</v>
      </c>
      <c r="L356">
        <v>73.099999999999994</v>
      </c>
      <c r="M356">
        <v>71.3</v>
      </c>
      <c r="N356">
        <v>2.5</v>
      </c>
      <c r="T356">
        <f t="shared" si="10"/>
        <v>0</v>
      </c>
      <c r="W356">
        <v>0</v>
      </c>
      <c r="X356">
        <v>15341</v>
      </c>
      <c r="Y356">
        <v>15868</v>
      </c>
      <c r="Z356">
        <v>12069</v>
      </c>
      <c r="AA356">
        <v>10942</v>
      </c>
      <c r="AB356">
        <v>235</v>
      </c>
      <c r="AC356">
        <v>685</v>
      </c>
      <c r="AD356">
        <v>225</v>
      </c>
      <c r="AE356">
        <v>140</v>
      </c>
    </row>
    <row r="357" spans="1:31">
      <c r="A357" t="s">
        <v>847</v>
      </c>
      <c r="B357">
        <v>1075</v>
      </c>
      <c r="C357">
        <v>1070</v>
      </c>
      <c r="D357">
        <v>1.2</v>
      </c>
      <c r="E357">
        <v>34504</v>
      </c>
      <c r="F357">
        <v>25.8</v>
      </c>
      <c r="G357">
        <v>410</v>
      </c>
      <c r="H357">
        <v>145</v>
      </c>
      <c r="I357">
        <v>90</v>
      </c>
      <c r="J357">
        <v>90.2</v>
      </c>
      <c r="K357">
        <v>11</v>
      </c>
      <c r="L357">
        <v>67.3</v>
      </c>
      <c r="M357">
        <v>64.3</v>
      </c>
      <c r="N357">
        <v>5.3</v>
      </c>
      <c r="T357">
        <f t="shared" si="10"/>
        <v>0</v>
      </c>
      <c r="W357">
        <v>0</v>
      </c>
      <c r="X357">
        <v>17144</v>
      </c>
      <c r="Y357">
        <v>11126</v>
      </c>
      <c r="Z357">
        <v>13346</v>
      </c>
      <c r="AA357">
        <v>9989</v>
      </c>
      <c r="AB357">
        <v>230</v>
      </c>
      <c r="AC357">
        <v>710</v>
      </c>
      <c r="AD357">
        <v>285</v>
      </c>
      <c r="AE357">
        <v>125</v>
      </c>
    </row>
    <row r="358" spans="1:31">
      <c r="A358" t="s">
        <v>444</v>
      </c>
      <c r="B358">
        <v>97</v>
      </c>
      <c r="C358" s="102"/>
      <c r="D358" s="102"/>
      <c r="E358" s="102"/>
      <c r="F358" s="102"/>
      <c r="G358" s="102"/>
      <c r="H358" s="102"/>
      <c r="I358" s="102"/>
      <c r="J358" s="102"/>
      <c r="K358" s="102"/>
      <c r="L358" s="102"/>
      <c r="M358" s="102"/>
      <c r="N358" s="102"/>
      <c r="T358">
        <f t="shared" si="10"/>
        <v>0</v>
      </c>
      <c r="AB358">
        <v>0</v>
      </c>
      <c r="AC358">
        <v>0</v>
      </c>
      <c r="AD358">
        <v>0</v>
      </c>
      <c r="AE358">
        <v>0</v>
      </c>
    </row>
    <row r="359" spans="1:31">
      <c r="A359" t="s">
        <v>446</v>
      </c>
      <c r="B359">
        <v>765</v>
      </c>
      <c r="C359">
        <v>765</v>
      </c>
      <c r="D359">
        <v>1</v>
      </c>
      <c r="E359">
        <v>36776</v>
      </c>
      <c r="F359">
        <v>16.7</v>
      </c>
      <c r="G359">
        <v>365</v>
      </c>
      <c r="H359">
        <v>105</v>
      </c>
      <c r="I359">
        <v>65</v>
      </c>
      <c r="J359">
        <v>74</v>
      </c>
      <c r="K359">
        <v>24.7</v>
      </c>
      <c r="L359">
        <v>47.2</v>
      </c>
      <c r="M359">
        <v>43.3</v>
      </c>
      <c r="N359">
        <v>10</v>
      </c>
      <c r="T359">
        <f>IFERROR(VLOOKUP(A359,$U$12:$U$74,1,0),0)</f>
        <v>0</v>
      </c>
      <c r="W359">
        <v>0</v>
      </c>
      <c r="X359">
        <v>23872</v>
      </c>
      <c r="Y359">
        <v>11643</v>
      </c>
      <c r="Z359">
        <v>19556</v>
      </c>
      <c r="AA359">
        <v>11371</v>
      </c>
      <c r="AB359">
        <v>140</v>
      </c>
      <c r="AC359">
        <v>345</v>
      </c>
      <c r="AD359">
        <v>130</v>
      </c>
      <c r="AE359">
        <v>280</v>
      </c>
    </row>
    <row r="360" spans="1:31">
      <c r="A360" s="82" t="s">
        <v>783</v>
      </c>
      <c r="B360">
        <v>595</v>
      </c>
      <c r="C360">
        <v>595</v>
      </c>
      <c r="D360">
        <v>1</v>
      </c>
      <c r="E360">
        <v>48239</v>
      </c>
      <c r="F360">
        <v>13.2</v>
      </c>
      <c r="G360">
        <v>280</v>
      </c>
      <c r="H360">
        <v>70</v>
      </c>
      <c r="I360">
        <v>55</v>
      </c>
      <c r="J360">
        <v>94.6</v>
      </c>
      <c r="K360">
        <v>5.4</v>
      </c>
      <c r="L360">
        <v>54.6</v>
      </c>
      <c r="M360">
        <v>52.6</v>
      </c>
      <c r="N360">
        <v>0</v>
      </c>
      <c r="T360">
        <f>IFERROR(VLOOKUP(A360,$U$12:$U$74,1,0),0)</f>
        <v>0</v>
      </c>
      <c r="W360">
        <v>0</v>
      </c>
      <c r="X360">
        <v>21398</v>
      </c>
      <c r="Y360">
        <v>12909</v>
      </c>
      <c r="Z360">
        <v>15338</v>
      </c>
      <c r="AA360">
        <v>13598</v>
      </c>
      <c r="AB360">
        <v>110</v>
      </c>
      <c r="AC360">
        <v>310</v>
      </c>
      <c r="AD360">
        <v>155</v>
      </c>
      <c r="AE360">
        <v>175</v>
      </c>
    </row>
    <row r="361" spans="1:31">
      <c r="A361" t="s">
        <v>629</v>
      </c>
      <c r="B361">
        <v>755</v>
      </c>
      <c r="C361">
        <v>755</v>
      </c>
      <c r="D361">
        <v>1.1000000000000001</v>
      </c>
      <c r="E361">
        <v>41321</v>
      </c>
      <c r="F361">
        <v>10.5</v>
      </c>
      <c r="G361">
        <v>270</v>
      </c>
      <c r="H361">
        <v>130</v>
      </c>
      <c r="I361">
        <v>50</v>
      </c>
      <c r="J361">
        <v>92.6</v>
      </c>
      <c r="K361">
        <v>7.4</v>
      </c>
      <c r="L361">
        <v>81.7</v>
      </c>
      <c r="M361">
        <v>81.7</v>
      </c>
      <c r="N361">
        <v>0</v>
      </c>
      <c r="T361">
        <f t="shared" si="10"/>
        <v>0</v>
      </c>
      <c r="W361">
        <v>0</v>
      </c>
      <c r="X361">
        <v>18462</v>
      </c>
      <c r="Y361">
        <v>12657</v>
      </c>
      <c r="Z361">
        <v>14273</v>
      </c>
      <c r="AA361">
        <v>10865</v>
      </c>
      <c r="AB361">
        <v>155</v>
      </c>
      <c r="AC361">
        <v>520</v>
      </c>
      <c r="AD361">
        <v>200</v>
      </c>
      <c r="AE361">
        <v>70</v>
      </c>
    </row>
    <row r="362" spans="1:31">
      <c r="A362" t="s">
        <v>689</v>
      </c>
      <c r="B362">
        <v>1595</v>
      </c>
      <c r="C362">
        <v>1590</v>
      </c>
      <c r="D362">
        <v>1.1000000000000001</v>
      </c>
      <c r="E362">
        <v>31713</v>
      </c>
      <c r="F362">
        <v>25.5</v>
      </c>
      <c r="G362">
        <v>650</v>
      </c>
      <c r="H362">
        <v>190</v>
      </c>
      <c r="I362">
        <v>85</v>
      </c>
      <c r="J362">
        <v>72.3</v>
      </c>
      <c r="K362">
        <v>27.7</v>
      </c>
      <c r="L362">
        <v>62.7</v>
      </c>
      <c r="M362">
        <v>56.7</v>
      </c>
      <c r="N362">
        <v>9.5</v>
      </c>
      <c r="T362">
        <f t="shared" si="10"/>
        <v>0</v>
      </c>
      <c r="W362">
        <v>0</v>
      </c>
      <c r="X362">
        <v>15452</v>
      </c>
      <c r="Y362">
        <v>13011</v>
      </c>
      <c r="Z362">
        <v>12889</v>
      </c>
      <c r="AA362">
        <v>10945</v>
      </c>
      <c r="AB362">
        <v>340</v>
      </c>
      <c r="AC362">
        <v>950</v>
      </c>
      <c r="AD362">
        <v>365</v>
      </c>
      <c r="AE362">
        <v>305</v>
      </c>
    </row>
    <row r="363" spans="1:31">
      <c r="A363" t="s">
        <v>676</v>
      </c>
      <c r="B363">
        <v>555</v>
      </c>
      <c r="C363">
        <v>550</v>
      </c>
      <c r="D363">
        <v>1.2</v>
      </c>
      <c r="E363">
        <v>43120</v>
      </c>
      <c r="F363">
        <v>18.5</v>
      </c>
      <c r="G363">
        <v>220</v>
      </c>
      <c r="H363">
        <v>80</v>
      </c>
      <c r="I363">
        <v>30</v>
      </c>
      <c r="J363">
        <v>90.9</v>
      </c>
      <c r="K363">
        <v>6.8</v>
      </c>
      <c r="L363">
        <v>75.900000000000006</v>
      </c>
      <c r="M363">
        <v>72.400000000000006</v>
      </c>
      <c r="N363">
        <v>3</v>
      </c>
      <c r="T363">
        <f t="shared" si="10"/>
        <v>0</v>
      </c>
      <c r="W363">
        <v>0</v>
      </c>
      <c r="X363">
        <v>22885</v>
      </c>
      <c r="Y363">
        <v>12117</v>
      </c>
      <c r="Z363">
        <v>14935</v>
      </c>
      <c r="AA363">
        <v>8236</v>
      </c>
      <c r="AB363">
        <v>115</v>
      </c>
      <c r="AC363">
        <v>335</v>
      </c>
      <c r="AD363">
        <v>105</v>
      </c>
      <c r="AE363">
        <v>100</v>
      </c>
    </row>
    <row r="364" spans="1:31">
      <c r="A364" t="s">
        <v>269</v>
      </c>
      <c r="B364">
        <v>1030</v>
      </c>
      <c r="C364">
        <v>1010</v>
      </c>
      <c r="D364">
        <v>2</v>
      </c>
      <c r="E364">
        <v>19034</v>
      </c>
      <c r="F364">
        <v>0</v>
      </c>
      <c r="G364">
        <v>295</v>
      </c>
      <c r="H364">
        <v>80</v>
      </c>
      <c r="I364">
        <v>125</v>
      </c>
      <c r="J364">
        <v>0</v>
      </c>
      <c r="K364">
        <v>6.8</v>
      </c>
      <c r="L364">
        <v>46.9</v>
      </c>
      <c r="M364">
        <v>30.8</v>
      </c>
      <c r="N364">
        <v>34.4</v>
      </c>
      <c r="T364" t="str">
        <f t="shared" si="10"/>
        <v>Sioux Valley Dakota Nation</v>
      </c>
      <c r="W364">
        <v>0</v>
      </c>
      <c r="X364">
        <v>8813</v>
      </c>
      <c r="Y364">
        <v>12837</v>
      </c>
      <c r="Z364">
        <v>5808</v>
      </c>
      <c r="AA364">
        <v>8288</v>
      </c>
      <c r="AB364">
        <v>380</v>
      </c>
      <c r="AC364">
        <v>585</v>
      </c>
      <c r="AD364">
        <v>130</v>
      </c>
      <c r="AE364">
        <v>75</v>
      </c>
    </row>
    <row r="365" spans="1:31">
      <c r="A365" t="s">
        <v>270</v>
      </c>
      <c r="B365">
        <v>485</v>
      </c>
      <c r="C365">
        <v>490</v>
      </c>
      <c r="D365">
        <v>2.2000000000000002</v>
      </c>
      <c r="E365">
        <v>23971</v>
      </c>
      <c r="F365">
        <v>0</v>
      </c>
      <c r="G365">
        <v>115</v>
      </c>
      <c r="H365">
        <v>30</v>
      </c>
      <c r="I365">
        <v>65</v>
      </c>
      <c r="J365">
        <v>0</v>
      </c>
      <c r="K365">
        <v>8.6999999999999993</v>
      </c>
      <c r="L365">
        <v>27.6</v>
      </c>
      <c r="M365">
        <v>22.4</v>
      </c>
      <c r="N365">
        <v>18.8</v>
      </c>
      <c r="T365" t="str">
        <f t="shared" si="10"/>
        <v>Skownan First Nation</v>
      </c>
      <c r="W365">
        <v>0</v>
      </c>
      <c r="X365">
        <v>14079</v>
      </c>
      <c r="Y365">
        <v>15064</v>
      </c>
      <c r="Z365">
        <v>8776</v>
      </c>
      <c r="AA365">
        <v>2859</v>
      </c>
      <c r="AB365">
        <v>210</v>
      </c>
      <c r="AC365">
        <v>295</v>
      </c>
      <c r="AD365">
        <v>75</v>
      </c>
      <c r="AE365">
        <v>40</v>
      </c>
    </row>
    <row r="366" spans="1:31">
      <c r="A366" t="s">
        <v>448</v>
      </c>
      <c r="B366">
        <v>1305</v>
      </c>
      <c r="C366">
        <v>1300</v>
      </c>
      <c r="D366">
        <v>1.3</v>
      </c>
      <c r="E366">
        <v>60352</v>
      </c>
      <c r="F366">
        <v>8.1</v>
      </c>
      <c r="G366">
        <v>465</v>
      </c>
      <c r="H366">
        <v>205</v>
      </c>
      <c r="I366">
        <v>80</v>
      </c>
      <c r="J366">
        <v>73.099999999999994</v>
      </c>
      <c r="K366">
        <v>26.9</v>
      </c>
      <c r="L366">
        <v>75.8</v>
      </c>
      <c r="M366">
        <v>72.2</v>
      </c>
      <c r="N366">
        <v>4.0999999999999996</v>
      </c>
      <c r="T366">
        <f t="shared" si="10"/>
        <v>0</v>
      </c>
      <c r="W366">
        <v>0</v>
      </c>
      <c r="X366">
        <v>40123</v>
      </c>
      <c r="Y366">
        <v>12266</v>
      </c>
      <c r="Z366">
        <v>43663</v>
      </c>
      <c r="AA366">
        <v>10185</v>
      </c>
      <c r="AB366">
        <v>335</v>
      </c>
      <c r="AC366">
        <v>920</v>
      </c>
      <c r="AD366">
        <v>300</v>
      </c>
      <c r="AE366">
        <v>55</v>
      </c>
    </row>
    <row r="367" spans="1:31">
      <c r="A367" t="s">
        <v>449</v>
      </c>
      <c r="B367">
        <v>465</v>
      </c>
      <c r="C367">
        <v>465</v>
      </c>
      <c r="D367">
        <v>1.1000000000000001</v>
      </c>
      <c r="E367">
        <v>45883</v>
      </c>
      <c r="F367">
        <v>5.4</v>
      </c>
      <c r="G367">
        <v>190</v>
      </c>
      <c r="H367">
        <v>60</v>
      </c>
      <c r="I367">
        <v>10</v>
      </c>
      <c r="J367">
        <v>86.8</v>
      </c>
      <c r="K367">
        <v>13.2</v>
      </c>
      <c r="L367">
        <v>67.599999999999994</v>
      </c>
      <c r="M367">
        <v>64.8</v>
      </c>
      <c r="N367">
        <v>4.2</v>
      </c>
      <c r="T367">
        <f t="shared" si="10"/>
        <v>0</v>
      </c>
      <c r="W367">
        <v>0</v>
      </c>
      <c r="X367">
        <v>15691</v>
      </c>
      <c r="Y367">
        <v>15100</v>
      </c>
      <c r="Z367">
        <v>28309</v>
      </c>
      <c r="AA367">
        <v>12931</v>
      </c>
      <c r="AB367">
        <v>120</v>
      </c>
      <c r="AC367">
        <v>250</v>
      </c>
      <c r="AD367">
        <v>110</v>
      </c>
      <c r="AE367">
        <v>80</v>
      </c>
    </row>
    <row r="368" spans="1:31">
      <c r="A368" t="s">
        <v>450</v>
      </c>
      <c r="B368">
        <v>1560</v>
      </c>
      <c r="C368">
        <v>1560</v>
      </c>
      <c r="D368">
        <v>1</v>
      </c>
      <c r="E368">
        <v>44972</v>
      </c>
      <c r="F368">
        <v>5.6</v>
      </c>
      <c r="G368">
        <v>740</v>
      </c>
      <c r="H368">
        <v>210</v>
      </c>
      <c r="I368">
        <v>80</v>
      </c>
      <c r="J368">
        <v>74.3</v>
      </c>
      <c r="K368">
        <v>25</v>
      </c>
      <c r="L368">
        <v>54.8</v>
      </c>
      <c r="M368">
        <v>54.4</v>
      </c>
      <c r="N368">
        <v>1.4</v>
      </c>
      <c r="T368">
        <f t="shared" si="10"/>
        <v>0</v>
      </c>
      <c r="W368">
        <v>0</v>
      </c>
      <c r="X368">
        <v>25818</v>
      </c>
      <c r="Y368">
        <v>19411</v>
      </c>
      <c r="Z368">
        <v>20515</v>
      </c>
      <c r="AA368">
        <v>12948</v>
      </c>
      <c r="AB368">
        <v>270</v>
      </c>
      <c r="AC368">
        <v>865</v>
      </c>
      <c r="AD368">
        <v>295</v>
      </c>
      <c r="AE368">
        <v>435</v>
      </c>
    </row>
    <row r="369" spans="1:31">
      <c r="A369" t="s">
        <v>765</v>
      </c>
      <c r="B369">
        <v>50225</v>
      </c>
      <c r="C369">
        <v>48955</v>
      </c>
      <c r="D369">
        <v>1.4</v>
      </c>
      <c r="E369">
        <v>45278</v>
      </c>
      <c r="F369">
        <v>9.9</v>
      </c>
      <c r="G369">
        <v>17420</v>
      </c>
      <c r="H369">
        <v>5115</v>
      </c>
      <c r="I369">
        <v>1850</v>
      </c>
      <c r="J369">
        <v>78.8</v>
      </c>
      <c r="K369">
        <v>20.7</v>
      </c>
      <c r="L369">
        <v>67.099999999999994</v>
      </c>
      <c r="M369">
        <v>64.2</v>
      </c>
      <c r="N369">
        <v>4.3</v>
      </c>
      <c r="T369">
        <f t="shared" ref="T369:T400" si="11">IFERROR(VLOOKUP(A369,$U$12:$U$74,1,0),0)</f>
        <v>0</v>
      </c>
      <c r="AB369">
        <v>0</v>
      </c>
      <c r="AC369">
        <v>0</v>
      </c>
      <c r="AD369">
        <v>0</v>
      </c>
      <c r="AE369">
        <v>0</v>
      </c>
    </row>
    <row r="370" spans="1:31">
      <c r="A370" t="s">
        <v>632</v>
      </c>
      <c r="B370">
        <v>860</v>
      </c>
      <c r="C370">
        <v>640</v>
      </c>
      <c r="D370">
        <v>1.1000000000000001</v>
      </c>
      <c r="E370">
        <v>36856</v>
      </c>
      <c r="F370">
        <v>17</v>
      </c>
      <c r="G370">
        <v>230</v>
      </c>
      <c r="H370">
        <v>105</v>
      </c>
      <c r="I370">
        <v>25</v>
      </c>
      <c r="J370">
        <v>95.7</v>
      </c>
      <c r="K370">
        <v>4.3</v>
      </c>
      <c r="L370">
        <v>79.2</v>
      </c>
      <c r="M370">
        <v>75.2</v>
      </c>
      <c r="N370">
        <v>5.0999999999999996</v>
      </c>
      <c r="T370">
        <f t="shared" si="11"/>
        <v>0</v>
      </c>
      <c r="W370">
        <v>0</v>
      </c>
      <c r="X370">
        <v>17031</v>
      </c>
      <c r="Y370">
        <v>12558</v>
      </c>
      <c r="Z370">
        <v>14328</v>
      </c>
      <c r="AA370">
        <v>8840</v>
      </c>
      <c r="AB370">
        <v>230</v>
      </c>
      <c r="AC370">
        <v>560</v>
      </c>
      <c r="AD370">
        <v>240</v>
      </c>
      <c r="AE370">
        <v>50</v>
      </c>
    </row>
    <row r="371" spans="1:31">
      <c r="A371" t="s">
        <v>766</v>
      </c>
      <c r="T371">
        <f t="shared" si="11"/>
        <v>0</v>
      </c>
      <c r="W371">
        <v>0</v>
      </c>
      <c r="X371">
        <v>0</v>
      </c>
      <c r="Y371">
        <v>0</v>
      </c>
      <c r="Z371">
        <v>0</v>
      </c>
      <c r="AA371">
        <v>0</v>
      </c>
      <c r="AB371">
        <v>0</v>
      </c>
      <c r="AC371">
        <v>0</v>
      </c>
      <c r="AD371">
        <v>0</v>
      </c>
      <c r="AE371">
        <v>0</v>
      </c>
    </row>
    <row r="372" spans="1:31">
      <c r="A372" t="s">
        <v>640</v>
      </c>
      <c r="B372">
        <v>1280</v>
      </c>
      <c r="C372">
        <v>1135</v>
      </c>
      <c r="D372">
        <v>1.4</v>
      </c>
      <c r="E372">
        <v>45257</v>
      </c>
      <c r="F372">
        <v>13.8</v>
      </c>
      <c r="G372">
        <v>395</v>
      </c>
      <c r="H372">
        <v>95</v>
      </c>
      <c r="I372">
        <v>25</v>
      </c>
      <c r="J372">
        <v>83.5</v>
      </c>
      <c r="K372">
        <v>15.2</v>
      </c>
      <c r="L372">
        <v>80.099999999999994</v>
      </c>
      <c r="M372">
        <v>78.5</v>
      </c>
      <c r="N372">
        <v>2</v>
      </c>
      <c r="T372">
        <f t="shared" si="11"/>
        <v>0</v>
      </c>
      <c r="W372">
        <v>0</v>
      </c>
      <c r="X372">
        <v>15536</v>
      </c>
      <c r="Y372">
        <v>19270</v>
      </c>
      <c r="Z372">
        <v>15687</v>
      </c>
      <c r="AA372">
        <v>15624</v>
      </c>
      <c r="AB372">
        <v>340</v>
      </c>
      <c r="AC372">
        <v>795</v>
      </c>
      <c r="AD372">
        <v>280</v>
      </c>
      <c r="AE372">
        <v>125</v>
      </c>
    </row>
    <row r="373" spans="1:31">
      <c r="A373" t="s">
        <v>570</v>
      </c>
      <c r="B373">
        <v>82305</v>
      </c>
      <c r="C373">
        <v>81335</v>
      </c>
      <c r="D373">
        <v>1.3</v>
      </c>
      <c r="E373">
        <v>48517</v>
      </c>
      <c r="F373">
        <v>9.3000000000000007</v>
      </c>
      <c r="G373">
        <v>28240</v>
      </c>
      <c r="H373">
        <v>8755</v>
      </c>
      <c r="I373">
        <v>2860</v>
      </c>
      <c r="J373">
        <v>83</v>
      </c>
      <c r="K373">
        <v>16.5</v>
      </c>
      <c r="L373">
        <v>69.599999999999994</v>
      </c>
      <c r="M373">
        <v>65.5</v>
      </c>
      <c r="N373">
        <v>5.9</v>
      </c>
      <c r="T373">
        <f t="shared" si="11"/>
        <v>0</v>
      </c>
      <c r="AB373">
        <v>0</v>
      </c>
      <c r="AC373">
        <v>0</v>
      </c>
      <c r="AD373">
        <v>0</v>
      </c>
      <c r="AE373">
        <v>0</v>
      </c>
    </row>
    <row r="374" spans="1:31">
      <c r="A374" t="s">
        <v>572</v>
      </c>
      <c r="B374">
        <v>103255</v>
      </c>
      <c r="C374">
        <v>101165</v>
      </c>
      <c r="D374">
        <v>1.1000000000000001</v>
      </c>
      <c r="E374">
        <v>45426</v>
      </c>
      <c r="F374">
        <v>12.7</v>
      </c>
      <c r="G374">
        <v>40970</v>
      </c>
      <c r="H374">
        <v>13240</v>
      </c>
      <c r="I374">
        <v>4285</v>
      </c>
      <c r="J374">
        <v>71.3</v>
      </c>
      <c r="K374">
        <v>27.2</v>
      </c>
      <c r="L374">
        <v>66.5</v>
      </c>
      <c r="M374">
        <v>62.8</v>
      </c>
      <c r="N374">
        <v>5.6</v>
      </c>
      <c r="T374">
        <f t="shared" si="11"/>
        <v>0</v>
      </c>
      <c r="AB374">
        <v>0</v>
      </c>
      <c r="AC374">
        <v>0</v>
      </c>
      <c r="AD374">
        <v>0</v>
      </c>
      <c r="AE374">
        <v>0</v>
      </c>
    </row>
    <row r="375" spans="1:31">
      <c r="A375" t="s">
        <v>271</v>
      </c>
      <c r="B375">
        <v>42</v>
      </c>
      <c r="C375" s="102"/>
      <c r="D375" s="102"/>
      <c r="E375" s="102"/>
      <c r="F375" s="102"/>
      <c r="G375" s="102"/>
      <c r="H375" s="102"/>
      <c r="I375" s="102"/>
      <c r="J375" s="102"/>
      <c r="K375" s="102"/>
      <c r="L375" s="102"/>
      <c r="M375" s="102"/>
      <c r="N375" s="102"/>
      <c r="T375">
        <f t="shared" si="11"/>
        <v>0</v>
      </c>
      <c r="AB375">
        <v>0</v>
      </c>
      <c r="AC375">
        <v>0</v>
      </c>
      <c r="AD375">
        <v>0</v>
      </c>
      <c r="AE375">
        <v>0</v>
      </c>
    </row>
    <row r="376" spans="1:31">
      <c r="A376" t="s">
        <v>654</v>
      </c>
      <c r="B376">
        <v>12135</v>
      </c>
      <c r="C376">
        <v>11880</v>
      </c>
      <c r="D376">
        <v>1.3</v>
      </c>
      <c r="E376">
        <v>60322</v>
      </c>
      <c r="F376">
        <v>4.4000000000000004</v>
      </c>
      <c r="G376">
        <v>3965</v>
      </c>
      <c r="H376">
        <v>1255</v>
      </c>
      <c r="I376">
        <v>390</v>
      </c>
      <c r="J376">
        <v>93.8</v>
      </c>
      <c r="K376">
        <v>6.2</v>
      </c>
      <c r="L376">
        <v>74.7</v>
      </c>
      <c r="M376">
        <v>71</v>
      </c>
      <c r="N376">
        <v>4.9000000000000004</v>
      </c>
      <c r="T376">
        <f t="shared" si="11"/>
        <v>0</v>
      </c>
      <c r="W376">
        <v>0</v>
      </c>
      <c r="X376">
        <v>32324</v>
      </c>
      <c r="Y376">
        <v>17959</v>
      </c>
      <c r="Z376">
        <v>30619</v>
      </c>
      <c r="AA376">
        <v>14996</v>
      </c>
      <c r="AB376">
        <v>2915</v>
      </c>
      <c r="AC376">
        <v>8240</v>
      </c>
      <c r="AD376">
        <v>2780</v>
      </c>
      <c r="AE376">
        <v>970</v>
      </c>
    </row>
    <row r="377" spans="1:31">
      <c r="A377" t="s">
        <v>657</v>
      </c>
      <c r="B377">
        <v>10135</v>
      </c>
      <c r="C377">
        <v>10025</v>
      </c>
      <c r="D377">
        <v>1.2</v>
      </c>
      <c r="E377">
        <v>63434</v>
      </c>
      <c r="F377">
        <v>4.0999999999999996</v>
      </c>
      <c r="G377">
        <v>3450</v>
      </c>
      <c r="H377">
        <v>1180</v>
      </c>
      <c r="I377">
        <v>355</v>
      </c>
      <c r="J377">
        <v>95.5</v>
      </c>
      <c r="K377">
        <v>4.5</v>
      </c>
      <c r="L377">
        <v>72.7</v>
      </c>
      <c r="M377">
        <v>68.2</v>
      </c>
      <c r="N377">
        <v>6.2</v>
      </c>
      <c r="T377">
        <f t="shared" si="11"/>
        <v>0</v>
      </c>
      <c r="W377">
        <v>0</v>
      </c>
      <c r="X377">
        <v>32383</v>
      </c>
      <c r="Y377">
        <v>20849</v>
      </c>
      <c r="Z377">
        <v>28890</v>
      </c>
      <c r="AA377">
        <v>15590</v>
      </c>
      <c r="AB377">
        <v>2105</v>
      </c>
      <c r="AC377">
        <v>7090</v>
      </c>
      <c r="AD377">
        <v>2715</v>
      </c>
      <c r="AE377">
        <v>940</v>
      </c>
    </row>
    <row r="378" spans="1:31">
      <c r="A378" t="s">
        <v>429</v>
      </c>
      <c r="B378">
        <v>580</v>
      </c>
      <c r="C378">
        <v>575</v>
      </c>
      <c r="D378">
        <v>1.2</v>
      </c>
      <c r="E378">
        <v>48215</v>
      </c>
      <c r="F378">
        <v>2.7</v>
      </c>
      <c r="G378">
        <v>250</v>
      </c>
      <c r="H378">
        <v>75</v>
      </c>
      <c r="I378">
        <v>35</v>
      </c>
      <c r="J378">
        <v>72</v>
      </c>
      <c r="K378">
        <v>28</v>
      </c>
      <c r="L378">
        <v>52.7</v>
      </c>
      <c r="M378">
        <v>53.8</v>
      </c>
      <c r="N378">
        <v>0</v>
      </c>
      <c r="T378">
        <f t="shared" si="11"/>
        <v>0</v>
      </c>
      <c r="W378">
        <v>0</v>
      </c>
      <c r="X378">
        <v>25023</v>
      </c>
      <c r="Y378">
        <v>15898</v>
      </c>
      <c r="Z378">
        <v>21190</v>
      </c>
      <c r="AA378">
        <v>11739</v>
      </c>
      <c r="AB378">
        <v>120</v>
      </c>
      <c r="AC378">
        <v>325</v>
      </c>
      <c r="AD378">
        <v>135</v>
      </c>
      <c r="AE378">
        <v>130</v>
      </c>
    </row>
    <row r="379" spans="1:31">
      <c r="A379" t="s">
        <v>659</v>
      </c>
      <c r="B379">
        <v>8515</v>
      </c>
      <c r="C379">
        <v>8435</v>
      </c>
      <c r="D379">
        <v>1.1000000000000001</v>
      </c>
      <c r="E379">
        <v>56552</v>
      </c>
      <c r="F379">
        <v>4.9000000000000004</v>
      </c>
      <c r="G379">
        <v>3035</v>
      </c>
      <c r="H379">
        <v>1040</v>
      </c>
      <c r="I379">
        <v>360</v>
      </c>
      <c r="J379">
        <v>94.4</v>
      </c>
      <c r="K379">
        <v>5.4</v>
      </c>
      <c r="L379">
        <v>72.7</v>
      </c>
      <c r="M379">
        <v>68.400000000000006</v>
      </c>
      <c r="N379">
        <v>6</v>
      </c>
      <c r="T379">
        <f t="shared" si="11"/>
        <v>0</v>
      </c>
      <c r="W379">
        <v>0</v>
      </c>
      <c r="X379">
        <v>30929</v>
      </c>
      <c r="Y379">
        <v>18592</v>
      </c>
      <c r="Z379">
        <v>25519</v>
      </c>
      <c r="AA379">
        <v>14995</v>
      </c>
      <c r="AB379">
        <v>1755</v>
      </c>
      <c r="AC379">
        <v>5875</v>
      </c>
      <c r="AD379">
        <v>2110</v>
      </c>
      <c r="AE379">
        <v>880</v>
      </c>
    </row>
    <row r="380" spans="1:31">
      <c r="A380" t="s">
        <v>652</v>
      </c>
      <c r="B380">
        <v>965</v>
      </c>
      <c r="C380">
        <v>965</v>
      </c>
      <c r="D380">
        <v>1.2</v>
      </c>
      <c r="E380">
        <v>61207</v>
      </c>
      <c r="F380">
        <v>2.1</v>
      </c>
      <c r="G380">
        <v>315</v>
      </c>
      <c r="H380">
        <v>110</v>
      </c>
      <c r="I380">
        <v>20</v>
      </c>
      <c r="J380">
        <v>95.2</v>
      </c>
      <c r="K380">
        <v>3.2</v>
      </c>
      <c r="L380">
        <v>82.8</v>
      </c>
      <c r="M380">
        <v>80</v>
      </c>
      <c r="N380">
        <v>3.3</v>
      </c>
      <c r="T380">
        <f t="shared" si="11"/>
        <v>0</v>
      </c>
      <c r="W380">
        <v>0</v>
      </c>
      <c r="X380">
        <v>29005</v>
      </c>
      <c r="Y380">
        <v>21440</v>
      </c>
      <c r="Z380">
        <v>33922</v>
      </c>
      <c r="AA380">
        <v>20239</v>
      </c>
      <c r="AB380">
        <v>245</v>
      </c>
      <c r="AC380">
        <v>655</v>
      </c>
      <c r="AD380">
        <v>235</v>
      </c>
      <c r="AE380">
        <v>65</v>
      </c>
    </row>
    <row r="381" spans="1:31">
      <c r="A381" t="s">
        <v>432</v>
      </c>
      <c r="B381">
        <v>1020</v>
      </c>
      <c r="C381">
        <v>1020</v>
      </c>
      <c r="D381">
        <v>1.1000000000000001</v>
      </c>
      <c r="E381">
        <v>35944</v>
      </c>
      <c r="F381">
        <v>20.2</v>
      </c>
      <c r="G381">
        <v>365</v>
      </c>
      <c r="H381">
        <v>100</v>
      </c>
      <c r="I381">
        <v>70</v>
      </c>
      <c r="J381">
        <v>79.5</v>
      </c>
      <c r="K381">
        <v>20.5</v>
      </c>
      <c r="L381">
        <v>59</v>
      </c>
      <c r="M381">
        <v>48.7</v>
      </c>
      <c r="N381">
        <v>18.5</v>
      </c>
      <c r="T381">
        <f t="shared" si="11"/>
        <v>0</v>
      </c>
      <c r="W381">
        <v>0</v>
      </c>
      <c r="X381">
        <v>16799</v>
      </c>
      <c r="Y381">
        <v>13881</v>
      </c>
      <c r="Z381">
        <v>17455</v>
      </c>
      <c r="AA381">
        <v>11329</v>
      </c>
      <c r="AB381">
        <v>235</v>
      </c>
      <c r="AC381">
        <v>620</v>
      </c>
      <c r="AD381">
        <v>255</v>
      </c>
      <c r="AE381">
        <v>140</v>
      </c>
    </row>
    <row r="382" spans="1:31">
      <c r="A382" t="s">
        <v>437</v>
      </c>
      <c r="B382">
        <v>290</v>
      </c>
      <c r="C382">
        <v>285</v>
      </c>
      <c r="D382">
        <v>1.6</v>
      </c>
      <c r="E382">
        <v>46531</v>
      </c>
      <c r="F382">
        <v>21.4</v>
      </c>
      <c r="G382">
        <v>105</v>
      </c>
      <c r="H382">
        <v>25</v>
      </c>
      <c r="I382">
        <v>10</v>
      </c>
      <c r="J382">
        <v>61.9</v>
      </c>
      <c r="K382">
        <v>38.1</v>
      </c>
      <c r="L382">
        <v>60.5</v>
      </c>
      <c r="M382">
        <v>53.5</v>
      </c>
      <c r="N382">
        <v>11.5</v>
      </c>
      <c r="T382">
        <f t="shared" si="11"/>
        <v>0</v>
      </c>
      <c r="W382">
        <v>0</v>
      </c>
      <c r="X382">
        <v>26204</v>
      </c>
      <c r="Y382">
        <v>17167</v>
      </c>
      <c r="Z382">
        <v>20288</v>
      </c>
      <c r="AA382">
        <v>11264</v>
      </c>
      <c r="AB382">
        <v>75</v>
      </c>
      <c r="AC382">
        <v>155</v>
      </c>
      <c r="AD382">
        <v>60</v>
      </c>
      <c r="AE382">
        <v>55</v>
      </c>
    </row>
    <row r="383" spans="1:31">
      <c r="A383" t="s">
        <v>848</v>
      </c>
      <c r="B383">
        <v>900</v>
      </c>
      <c r="C383">
        <v>905</v>
      </c>
      <c r="D383">
        <v>1.5</v>
      </c>
      <c r="E383">
        <v>44876</v>
      </c>
      <c r="F383">
        <v>10.7</v>
      </c>
      <c r="G383">
        <v>340</v>
      </c>
      <c r="H383">
        <v>95</v>
      </c>
      <c r="I383">
        <v>40</v>
      </c>
      <c r="J383">
        <v>69.099999999999994</v>
      </c>
      <c r="K383">
        <v>32.4</v>
      </c>
      <c r="L383">
        <v>72</v>
      </c>
      <c r="M383">
        <v>71.2</v>
      </c>
      <c r="N383">
        <v>2.1</v>
      </c>
      <c r="T383">
        <f t="shared" si="11"/>
        <v>0</v>
      </c>
      <c r="W383">
        <v>0</v>
      </c>
      <c r="X383">
        <v>22577</v>
      </c>
      <c r="Y383">
        <v>15850</v>
      </c>
      <c r="Z383">
        <v>23005</v>
      </c>
      <c r="AA383">
        <v>12611</v>
      </c>
      <c r="AB383">
        <v>240</v>
      </c>
      <c r="AC383">
        <v>550</v>
      </c>
      <c r="AD383">
        <v>150</v>
      </c>
      <c r="AE383">
        <v>105</v>
      </c>
    </row>
    <row r="384" spans="1:31">
      <c r="A384" t="s">
        <v>261</v>
      </c>
      <c r="B384">
        <v>1880</v>
      </c>
      <c r="C384">
        <v>1875</v>
      </c>
      <c r="D384">
        <v>2.7</v>
      </c>
      <c r="E384">
        <v>26439</v>
      </c>
      <c r="F384">
        <v>0</v>
      </c>
      <c r="G384">
        <v>385</v>
      </c>
      <c r="H384">
        <v>115</v>
      </c>
      <c r="I384">
        <v>155</v>
      </c>
      <c r="J384">
        <v>5.2</v>
      </c>
      <c r="K384">
        <v>7.8</v>
      </c>
      <c r="L384">
        <v>42.9</v>
      </c>
      <c r="M384">
        <v>33.799999999999997</v>
      </c>
      <c r="N384">
        <v>21.1</v>
      </c>
      <c r="T384" t="str">
        <f t="shared" si="11"/>
        <v>St. Theresa Point First Nation</v>
      </c>
      <c r="W384">
        <v>0</v>
      </c>
      <c r="X384">
        <v>13455</v>
      </c>
      <c r="Y384">
        <v>15285</v>
      </c>
      <c r="Z384">
        <v>9376</v>
      </c>
      <c r="AA384">
        <v>3315</v>
      </c>
      <c r="AB384">
        <v>815</v>
      </c>
      <c r="AC384">
        <v>1015</v>
      </c>
      <c r="AD384">
        <v>175</v>
      </c>
      <c r="AE384">
        <v>50</v>
      </c>
    </row>
    <row r="385" spans="1:31">
      <c r="A385" t="s">
        <v>613</v>
      </c>
      <c r="B385">
        <v>4615</v>
      </c>
      <c r="C385">
        <v>4615</v>
      </c>
      <c r="D385">
        <v>2</v>
      </c>
      <c r="E385">
        <v>46279</v>
      </c>
      <c r="F385">
        <v>10.6</v>
      </c>
      <c r="G385">
        <v>1210</v>
      </c>
      <c r="H385">
        <v>410</v>
      </c>
      <c r="I385">
        <v>235</v>
      </c>
      <c r="J385">
        <v>95</v>
      </c>
      <c r="K385">
        <v>5.4</v>
      </c>
      <c r="L385">
        <v>78.3</v>
      </c>
      <c r="M385">
        <v>74.599999999999994</v>
      </c>
      <c r="N385">
        <v>4.7</v>
      </c>
      <c r="T385">
        <f t="shared" si="11"/>
        <v>0</v>
      </c>
      <c r="W385">
        <v>0</v>
      </c>
      <c r="X385">
        <v>21358</v>
      </c>
      <c r="Y385">
        <v>12413</v>
      </c>
      <c r="Z385">
        <v>22827</v>
      </c>
      <c r="AA385">
        <v>10003</v>
      </c>
      <c r="AB385">
        <v>1475</v>
      </c>
      <c r="AC385">
        <v>2875</v>
      </c>
      <c r="AD385">
        <v>750</v>
      </c>
      <c r="AE385">
        <v>250</v>
      </c>
    </row>
    <row r="386" spans="1:31">
      <c r="A386" t="s">
        <v>428</v>
      </c>
      <c r="B386">
        <v>1425</v>
      </c>
      <c r="C386">
        <v>1425</v>
      </c>
      <c r="D386">
        <v>1.3</v>
      </c>
      <c r="E386">
        <v>42859</v>
      </c>
      <c r="F386">
        <v>16.2</v>
      </c>
      <c r="G386">
        <v>525</v>
      </c>
      <c r="H386">
        <v>160</v>
      </c>
      <c r="I386">
        <v>65</v>
      </c>
      <c r="J386">
        <v>76.2</v>
      </c>
      <c r="K386">
        <v>23.8</v>
      </c>
      <c r="L386">
        <v>64.5</v>
      </c>
      <c r="M386">
        <v>59.7</v>
      </c>
      <c r="N386">
        <v>6.6</v>
      </c>
      <c r="T386">
        <f t="shared" si="11"/>
        <v>0</v>
      </c>
      <c r="W386">
        <v>0</v>
      </c>
      <c r="X386">
        <v>28640</v>
      </c>
      <c r="Y386">
        <v>13877</v>
      </c>
      <c r="Z386">
        <v>23666</v>
      </c>
      <c r="AA386">
        <v>12440</v>
      </c>
      <c r="AB386">
        <v>370</v>
      </c>
      <c r="AC386">
        <v>835</v>
      </c>
      <c r="AD386">
        <v>240</v>
      </c>
      <c r="AE386">
        <v>200</v>
      </c>
    </row>
    <row r="387" spans="1:31">
      <c r="A387" s="93" t="s">
        <v>784</v>
      </c>
      <c r="B387">
        <v>4240</v>
      </c>
      <c r="C387">
        <v>4235</v>
      </c>
      <c r="D387">
        <v>1.4</v>
      </c>
      <c r="E387">
        <v>42311</v>
      </c>
      <c r="F387">
        <v>10.199999999999999</v>
      </c>
      <c r="G387">
        <v>1350</v>
      </c>
      <c r="H387">
        <v>430</v>
      </c>
      <c r="I387">
        <v>175</v>
      </c>
      <c r="J387">
        <v>87.8</v>
      </c>
      <c r="K387">
        <v>13</v>
      </c>
      <c r="L387">
        <v>65.8</v>
      </c>
      <c r="M387">
        <v>60.9</v>
      </c>
      <c r="N387">
        <v>7.2</v>
      </c>
      <c r="T387">
        <f t="shared" si="11"/>
        <v>0</v>
      </c>
      <c r="W387">
        <v>0</v>
      </c>
      <c r="X387">
        <v>22586</v>
      </c>
      <c r="Y387">
        <v>12962</v>
      </c>
      <c r="Z387">
        <v>22561</v>
      </c>
      <c r="AA387">
        <v>10191</v>
      </c>
      <c r="AB387">
        <v>1090</v>
      </c>
      <c r="AC387">
        <v>2710</v>
      </c>
      <c r="AD387">
        <v>845</v>
      </c>
      <c r="AE387">
        <v>410</v>
      </c>
    </row>
    <row r="388" spans="1:31">
      <c r="A388" t="s">
        <v>681</v>
      </c>
      <c r="B388">
        <v>980</v>
      </c>
      <c r="C388">
        <v>950</v>
      </c>
      <c r="D388">
        <v>1.2</v>
      </c>
      <c r="E388">
        <v>39967</v>
      </c>
      <c r="F388">
        <v>19.600000000000001</v>
      </c>
      <c r="G388">
        <v>330</v>
      </c>
      <c r="H388">
        <v>135</v>
      </c>
      <c r="I388">
        <v>70</v>
      </c>
      <c r="J388">
        <v>92.4</v>
      </c>
      <c r="K388">
        <v>7.6</v>
      </c>
      <c r="L388">
        <v>76.400000000000006</v>
      </c>
      <c r="M388">
        <v>71.3</v>
      </c>
      <c r="N388">
        <v>6.7</v>
      </c>
      <c r="T388">
        <f t="shared" si="11"/>
        <v>0</v>
      </c>
      <c r="W388">
        <v>0</v>
      </c>
      <c r="X388">
        <v>15569</v>
      </c>
      <c r="Y388">
        <v>15836</v>
      </c>
      <c r="Z388">
        <v>15855</v>
      </c>
      <c r="AA388">
        <v>14694</v>
      </c>
      <c r="AB388">
        <v>195</v>
      </c>
      <c r="AC388">
        <v>655</v>
      </c>
      <c r="AD388">
        <v>240</v>
      </c>
      <c r="AE388">
        <v>100</v>
      </c>
    </row>
    <row r="389" spans="1:31">
      <c r="A389" t="s">
        <v>435</v>
      </c>
      <c r="B389">
        <v>1000</v>
      </c>
      <c r="C389">
        <v>995</v>
      </c>
      <c r="D389">
        <v>1.1000000000000001</v>
      </c>
      <c r="E389">
        <v>43230</v>
      </c>
      <c r="F389">
        <v>16.5</v>
      </c>
      <c r="G389">
        <v>435</v>
      </c>
      <c r="H389">
        <v>140</v>
      </c>
      <c r="I389">
        <v>40</v>
      </c>
      <c r="J389">
        <v>63.2</v>
      </c>
      <c r="K389">
        <v>37.9</v>
      </c>
      <c r="L389">
        <v>62.8</v>
      </c>
      <c r="M389">
        <v>59.8</v>
      </c>
      <c r="N389">
        <v>4.9000000000000004</v>
      </c>
      <c r="T389">
        <f t="shared" si="11"/>
        <v>0</v>
      </c>
      <c r="W389">
        <v>0</v>
      </c>
      <c r="X389">
        <v>23267</v>
      </c>
      <c r="Y389">
        <v>16465</v>
      </c>
      <c r="Z389">
        <v>18579</v>
      </c>
      <c r="AA389">
        <v>12184</v>
      </c>
      <c r="AB389">
        <v>175</v>
      </c>
      <c r="AC389">
        <v>585</v>
      </c>
      <c r="AD389">
        <v>185</v>
      </c>
      <c r="AE389">
        <v>235</v>
      </c>
    </row>
    <row r="390" spans="1:31">
      <c r="A390" t="s">
        <v>457</v>
      </c>
      <c r="B390">
        <v>8295</v>
      </c>
      <c r="C390">
        <v>8275</v>
      </c>
      <c r="D390">
        <v>1.2</v>
      </c>
      <c r="E390">
        <v>49646</v>
      </c>
      <c r="F390">
        <v>12.5</v>
      </c>
      <c r="G390">
        <v>3210</v>
      </c>
      <c r="H390">
        <v>730</v>
      </c>
      <c r="I390">
        <v>180</v>
      </c>
      <c r="J390">
        <v>62.3</v>
      </c>
      <c r="K390">
        <v>37.9</v>
      </c>
      <c r="L390">
        <v>66.099999999999994</v>
      </c>
      <c r="M390">
        <v>63</v>
      </c>
      <c r="N390">
        <v>4.5</v>
      </c>
      <c r="T390">
        <f t="shared" si="11"/>
        <v>0</v>
      </c>
      <c r="W390">
        <v>0</v>
      </c>
      <c r="X390">
        <v>29801</v>
      </c>
      <c r="Y390">
        <v>15055</v>
      </c>
      <c r="Z390">
        <v>22841</v>
      </c>
      <c r="AA390">
        <v>12147</v>
      </c>
      <c r="AB390">
        <v>1795</v>
      </c>
      <c r="AC390">
        <v>5145</v>
      </c>
      <c r="AD390">
        <v>1435</v>
      </c>
      <c r="AE390">
        <v>1350</v>
      </c>
    </row>
    <row r="391" spans="1:31">
      <c r="A391" t="s">
        <v>458</v>
      </c>
      <c r="B391">
        <v>3650</v>
      </c>
      <c r="C391">
        <v>3645</v>
      </c>
      <c r="D391">
        <v>1.3</v>
      </c>
      <c r="E391">
        <v>58420</v>
      </c>
      <c r="F391">
        <v>9.1999999999999993</v>
      </c>
      <c r="G391">
        <v>1320</v>
      </c>
      <c r="H391">
        <v>300</v>
      </c>
      <c r="I391">
        <v>90</v>
      </c>
      <c r="J391">
        <v>74.2</v>
      </c>
      <c r="K391">
        <v>25.4</v>
      </c>
      <c r="L391">
        <v>70.400000000000006</v>
      </c>
      <c r="M391">
        <v>67</v>
      </c>
      <c r="N391">
        <v>5.2</v>
      </c>
      <c r="T391">
        <f t="shared" si="11"/>
        <v>0</v>
      </c>
      <c r="W391">
        <v>0</v>
      </c>
      <c r="X391">
        <v>33545</v>
      </c>
      <c r="Y391">
        <v>18552</v>
      </c>
      <c r="Z391">
        <v>31025</v>
      </c>
      <c r="AA391">
        <v>14588</v>
      </c>
      <c r="AB391">
        <v>915</v>
      </c>
      <c r="AC391">
        <v>2275</v>
      </c>
      <c r="AD391">
        <v>635</v>
      </c>
      <c r="AE391">
        <v>460</v>
      </c>
    </row>
    <row r="392" spans="1:31">
      <c r="A392" t="s">
        <v>670</v>
      </c>
      <c r="B392">
        <v>1045</v>
      </c>
      <c r="C392">
        <v>1045</v>
      </c>
      <c r="D392">
        <v>1.1000000000000001</v>
      </c>
      <c r="E392">
        <v>40383</v>
      </c>
      <c r="F392">
        <v>6.3</v>
      </c>
      <c r="G392">
        <v>440</v>
      </c>
      <c r="H392">
        <v>105</v>
      </c>
      <c r="I392">
        <v>125</v>
      </c>
      <c r="J392">
        <v>78.400000000000006</v>
      </c>
      <c r="K392">
        <v>21.6</v>
      </c>
      <c r="L392">
        <v>56.4</v>
      </c>
      <c r="M392">
        <v>54.1</v>
      </c>
      <c r="N392">
        <v>4.0999999999999996</v>
      </c>
      <c r="T392">
        <f t="shared" si="11"/>
        <v>0</v>
      </c>
      <c r="W392">
        <v>0</v>
      </c>
      <c r="X392">
        <v>18262</v>
      </c>
      <c r="Y392">
        <v>14203</v>
      </c>
      <c r="Z392">
        <v>15507</v>
      </c>
      <c r="AA392">
        <v>12053</v>
      </c>
      <c r="AB392">
        <v>180</v>
      </c>
      <c r="AC392">
        <v>595</v>
      </c>
      <c r="AD392">
        <v>175</v>
      </c>
      <c r="AE392">
        <v>260</v>
      </c>
    </row>
    <row r="393" spans="1:31">
      <c r="A393" t="s">
        <v>628</v>
      </c>
      <c r="B393">
        <v>740</v>
      </c>
      <c r="C393">
        <v>735</v>
      </c>
      <c r="D393">
        <v>1</v>
      </c>
      <c r="E393">
        <v>39476</v>
      </c>
      <c r="F393">
        <v>20.100000000000001</v>
      </c>
      <c r="G393">
        <v>315</v>
      </c>
      <c r="H393">
        <v>120</v>
      </c>
      <c r="I393">
        <v>50</v>
      </c>
      <c r="J393">
        <v>87.3</v>
      </c>
      <c r="K393">
        <v>14.3</v>
      </c>
      <c r="L393">
        <v>73</v>
      </c>
      <c r="M393">
        <v>68.900000000000006</v>
      </c>
      <c r="N393">
        <v>4.5</v>
      </c>
      <c r="T393">
        <f t="shared" si="11"/>
        <v>0</v>
      </c>
      <c r="W393">
        <v>0</v>
      </c>
      <c r="X393">
        <v>16623</v>
      </c>
      <c r="Y393">
        <v>13916</v>
      </c>
      <c r="Z393">
        <v>12560</v>
      </c>
      <c r="AA393">
        <v>12854</v>
      </c>
      <c r="AB393">
        <v>125</v>
      </c>
      <c r="AC393">
        <v>440</v>
      </c>
      <c r="AD393">
        <v>180</v>
      </c>
      <c r="AE393">
        <v>145</v>
      </c>
    </row>
    <row r="394" spans="1:31">
      <c r="A394" t="s">
        <v>460</v>
      </c>
      <c r="B394">
        <v>1535</v>
      </c>
      <c r="C394">
        <v>1540</v>
      </c>
      <c r="D394">
        <v>1</v>
      </c>
      <c r="E394">
        <v>33768</v>
      </c>
      <c r="F394">
        <v>15.4</v>
      </c>
      <c r="G394">
        <v>635</v>
      </c>
      <c r="H394">
        <v>210</v>
      </c>
      <c r="I394">
        <v>125</v>
      </c>
      <c r="J394">
        <v>86.6</v>
      </c>
      <c r="K394">
        <v>13.4</v>
      </c>
      <c r="L394">
        <v>66</v>
      </c>
      <c r="M394">
        <v>63.2</v>
      </c>
      <c r="N394">
        <v>4.8</v>
      </c>
      <c r="T394">
        <f t="shared" si="11"/>
        <v>0</v>
      </c>
      <c r="W394">
        <v>0</v>
      </c>
      <c r="X394">
        <v>15943</v>
      </c>
      <c r="Y394">
        <v>12277</v>
      </c>
      <c r="Z394">
        <v>13718</v>
      </c>
      <c r="AA394">
        <v>10987</v>
      </c>
      <c r="AB394">
        <v>275</v>
      </c>
      <c r="AC394">
        <v>920</v>
      </c>
      <c r="AD394">
        <v>390</v>
      </c>
      <c r="AE394">
        <v>340</v>
      </c>
    </row>
    <row r="395" spans="1:31">
      <c r="A395" t="s">
        <v>272</v>
      </c>
      <c r="B395">
        <v>370</v>
      </c>
      <c r="C395">
        <v>370</v>
      </c>
      <c r="D395">
        <v>1.9</v>
      </c>
      <c r="E395">
        <v>21008</v>
      </c>
      <c r="F395">
        <v>0</v>
      </c>
      <c r="G395">
        <v>100</v>
      </c>
      <c r="H395">
        <v>30</v>
      </c>
      <c r="I395">
        <v>40</v>
      </c>
      <c r="J395">
        <v>0</v>
      </c>
      <c r="K395">
        <v>0</v>
      </c>
      <c r="L395">
        <v>57.8</v>
      </c>
      <c r="M395">
        <v>31.1</v>
      </c>
      <c r="N395">
        <v>46.2</v>
      </c>
      <c r="T395" t="str">
        <f t="shared" si="11"/>
        <v>Swan Lake First Nation</v>
      </c>
      <c r="W395">
        <v>0</v>
      </c>
      <c r="X395">
        <v>10562</v>
      </c>
      <c r="Y395">
        <v>10800</v>
      </c>
      <c r="Z395">
        <v>8176</v>
      </c>
      <c r="AA395">
        <v>6960</v>
      </c>
      <c r="AB395">
        <v>140</v>
      </c>
      <c r="AC395">
        <v>160</v>
      </c>
      <c r="AD395">
        <v>10</v>
      </c>
      <c r="AE395">
        <v>0</v>
      </c>
    </row>
    <row r="396" spans="1:31">
      <c r="A396" t="s">
        <v>835</v>
      </c>
      <c r="B396">
        <v>125</v>
      </c>
      <c r="C396">
        <v>130</v>
      </c>
      <c r="D396">
        <v>1.7</v>
      </c>
      <c r="E396">
        <v>0</v>
      </c>
      <c r="F396">
        <v>0</v>
      </c>
      <c r="G396">
        <v>35</v>
      </c>
      <c r="H396">
        <v>0</v>
      </c>
      <c r="I396">
        <v>20</v>
      </c>
      <c r="J396">
        <v>0</v>
      </c>
      <c r="K396">
        <v>0</v>
      </c>
      <c r="L396">
        <v>26.7</v>
      </c>
      <c r="M396">
        <v>20</v>
      </c>
      <c r="N396">
        <v>0</v>
      </c>
      <c r="T396">
        <f t="shared" si="11"/>
        <v>0</v>
      </c>
      <c r="W396">
        <v>0</v>
      </c>
      <c r="X396">
        <v>0</v>
      </c>
      <c r="Y396">
        <v>0</v>
      </c>
      <c r="Z396">
        <v>0</v>
      </c>
      <c r="AA396">
        <v>0</v>
      </c>
      <c r="AB396">
        <v>50</v>
      </c>
      <c r="AC396">
        <v>60</v>
      </c>
      <c r="AD396">
        <v>20</v>
      </c>
      <c r="AE396">
        <v>20</v>
      </c>
    </row>
    <row r="397" spans="1:31">
      <c r="A397" s="83" t="s">
        <v>697</v>
      </c>
      <c r="B397">
        <v>3845</v>
      </c>
      <c r="C397">
        <v>3835</v>
      </c>
      <c r="D397">
        <v>1</v>
      </c>
      <c r="E397">
        <v>43193</v>
      </c>
      <c r="F397">
        <v>16.5</v>
      </c>
      <c r="G397">
        <v>1750</v>
      </c>
      <c r="H397">
        <v>470</v>
      </c>
      <c r="I397">
        <v>130</v>
      </c>
      <c r="J397">
        <v>64.3</v>
      </c>
      <c r="K397">
        <v>35.700000000000003</v>
      </c>
      <c r="L397">
        <v>56.9</v>
      </c>
      <c r="M397">
        <v>52.9</v>
      </c>
      <c r="N397">
        <v>7.4</v>
      </c>
      <c r="T397">
        <f t="shared" si="11"/>
        <v>0</v>
      </c>
      <c r="W397">
        <v>0</v>
      </c>
      <c r="X397">
        <v>25039</v>
      </c>
      <c r="Y397">
        <v>17233</v>
      </c>
      <c r="Z397">
        <v>19342</v>
      </c>
      <c r="AA397">
        <v>11784</v>
      </c>
      <c r="AB397">
        <v>740</v>
      </c>
      <c r="AC397">
        <v>2175</v>
      </c>
      <c r="AD397">
        <v>755</v>
      </c>
      <c r="AE397">
        <v>935</v>
      </c>
    </row>
    <row r="398" spans="1:31">
      <c r="A398" s="82" t="s">
        <v>785</v>
      </c>
      <c r="B398">
        <v>2900</v>
      </c>
      <c r="C398">
        <v>2900</v>
      </c>
      <c r="D398">
        <v>1.2</v>
      </c>
      <c r="E398">
        <v>39186</v>
      </c>
      <c r="F398">
        <v>18.3</v>
      </c>
      <c r="G398">
        <v>1040</v>
      </c>
      <c r="H398">
        <v>375</v>
      </c>
      <c r="I398">
        <v>150</v>
      </c>
      <c r="J398">
        <v>88.5</v>
      </c>
      <c r="K398">
        <v>11.1</v>
      </c>
      <c r="L398">
        <v>74.900000000000006</v>
      </c>
      <c r="M398">
        <v>71.400000000000006</v>
      </c>
      <c r="N398">
        <v>4.4000000000000004</v>
      </c>
      <c r="T398">
        <f t="shared" si="11"/>
        <v>0</v>
      </c>
      <c r="W398">
        <v>0</v>
      </c>
      <c r="X398">
        <v>17739</v>
      </c>
      <c r="Y398">
        <v>13436</v>
      </c>
      <c r="Z398">
        <v>18749</v>
      </c>
      <c r="AA398">
        <v>11126</v>
      </c>
      <c r="AB398">
        <v>620</v>
      </c>
      <c r="AC398">
        <v>1860</v>
      </c>
      <c r="AD398">
        <v>710</v>
      </c>
      <c r="AE398">
        <v>400</v>
      </c>
    </row>
    <row r="399" spans="1:31">
      <c r="A399" t="s">
        <v>609</v>
      </c>
      <c r="B399">
        <v>8270</v>
      </c>
      <c r="C399">
        <v>8230</v>
      </c>
      <c r="D399">
        <v>1.6</v>
      </c>
      <c r="E399">
        <v>54184</v>
      </c>
      <c r="F399">
        <v>5.3</v>
      </c>
      <c r="G399">
        <v>2460</v>
      </c>
      <c r="H399">
        <v>770</v>
      </c>
      <c r="I399">
        <v>225</v>
      </c>
      <c r="J399">
        <v>92.7</v>
      </c>
      <c r="K399">
        <v>7.5</v>
      </c>
      <c r="L399">
        <v>79.2</v>
      </c>
      <c r="M399">
        <v>75.099999999999994</v>
      </c>
      <c r="N399">
        <v>5.2</v>
      </c>
      <c r="T399">
        <f t="shared" si="11"/>
        <v>0</v>
      </c>
      <c r="W399">
        <v>0</v>
      </c>
      <c r="X399">
        <v>29033</v>
      </c>
      <c r="Y399">
        <v>16814</v>
      </c>
      <c r="Z399">
        <v>30087</v>
      </c>
      <c r="AA399">
        <v>14562</v>
      </c>
      <c r="AB399">
        <v>2395</v>
      </c>
      <c r="AC399">
        <v>5510</v>
      </c>
      <c r="AD399">
        <v>1525</v>
      </c>
      <c r="AE399">
        <v>365</v>
      </c>
    </row>
    <row r="400" spans="1:31">
      <c r="A400" t="s">
        <v>273</v>
      </c>
      <c r="B400">
        <v>1485</v>
      </c>
      <c r="C400">
        <v>1490</v>
      </c>
      <c r="D400">
        <v>2.6</v>
      </c>
      <c r="E400">
        <v>27580</v>
      </c>
      <c r="F400">
        <v>0</v>
      </c>
      <c r="G400">
        <v>295</v>
      </c>
      <c r="H400">
        <v>95</v>
      </c>
      <c r="I400">
        <v>150</v>
      </c>
      <c r="J400">
        <v>0</v>
      </c>
      <c r="K400">
        <v>11.9</v>
      </c>
      <c r="L400">
        <v>49.2</v>
      </c>
      <c r="M400">
        <v>25.1</v>
      </c>
      <c r="N400">
        <v>48.9</v>
      </c>
      <c r="T400" t="str">
        <f t="shared" si="11"/>
        <v>Tataskweyak Cree Nation</v>
      </c>
      <c r="AB400">
        <v>0</v>
      </c>
      <c r="AC400">
        <v>0</v>
      </c>
      <c r="AD400">
        <v>0</v>
      </c>
      <c r="AE400">
        <v>0</v>
      </c>
    </row>
    <row r="401" spans="1:31">
      <c r="A401" t="s">
        <v>273</v>
      </c>
      <c r="AB401">
        <v>0</v>
      </c>
      <c r="AC401">
        <v>0</v>
      </c>
      <c r="AD401">
        <v>0</v>
      </c>
      <c r="AE401">
        <v>0</v>
      </c>
    </row>
    <row r="402" spans="1:31">
      <c r="A402" t="s">
        <v>273</v>
      </c>
      <c r="AB402">
        <v>0</v>
      </c>
      <c r="AC402">
        <v>0</v>
      </c>
      <c r="AD402">
        <v>0</v>
      </c>
      <c r="AE402">
        <v>0</v>
      </c>
    </row>
    <row r="403" spans="1:31">
      <c r="A403" t="s">
        <v>464</v>
      </c>
      <c r="B403">
        <v>1035</v>
      </c>
      <c r="C403">
        <v>1030</v>
      </c>
      <c r="D403">
        <v>1.1000000000000001</v>
      </c>
      <c r="E403">
        <v>43134</v>
      </c>
      <c r="F403">
        <v>9.4</v>
      </c>
      <c r="G403">
        <v>475</v>
      </c>
      <c r="H403">
        <v>145</v>
      </c>
      <c r="I403">
        <v>25</v>
      </c>
      <c r="J403">
        <v>71.599999999999994</v>
      </c>
      <c r="K403">
        <v>27.4</v>
      </c>
      <c r="L403">
        <v>53.1</v>
      </c>
      <c r="M403">
        <v>49.7</v>
      </c>
      <c r="N403">
        <v>6.5</v>
      </c>
      <c r="T403">
        <f>IFERROR(VLOOKUP(A403,$U$12:$U$74,1,0),0)</f>
        <v>0</v>
      </c>
      <c r="W403">
        <v>0</v>
      </c>
      <c r="X403">
        <v>22991</v>
      </c>
      <c r="Y403">
        <v>13707</v>
      </c>
      <c r="Z403">
        <v>18232</v>
      </c>
      <c r="AA403">
        <v>11786</v>
      </c>
      <c r="AB403">
        <v>170</v>
      </c>
      <c r="AC403">
        <v>625</v>
      </c>
      <c r="AD403">
        <v>250</v>
      </c>
      <c r="AE403">
        <v>270</v>
      </c>
    </row>
    <row r="404" spans="1:31">
      <c r="A404" t="s">
        <v>465</v>
      </c>
      <c r="B404">
        <v>4360</v>
      </c>
      <c r="C404">
        <v>4295</v>
      </c>
      <c r="D404">
        <v>1.4</v>
      </c>
      <c r="E404">
        <v>48300</v>
      </c>
      <c r="F404">
        <v>23.9</v>
      </c>
      <c r="G404">
        <v>1560</v>
      </c>
      <c r="H404">
        <v>455</v>
      </c>
      <c r="I404">
        <v>185</v>
      </c>
      <c r="J404">
        <v>54.5</v>
      </c>
      <c r="K404">
        <v>45.5</v>
      </c>
      <c r="L404">
        <v>71.3</v>
      </c>
      <c r="M404">
        <v>64</v>
      </c>
      <c r="N404">
        <v>10.3</v>
      </c>
      <c r="T404">
        <f>IFERROR(VLOOKUP(A404,$U$12:$U$74,1,0),0)</f>
        <v>0</v>
      </c>
      <c r="W404">
        <v>0</v>
      </c>
      <c r="X404">
        <v>30162</v>
      </c>
      <c r="Y404">
        <v>18848</v>
      </c>
      <c r="Z404">
        <v>27835</v>
      </c>
      <c r="AA404">
        <v>13185</v>
      </c>
      <c r="AB404">
        <v>1215</v>
      </c>
      <c r="AC404">
        <v>2900</v>
      </c>
      <c r="AD404">
        <v>765</v>
      </c>
      <c r="AE404">
        <v>240</v>
      </c>
    </row>
    <row r="405" spans="1:31">
      <c r="A405" t="s">
        <v>274</v>
      </c>
      <c r="B405">
        <v>204</v>
      </c>
      <c r="C405" s="102"/>
      <c r="D405" s="102"/>
      <c r="E405" s="102"/>
      <c r="F405" s="102"/>
      <c r="G405" s="102"/>
      <c r="H405" s="102"/>
      <c r="I405" s="102"/>
      <c r="J405" s="102"/>
      <c r="K405" s="102"/>
      <c r="L405" s="102"/>
      <c r="M405" s="102"/>
      <c r="N405" s="102"/>
      <c r="T405">
        <f>IFERROR(VLOOKUP(A405,$U$12:$U$74,1,0),0)</f>
        <v>0</v>
      </c>
      <c r="AB405">
        <v>0</v>
      </c>
      <c r="AC405">
        <v>0</v>
      </c>
      <c r="AD405">
        <v>0</v>
      </c>
      <c r="AE405">
        <v>0</v>
      </c>
    </row>
    <row r="406" spans="1:31">
      <c r="A406" t="s">
        <v>466</v>
      </c>
      <c r="B406">
        <v>13110</v>
      </c>
      <c r="C406">
        <v>13075</v>
      </c>
      <c r="D406">
        <v>1.5</v>
      </c>
      <c r="E406">
        <v>59934</v>
      </c>
      <c r="F406">
        <v>19.399999999999999</v>
      </c>
      <c r="G406">
        <v>4555</v>
      </c>
      <c r="H406">
        <v>1615</v>
      </c>
      <c r="I406">
        <v>640</v>
      </c>
      <c r="J406">
        <v>53.7</v>
      </c>
      <c r="K406">
        <v>46.3</v>
      </c>
      <c r="L406">
        <v>78.2</v>
      </c>
      <c r="M406">
        <v>71.599999999999994</v>
      </c>
      <c r="N406">
        <v>8.4</v>
      </c>
      <c r="T406">
        <f t="shared" ref="T406:T435" si="12">IFERROR(VLOOKUP(A406,$U$12:$U$74,1,0),0)</f>
        <v>0</v>
      </c>
      <c r="W406">
        <v>0</v>
      </c>
      <c r="X406">
        <v>40877</v>
      </c>
      <c r="Y406">
        <v>21291</v>
      </c>
      <c r="Z406">
        <v>39910</v>
      </c>
      <c r="AA406">
        <v>15429</v>
      </c>
      <c r="AB406">
        <v>3850</v>
      </c>
      <c r="AC406">
        <v>9045</v>
      </c>
      <c r="AD406">
        <v>2215</v>
      </c>
      <c r="AE406">
        <v>205</v>
      </c>
    </row>
    <row r="407" spans="1:31">
      <c r="A407" s="78" t="s">
        <v>772</v>
      </c>
      <c r="B407">
        <v>1330</v>
      </c>
      <c r="C407">
        <v>1105</v>
      </c>
      <c r="D407">
        <v>1.1000000000000001</v>
      </c>
      <c r="E407">
        <v>36370</v>
      </c>
      <c r="F407">
        <v>10.9</v>
      </c>
      <c r="G407">
        <v>405</v>
      </c>
      <c r="H407">
        <v>140</v>
      </c>
      <c r="I407">
        <v>85</v>
      </c>
      <c r="J407">
        <v>86.4</v>
      </c>
      <c r="K407">
        <v>12.3</v>
      </c>
      <c r="L407">
        <v>76.599999999999994</v>
      </c>
      <c r="M407">
        <v>72.400000000000006</v>
      </c>
      <c r="N407">
        <v>5.4</v>
      </c>
      <c r="T407">
        <f t="shared" si="12"/>
        <v>0</v>
      </c>
      <c r="W407">
        <v>0</v>
      </c>
      <c r="X407">
        <v>16966</v>
      </c>
      <c r="Y407">
        <v>13498</v>
      </c>
      <c r="Z407">
        <v>15312</v>
      </c>
      <c r="AA407">
        <v>10942</v>
      </c>
      <c r="AB407">
        <v>370</v>
      </c>
      <c r="AC407">
        <v>785</v>
      </c>
      <c r="AD407">
        <v>225</v>
      </c>
      <c r="AE407">
        <v>165</v>
      </c>
    </row>
    <row r="408" spans="1:31">
      <c r="A408" t="s">
        <v>275</v>
      </c>
      <c r="B408">
        <v>320</v>
      </c>
      <c r="C408">
        <v>320</v>
      </c>
      <c r="D408">
        <v>2</v>
      </c>
      <c r="E408">
        <v>25167</v>
      </c>
      <c r="F408">
        <v>0</v>
      </c>
      <c r="G408">
        <v>85</v>
      </c>
      <c r="H408">
        <v>45</v>
      </c>
      <c r="I408">
        <v>25</v>
      </c>
      <c r="J408">
        <v>11.8</v>
      </c>
      <c r="K408">
        <v>11.8</v>
      </c>
      <c r="L408">
        <v>59.5</v>
      </c>
      <c r="M408">
        <v>54.1</v>
      </c>
      <c r="N408">
        <v>13.6</v>
      </c>
      <c r="T408" t="str">
        <f t="shared" si="12"/>
        <v>Tootinaowaziibeeng First Nation</v>
      </c>
      <c r="W408">
        <v>0</v>
      </c>
      <c r="X408">
        <v>12791</v>
      </c>
      <c r="Y408">
        <v>11449</v>
      </c>
      <c r="Z408">
        <v>8608</v>
      </c>
      <c r="AA408">
        <v>8848</v>
      </c>
      <c r="AB408">
        <v>130</v>
      </c>
      <c r="AC408">
        <v>180</v>
      </c>
      <c r="AD408">
        <v>40</v>
      </c>
      <c r="AE408">
        <v>10</v>
      </c>
    </row>
    <row r="409" spans="1:31">
      <c r="A409" t="s">
        <v>468</v>
      </c>
      <c r="B409">
        <v>635</v>
      </c>
      <c r="C409">
        <v>630</v>
      </c>
      <c r="D409">
        <v>1</v>
      </c>
      <c r="E409">
        <v>46850</v>
      </c>
      <c r="F409">
        <v>2</v>
      </c>
      <c r="G409">
        <v>285</v>
      </c>
      <c r="H409">
        <v>35</v>
      </c>
      <c r="I409">
        <v>20</v>
      </c>
      <c r="J409">
        <v>84.2</v>
      </c>
      <c r="K409">
        <v>17.5</v>
      </c>
      <c r="L409">
        <v>56.7</v>
      </c>
      <c r="M409">
        <v>52.9</v>
      </c>
      <c r="N409">
        <v>6.8</v>
      </c>
      <c r="T409">
        <f t="shared" si="12"/>
        <v>0</v>
      </c>
      <c r="W409">
        <v>0</v>
      </c>
      <c r="X409">
        <v>25435</v>
      </c>
      <c r="Y409">
        <v>17590</v>
      </c>
      <c r="Z409">
        <v>17869</v>
      </c>
      <c r="AA409">
        <v>12820</v>
      </c>
      <c r="AB409">
        <v>115</v>
      </c>
      <c r="AC409">
        <v>355</v>
      </c>
      <c r="AD409">
        <v>115</v>
      </c>
      <c r="AE409">
        <v>170</v>
      </c>
    </row>
    <row r="410" spans="1:31">
      <c r="A410" t="s">
        <v>619</v>
      </c>
      <c r="B410">
        <v>1160</v>
      </c>
      <c r="C410">
        <v>1085</v>
      </c>
      <c r="D410">
        <v>1.1000000000000001</v>
      </c>
      <c r="E410">
        <v>43950</v>
      </c>
      <c r="F410">
        <v>16.8</v>
      </c>
      <c r="G410">
        <v>385</v>
      </c>
      <c r="H410">
        <v>150</v>
      </c>
      <c r="I410">
        <v>75</v>
      </c>
      <c r="J410">
        <v>88.3</v>
      </c>
      <c r="K410">
        <v>11.7</v>
      </c>
      <c r="L410">
        <v>80.599999999999994</v>
      </c>
      <c r="M410">
        <v>77.2</v>
      </c>
      <c r="N410">
        <v>4.8</v>
      </c>
      <c r="T410">
        <f t="shared" si="12"/>
        <v>0</v>
      </c>
      <c r="W410">
        <v>0</v>
      </c>
      <c r="X410">
        <v>19603</v>
      </c>
      <c r="Y410">
        <v>15550</v>
      </c>
      <c r="Z410">
        <v>16859</v>
      </c>
      <c r="AA410">
        <v>15604</v>
      </c>
      <c r="AB410">
        <v>260</v>
      </c>
      <c r="AC410">
        <v>835</v>
      </c>
      <c r="AD410">
        <v>340</v>
      </c>
      <c r="AE410">
        <v>75</v>
      </c>
    </row>
    <row r="411" spans="1:31">
      <c r="A411" t="s">
        <v>642</v>
      </c>
      <c r="B411">
        <v>1275</v>
      </c>
      <c r="C411">
        <v>1155</v>
      </c>
      <c r="D411">
        <v>1.1000000000000001</v>
      </c>
      <c r="E411">
        <v>38936</v>
      </c>
      <c r="F411">
        <v>11.7</v>
      </c>
      <c r="G411">
        <v>485</v>
      </c>
      <c r="H411">
        <v>120</v>
      </c>
      <c r="I411">
        <v>65</v>
      </c>
      <c r="J411">
        <v>87.6</v>
      </c>
      <c r="K411">
        <v>11.3</v>
      </c>
      <c r="L411">
        <v>60</v>
      </c>
      <c r="M411">
        <v>59</v>
      </c>
      <c r="N411">
        <v>1.6</v>
      </c>
      <c r="T411">
        <f t="shared" si="12"/>
        <v>0</v>
      </c>
      <c r="W411">
        <v>0</v>
      </c>
      <c r="X411">
        <v>15453</v>
      </c>
      <c r="Y411">
        <v>16524</v>
      </c>
      <c r="Z411">
        <v>14087</v>
      </c>
      <c r="AA411">
        <v>14437</v>
      </c>
      <c r="AB411">
        <v>240</v>
      </c>
      <c r="AC411">
        <v>695</v>
      </c>
      <c r="AD411">
        <v>270</v>
      </c>
      <c r="AE411">
        <v>330</v>
      </c>
    </row>
    <row r="412" spans="1:31">
      <c r="A412" t="s">
        <v>604</v>
      </c>
      <c r="B412">
        <v>230</v>
      </c>
      <c r="C412">
        <v>230</v>
      </c>
      <c r="D412">
        <v>0.4</v>
      </c>
      <c r="E412">
        <v>0</v>
      </c>
      <c r="F412">
        <v>0</v>
      </c>
      <c r="G412">
        <v>120</v>
      </c>
      <c r="H412">
        <v>35</v>
      </c>
      <c r="I412">
        <v>10</v>
      </c>
      <c r="J412">
        <v>91.7</v>
      </c>
      <c r="K412">
        <v>8.3000000000000007</v>
      </c>
      <c r="L412">
        <v>28.6</v>
      </c>
      <c r="M412">
        <v>21.4</v>
      </c>
      <c r="N412">
        <v>25</v>
      </c>
      <c r="T412">
        <f t="shared" si="12"/>
        <v>0</v>
      </c>
      <c r="W412">
        <v>0</v>
      </c>
      <c r="X412">
        <v>0</v>
      </c>
      <c r="Y412">
        <v>0</v>
      </c>
      <c r="Z412">
        <v>0</v>
      </c>
      <c r="AA412">
        <v>0</v>
      </c>
      <c r="AB412">
        <v>10</v>
      </c>
      <c r="AC412">
        <v>45</v>
      </c>
      <c r="AD412">
        <v>30</v>
      </c>
      <c r="AE412">
        <v>130</v>
      </c>
    </row>
    <row r="413" spans="1:31">
      <c r="A413" t="s">
        <v>472</v>
      </c>
      <c r="B413">
        <v>2840</v>
      </c>
      <c r="C413">
        <v>2845</v>
      </c>
      <c r="D413">
        <v>1</v>
      </c>
      <c r="E413">
        <v>45858</v>
      </c>
      <c r="F413">
        <v>10.3</v>
      </c>
      <c r="G413">
        <v>1260</v>
      </c>
      <c r="H413">
        <v>355</v>
      </c>
      <c r="I413">
        <v>75</v>
      </c>
      <c r="J413">
        <v>77.8</v>
      </c>
      <c r="K413">
        <v>21.8</v>
      </c>
      <c r="L413">
        <v>59.3</v>
      </c>
      <c r="M413">
        <v>55.2</v>
      </c>
      <c r="N413">
        <v>6.9</v>
      </c>
      <c r="T413">
        <f t="shared" si="12"/>
        <v>0</v>
      </c>
      <c r="W413">
        <v>0</v>
      </c>
      <c r="X413">
        <v>27979</v>
      </c>
      <c r="Y413">
        <v>13721</v>
      </c>
      <c r="Z413">
        <v>21471</v>
      </c>
      <c r="AA413">
        <v>12733</v>
      </c>
      <c r="AB413">
        <v>530</v>
      </c>
      <c r="AC413">
        <v>1555</v>
      </c>
      <c r="AD413">
        <v>505</v>
      </c>
      <c r="AE413">
        <v>755</v>
      </c>
    </row>
    <row r="414" spans="1:31">
      <c r="A414" t="s">
        <v>473</v>
      </c>
      <c r="B414">
        <v>563</v>
      </c>
      <c r="C414" s="102"/>
      <c r="D414" s="102"/>
      <c r="E414" s="102"/>
      <c r="F414" s="102"/>
      <c r="G414" s="102"/>
      <c r="H414" s="102"/>
      <c r="I414" s="102"/>
      <c r="J414" s="102"/>
      <c r="K414" s="102"/>
      <c r="L414" s="102"/>
      <c r="M414" s="102"/>
      <c r="N414" s="102"/>
      <c r="T414">
        <f t="shared" si="12"/>
        <v>0</v>
      </c>
      <c r="AB414">
        <v>0</v>
      </c>
      <c r="AC414">
        <v>0</v>
      </c>
      <c r="AD414">
        <v>0</v>
      </c>
      <c r="AE414">
        <v>0</v>
      </c>
    </row>
    <row r="415" spans="1:31">
      <c r="A415" t="s">
        <v>630</v>
      </c>
      <c r="B415">
        <v>1835</v>
      </c>
      <c r="C415">
        <v>1705</v>
      </c>
      <c r="D415">
        <v>1.2</v>
      </c>
      <c r="E415">
        <v>36398</v>
      </c>
      <c r="F415">
        <v>18.100000000000001</v>
      </c>
      <c r="G415">
        <v>580</v>
      </c>
      <c r="H415">
        <v>170</v>
      </c>
      <c r="I415">
        <v>80</v>
      </c>
      <c r="J415">
        <v>81.900000000000006</v>
      </c>
      <c r="K415">
        <v>18.100000000000001</v>
      </c>
      <c r="L415">
        <v>70.5</v>
      </c>
      <c r="M415">
        <v>66.2</v>
      </c>
      <c r="N415">
        <v>5.7</v>
      </c>
      <c r="T415">
        <f t="shared" si="12"/>
        <v>0</v>
      </c>
      <c r="W415">
        <v>0</v>
      </c>
      <c r="X415">
        <v>17839</v>
      </c>
      <c r="Y415">
        <v>10696</v>
      </c>
      <c r="Z415">
        <v>16838</v>
      </c>
      <c r="AA415">
        <v>8498</v>
      </c>
      <c r="AB415">
        <v>455</v>
      </c>
      <c r="AC415">
        <v>1180</v>
      </c>
      <c r="AD415">
        <v>430</v>
      </c>
      <c r="AE415">
        <v>180</v>
      </c>
    </row>
    <row r="416" spans="1:31">
      <c r="A416" t="s">
        <v>276</v>
      </c>
      <c r="B416">
        <v>155</v>
      </c>
      <c r="C416">
        <v>155</v>
      </c>
      <c r="D416">
        <v>2.2999999999999998</v>
      </c>
      <c r="E416">
        <v>0</v>
      </c>
      <c r="F416">
        <v>0</v>
      </c>
      <c r="G416">
        <v>35</v>
      </c>
      <c r="H416">
        <v>10</v>
      </c>
      <c r="I416">
        <v>0</v>
      </c>
      <c r="J416">
        <v>28.6</v>
      </c>
      <c r="K416">
        <v>57.1</v>
      </c>
      <c r="L416">
        <v>61.9</v>
      </c>
      <c r="M416">
        <v>47.6</v>
      </c>
      <c r="N416">
        <v>23.1</v>
      </c>
      <c r="T416" t="str">
        <f t="shared" si="12"/>
        <v>War Lake First Nation</v>
      </c>
      <c r="W416">
        <v>0</v>
      </c>
      <c r="X416">
        <v>0</v>
      </c>
      <c r="Y416">
        <v>0</v>
      </c>
      <c r="Z416">
        <v>0</v>
      </c>
      <c r="AA416">
        <v>0</v>
      </c>
      <c r="AB416">
        <v>60</v>
      </c>
      <c r="AC416">
        <v>105</v>
      </c>
      <c r="AD416">
        <v>30</v>
      </c>
      <c r="AE416">
        <v>0</v>
      </c>
    </row>
    <row r="417" spans="1:31">
      <c r="A417" t="s">
        <v>277</v>
      </c>
      <c r="B417">
        <v>1010</v>
      </c>
      <c r="C417">
        <v>1005</v>
      </c>
      <c r="D417">
        <v>2.7</v>
      </c>
      <c r="E417">
        <v>28045</v>
      </c>
      <c r="F417">
        <v>0</v>
      </c>
      <c r="G417">
        <v>205</v>
      </c>
      <c r="H417">
        <v>65</v>
      </c>
      <c r="I417">
        <v>60</v>
      </c>
      <c r="J417">
        <v>0</v>
      </c>
      <c r="K417">
        <v>7.3</v>
      </c>
      <c r="L417">
        <v>48.2</v>
      </c>
      <c r="M417">
        <v>33</v>
      </c>
      <c r="N417">
        <v>31.5</v>
      </c>
      <c r="T417" t="str">
        <f t="shared" si="12"/>
        <v>Wasagamack First Nation</v>
      </c>
      <c r="W417">
        <v>0</v>
      </c>
      <c r="X417">
        <v>15237</v>
      </c>
      <c r="Y417">
        <v>15196</v>
      </c>
      <c r="Z417">
        <v>11552</v>
      </c>
      <c r="AA417">
        <v>3134</v>
      </c>
      <c r="AB417">
        <v>445</v>
      </c>
      <c r="AC417">
        <v>530</v>
      </c>
      <c r="AD417">
        <v>80</v>
      </c>
      <c r="AE417">
        <v>40</v>
      </c>
    </row>
    <row r="418" spans="1:31">
      <c r="A418" t="s">
        <v>476</v>
      </c>
      <c r="B418">
        <v>285</v>
      </c>
      <c r="C418">
        <v>285</v>
      </c>
      <c r="D418">
        <v>1.3</v>
      </c>
      <c r="E418">
        <v>49352</v>
      </c>
      <c r="F418">
        <v>13.5</v>
      </c>
      <c r="G418">
        <v>125</v>
      </c>
      <c r="H418">
        <v>45</v>
      </c>
      <c r="I418">
        <v>10</v>
      </c>
      <c r="J418">
        <v>72</v>
      </c>
      <c r="K418">
        <v>28</v>
      </c>
      <c r="L418">
        <v>72.3</v>
      </c>
      <c r="M418">
        <v>72.3</v>
      </c>
      <c r="N418">
        <v>0</v>
      </c>
      <c r="T418">
        <f t="shared" si="12"/>
        <v>0</v>
      </c>
      <c r="W418">
        <v>0</v>
      </c>
      <c r="X418">
        <v>22739</v>
      </c>
      <c r="Y418">
        <v>11122</v>
      </c>
      <c r="Z418">
        <v>29774</v>
      </c>
      <c r="AA418">
        <v>15436</v>
      </c>
      <c r="AB418">
        <v>55</v>
      </c>
      <c r="AC418">
        <v>170</v>
      </c>
      <c r="AD418">
        <v>65</v>
      </c>
      <c r="AE418">
        <v>25</v>
      </c>
    </row>
    <row r="419" spans="1:31">
      <c r="A419" t="s">
        <v>278</v>
      </c>
      <c r="B419">
        <v>193</v>
      </c>
      <c r="C419" s="102"/>
      <c r="D419" s="102"/>
      <c r="E419" s="102"/>
      <c r="F419" s="102"/>
      <c r="G419" s="102"/>
      <c r="H419" s="102"/>
      <c r="I419" s="102"/>
      <c r="J419" s="102"/>
      <c r="K419" s="102"/>
      <c r="L419" s="102"/>
      <c r="M419" s="102"/>
      <c r="N419" s="102"/>
      <c r="T419">
        <f t="shared" si="12"/>
        <v>0</v>
      </c>
      <c r="W419">
        <v>0</v>
      </c>
      <c r="X419">
        <v>14079</v>
      </c>
      <c r="Y419">
        <v>15064</v>
      </c>
      <c r="Z419">
        <v>8776</v>
      </c>
      <c r="AA419">
        <v>2859</v>
      </c>
      <c r="AB419">
        <v>210</v>
      </c>
      <c r="AC419">
        <v>295</v>
      </c>
      <c r="AD419">
        <v>75</v>
      </c>
      <c r="AE419">
        <v>40</v>
      </c>
    </row>
    <row r="420" spans="1:31">
      <c r="A420" t="s">
        <v>477</v>
      </c>
      <c r="B420">
        <v>465</v>
      </c>
      <c r="C420">
        <v>465</v>
      </c>
      <c r="D420">
        <v>0.8</v>
      </c>
      <c r="E420">
        <v>35605</v>
      </c>
      <c r="F420">
        <v>11.9</v>
      </c>
      <c r="G420">
        <v>210</v>
      </c>
      <c r="H420">
        <v>70</v>
      </c>
      <c r="I420">
        <v>25</v>
      </c>
      <c r="J420">
        <v>85.7</v>
      </c>
      <c r="K420">
        <v>14.3</v>
      </c>
      <c r="L420">
        <v>58.2</v>
      </c>
      <c r="M420">
        <v>57</v>
      </c>
      <c r="N420">
        <v>4.3</v>
      </c>
      <c r="T420">
        <f t="shared" si="12"/>
        <v>0</v>
      </c>
      <c r="W420">
        <v>0</v>
      </c>
      <c r="X420">
        <v>24033</v>
      </c>
      <c r="Y420">
        <v>11917</v>
      </c>
      <c r="Z420">
        <v>15889</v>
      </c>
      <c r="AA420">
        <v>8777</v>
      </c>
      <c r="AB420">
        <v>60</v>
      </c>
      <c r="AC420">
        <v>260</v>
      </c>
      <c r="AD420">
        <v>105</v>
      </c>
      <c r="AE420">
        <v>115</v>
      </c>
    </row>
    <row r="421" spans="1:31">
      <c r="A421" t="s">
        <v>279</v>
      </c>
      <c r="B421">
        <v>960</v>
      </c>
      <c r="C421">
        <v>965</v>
      </c>
      <c r="D421">
        <v>2.1</v>
      </c>
      <c r="E421">
        <v>21901</v>
      </c>
      <c r="F421">
        <v>0</v>
      </c>
      <c r="G421">
        <v>230</v>
      </c>
      <c r="H421">
        <v>75</v>
      </c>
      <c r="I421">
        <v>55</v>
      </c>
      <c r="J421">
        <v>4.3</v>
      </c>
      <c r="K421">
        <v>0</v>
      </c>
      <c r="L421">
        <v>48.7</v>
      </c>
      <c r="M421">
        <v>38.9</v>
      </c>
      <c r="N421">
        <v>20</v>
      </c>
      <c r="T421" t="str">
        <f t="shared" si="12"/>
        <v>Waywayseecappo First Nation</v>
      </c>
      <c r="W421">
        <v>0</v>
      </c>
      <c r="X421">
        <v>8559</v>
      </c>
      <c r="Y421">
        <v>10963</v>
      </c>
      <c r="Z421">
        <v>6288</v>
      </c>
      <c r="AA421">
        <v>8320</v>
      </c>
      <c r="AB421">
        <v>400</v>
      </c>
      <c r="AC421">
        <v>540</v>
      </c>
      <c r="AD421">
        <v>110</v>
      </c>
      <c r="AE421">
        <v>40</v>
      </c>
    </row>
    <row r="422" spans="1:31">
      <c r="A422" t="s">
        <v>478</v>
      </c>
      <c r="B422">
        <v>3510</v>
      </c>
      <c r="C422">
        <v>3465</v>
      </c>
      <c r="D422">
        <v>1.2</v>
      </c>
      <c r="E422">
        <v>64783</v>
      </c>
      <c r="F422">
        <v>10.3</v>
      </c>
      <c r="G422">
        <v>1170</v>
      </c>
      <c r="H422">
        <v>325</v>
      </c>
      <c r="I422">
        <v>100</v>
      </c>
      <c r="J422">
        <v>97.4</v>
      </c>
      <c r="K422">
        <v>2.6</v>
      </c>
      <c r="L422">
        <v>70.8</v>
      </c>
      <c r="M422">
        <v>67.8</v>
      </c>
      <c r="N422">
        <v>4</v>
      </c>
      <c r="T422">
        <f t="shared" si="12"/>
        <v>0</v>
      </c>
      <c r="W422">
        <v>0</v>
      </c>
      <c r="X422">
        <v>33104</v>
      </c>
      <c r="Y422">
        <v>21756</v>
      </c>
      <c r="Z422">
        <v>30913</v>
      </c>
      <c r="AA422">
        <v>16566</v>
      </c>
      <c r="AB422">
        <v>695</v>
      </c>
      <c r="AC422">
        <v>2390</v>
      </c>
      <c r="AD422">
        <v>910</v>
      </c>
      <c r="AE422">
        <v>405</v>
      </c>
    </row>
    <row r="423" spans="1:31">
      <c r="A423" t="s">
        <v>646</v>
      </c>
      <c r="B423">
        <v>2030</v>
      </c>
      <c r="C423">
        <v>1645</v>
      </c>
      <c r="D423">
        <v>1.2</v>
      </c>
      <c r="E423">
        <v>40273</v>
      </c>
      <c r="F423">
        <v>15.6</v>
      </c>
      <c r="G423">
        <v>630</v>
      </c>
      <c r="H423">
        <v>285</v>
      </c>
      <c r="I423">
        <v>90</v>
      </c>
      <c r="J423">
        <v>92.1</v>
      </c>
      <c r="K423">
        <v>7.9</v>
      </c>
      <c r="L423">
        <v>70.099999999999994</v>
      </c>
      <c r="M423">
        <v>68.099999999999994</v>
      </c>
      <c r="N423">
        <v>2.8</v>
      </c>
      <c r="T423">
        <f t="shared" si="12"/>
        <v>0</v>
      </c>
      <c r="W423">
        <v>0</v>
      </c>
      <c r="X423">
        <v>16742</v>
      </c>
      <c r="Y423">
        <v>15119</v>
      </c>
      <c r="Z423">
        <v>15712</v>
      </c>
      <c r="AA423">
        <v>12732</v>
      </c>
      <c r="AB423">
        <v>520</v>
      </c>
      <c r="AC423">
        <v>1205</v>
      </c>
      <c r="AD423">
        <v>485</v>
      </c>
      <c r="AE423">
        <v>290</v>
      </c>
    </row>
    <row r="424" spans="1:31">
      <c r="A424" t="s">
        <v>635</v>
      </c>
      <c r="B424">
        <v>1510</v>
      </c>
      <c r="C424">
        <v>1510</v>
      </c>
      <c r="D424">
        <v>1.4</v>
      </c>
      <c r="E424">
        <v>53913</v>
      </c>
      <c r="F424">
        <v>7.3</v>
      </c>
      <c r="G424">
        <v>500</v>
      </c>
      <c r="H424">
        <v>180</v>
      </c>
      <c r="I424">
        <v>65</v>
      </c>
      <c r="J424">
        <v>91</v>
      </c>
      <c r="K424">
        <v>8</v>
      </c>
      <c r="L424">
        <v>73.599999999999994</v>
      </c>
      <c r="M424">
        <v>71.400000000000006</v>
      </c>
      <c r="N424">
        <v>2.4</v>
      </c>
      <c r="T424">
        <f t="shared" si="12"/>
        <v>0</v>
      </c>
      <c r="W424">
        <v>0</v>
      </c>
      <c r="X424">
        <v>29715</v>
      </c>
      <c r="Y424">
        <v>16436</v>
      </c>
      <c r="Z424">
        <v>21462</v>
      </c>
      <c r="AA424">
        <v>14212</v>
      </c>
      <c r="AB424">
        <v>380</v>
      </c>
      <c r="AC424">
        <v>975</v>
      </c>
      <c r="AD424">
        <v>340</v>
      </c>
      <c r="AE424">
        <v>145</v>
      </c>
    </row>
    <row r="425" spans="1:31">
      <c r="A425" t="s">
        <v>479</v>
      </c>
      <c r="B425">
        <v>1620</v>
      </c>
      <c r="C425">
        <v>1550</v>
      </c>
      <c r="D425">
        <v>1.2</v>
      </c>
      <c r="E425">
        <v>43729</v>
      </c>
      <c r="F425">
        <v>5.5</v>
      </c>
      <c r="G425">
        <v>600</v>
      </c>
      <c r="H425">
        <v>245</v>
      </c>
      <c r="I425">
        <v>90</v>
      </c>
      <c r="J425">
        <v>86.7</v>
      </c>
      <c r="K425">
        <v>13.3</v>
      </c>
      <c r="L425">
        <v>70</v>
      </c>
      <c r="M425">
        <v>66.900000000000006</v>
      </c>
      <c r="N425">
        <v>4.4000000000000004</v>
      </c>
      <c r="T425">
        <f t="shared" si="12"/>
        <v>0</v>
      </c>
      <c r="W425">
        <v>0</v>
      </c>
      <c r="X425">
        <v>22944</v>
      </c>
      <c r="Y425">
        <v>13713</v>
      </c>
      <c r="Z425">
        <v>21578</v>
      </c>
      <c r="AA425">
        <v>11185</v>
      </c>
      <c r="AB425">
        <v>325</v>
      </c>
      <c r="AC425">
        <v>1035</v>
      </c>
      <c r="AD425">
        <v>340</v>
      </c>
      <c r="AE425">
        <v>240</v>
      </c>
    </row>
    <row r="426" spans="1:31">
      <c r="A426" t="s">
        <v>626</v>
      </c>
      <c r="B426">
        <v>775</v>
      </c>
      <c r="C426">
        <v>680</v>
      </c>
      <c r="D426">
        <v>1.1000000000000001</v>
      </c>
      <c r="E426">
        <v>42723</v>
      </c>
      <c r="F426">
        <v>1.9</v>
      </c>
      <c r="G426">
        <v>250</v>
      </c>
      <c r="H426">
        <v>120</v>
      </c>
      <c r="I426">
        <v>25</v>
      </c>
      <c r="J426">
        <v>86</v>
      </c>
      <c r="K426">
        <v>14</v>
      </c>
      <c r="L426">
        <v>69.3</v>
      </c>
      <c r="M426">
        <v>65.8</v>
      </c>
      <c r="N426">
        <v>3.8</v>
      </c>
      <c r="T426">
        <f t="shared" si="12"/>
        <v>0</v>
      </c>
      <c r="W426">
        <v>0</v>
      </c>
      <c r="X426">
        <v>17629</v>
      </c>
      <c r="Y426">
        <v>10739</v>
      </c>
      <c r="Z426">
        <v>21544</v>
      </c>
      <c r="AA426">
        <v>8388</v>
      </c>
      <c r="AB426">
        <v>205</v>
      </c>
      <c r="AC426">
        <v>470</v>
      </c>
      <c r="AD426">
        <v>185</v>
      </c>
      <c r="AE426">
        <v>85</v>
      </c>
    </row>
    <row r="427" spans="1:31">
      <c r="A427" t="s">
        <v>621</v>
      </c>
      <c r="B427">
        <v>1385</v>
      </c>
      <c r="C427">
        <v>1385</v>
      </c>
      <c r="D427">
        <v>0.9</v>
      </c>
      <c r="E427">
        <v>45998</v>
      </c>
      <c r="F427">
        <v>11.9</v>
      </c>
      <c r="G427">
        <v>600</v>
      </c>
      <c r="H427">
        <v>235</v>
      </c>
      <c r="I427">
        <v>45</v>
      </c>
      <c r="J427">
        <v>82.5</v>
      </c>
      <c r="K427">
        <v>16.7</v>
      </c>
      <c r="L427">
        <v>68.8</v>
      </c>
      <c r="M427">
        <v>66.099999999999994</v>
      </c>
      <c r="N427">
        <v>4.5</v>
      </c>
      <c r="T427">
        <f t="shared" si="12"/>
        <v>0</v>
      </c>
      <c r="W427">
        <v>0</v>
      </c>
      <c r="X427">
        <v>22617</v>
      </c>
      <c r="Y427">
        <v>15259</v>
      </c>
      <c r="Z427">
        <v>22572</v>
      </c>
      <c r="AA427">
        <v>13489</v>
      </c>
      <c r="AB427">
        <v>265</v>
      </c>
      <c r="AC427">
        <v>825</v>
      </c>
      <c r="AD427">
        <v>365</v>
      </c>
      <c r="AE427">
        <v>300</v>
      </c>
    </row>
    <row r="428" spans="1:31">
      <c r="A428" t="s">
        <v>480</v>
      </c>
      <c r="B428">
        <v>7010</v>
      </c>
      <c r="C428">
        <v>7010</v>
      </c>
      <c r="D428">
        <v>1.3</v>
      </c>
      <c r="E428">
        <v>44227</v>
      </c>
      <c r="F428">
        <v>14.7</v>
      </c>
      <c r="G428">
        <v>2545</v>
      </c>
      <c r="H428">
        <v>560</v>
      </c>
      <c r="I428">
        <v>120</v>
      </c>
      <c r="J428">
        <v>69.400000000000006</v>
      </c>
      <c r="K428">
        <v>30.6</v>
      </c>
      <c r="L428">
        <v>60.9</v>
      </c>
      <c r="M428">
        <v>57.9</v>
      </c>
      <c r="N428">
        <v>5</v>
      </c>
      <c r="T428">
        <f t="shared" si="12"/>
        <v>0</v>
      </c>
      <c r="W428">
        <v>0</v>
      </c>
      <c r="X428">
        <v>25648</v>
      </c>
      <c r="Y428">
        <v>12613</v>
      </c>
      <c r="Z428">
        <v>20624</v>
      </c>
      <c r="AA428">
        <v>10938</v>
      </c>
      <c r="AB428">
        <v>1585</v>
      </c>
      <c r="AC428">
        <v>4140</v>
      </c>
      <c r="AD428">
        <v>1095</v>
      </c>
      <c r="AE428">
        <v>1280</v>
      </c>
    </row>
    <row r="429" spans="1:31">
      <c r="A429" t="s">
        <v>481</v>
      </c>
      <c r="B429">
        <v>613205</v>
      </c>
      <c r="C429">
        <v>609420</v>
      </c>
      <c r="D429">
        <v>1.2</v>
      </c>
      <c r="E429">
        <v>53201</v>
      </c>
      <c r="F429">
        <v>19.399999999999999</v>
      </c>
      <c r="G429">
        <v>246690</v>
      </c>
      <c r="H429">
        <v>67155</v>
      </c>
      <c r="I429">
        <v>21865</v>
      </c>
      <c r="J429">
        <v>62.1</v>
      </c>
      <c r="K429">
        <v>37.9</v>
      </c>
      <c r="L429">
        <v>66.599999999999994</v>
      </c>
      <c r="M429">
        <v>61.1</v>
      </c>
      <c r="N429">
        <v>8.1999999999999993</v>
      </c>
      <c r="T429">
        <f t="shared" si="12"/>
        <v>0</v>
      </c>
      <c r="W429">
        <v>0</v>
      </c>
      <c r="X429">
        <v>30248</v>
      </c>
      <c r="Y429">
        <v>19384</v>
      </c>
      <c r="Z429">
        <v>24914</v>
      </c>
      <c r="AA429">
        <v>14982</v>
      </c>
      <c r="AB429">
        <v>123150</v>
      </c>
      <c r="AC429">
        <v>409070</v>
      </c>
      <c r="AD429">
        <v>125660</v>
      </c>
      <c r="AE429">
        <v>79335</v>
      </c>
    </row>
    <row r="430" spans="1:31">
      <c r="A430" t="s">
        <v>482</v>
      </c>
      <c r="B430">
        <v>745</v>
      </c>
      <c r="C430">
        <v>735</v>
      </c>
      <c r="D430">
        <v>0.7</v>
      </c>
      <c r="E430">
        <v>44573</v>
      </c>
      <c r="F430">
        <v>10.8</v>
      </c>
      <c r="G430">
        <v>365</v>
      </c>
      <c r="H430">
        <v>80</v>
      </c>
      <c r="I430">
        <v>60</v>
      </c>
      <c r="J430">
        <v>89</v>
      </c>
      <c r="K430">
        <v>11</v>
      </c>
      <c r="L430">
        <v>49.6</v>
      </c>
      <c r="M430">
        <v>37.799999999999997</v>
      </c>
      <c r="N430">
        <v>23.8</v>
      </c>
      <c r="T430">
        <f t="shared" si="12"/>
        <v>0</v>
      </c>
      <c r="W430">
        <v>0</v>
      </c>
      <c r="X430">
        <v>19154</v>
      </c>
      <c r="Y430">
        <v>26122</v>
      </c>
      <c r="Z430">
        <v>20872</v>
      </c>
      <c r="AA430">
        <v>11998</v>
      </c>
      <c r="AB430">
        <v>110</v>
      </c>
      <c r="AC430">
        <v>435</v>
      </c>
      <c r="AD430">
        <v>230</v>
      </c>
      <c r="AE430">
        <v>210</v>
      </c>
    </row>
    <row r="431" spans="1:31">
      <c r="A431" t="s">
        <v>767</v>
      </c>
      <c r="T431">
        <f t="shared" si="12"/>
        <v>0</v>
      </c>
      <c r="W431">
        <v>0</v>
      </c>
      <c r="X431">
        <v>0</v>
      </c>
      <c r="Y431">
        <v>0</v>
      </c>
      <c r="Z431">
        <v>0</v>
      </c>
      <c r="AA431">
        <v>0</v>
      </c>
      <c r="AB431">
        <v>0</v>
      </c>
      <c r="AC431">
        <v>0</v>
      </c>
      <c r="AD431">
        <v>0</v>
      </c>
      <c r="AE431">
        <v>0</v>
      </c>
    </row>
    <row r="432" spans="1:31">
      <c r="A432" t="s">
        <v>685</v>
      </c>
      <c r="B432">
        <v>705</v>
      </c>
      <c r="C432">
        <v>700</v>
      </c>
      <c r="D432">
        <v>1.1000000000000001</v>
      </c>
      <c r="E432">
        <v>34956</v>
      </c>
      <c r="F432">
        <v>26.4</v>
      </c>
      <c r="G432">
        <v>320</v>
      </c>
      <c r="H432">
        <v>95</v>
      </c>
      <c r="I432">
        <v>75</v>
      </c>
      <c r="J432">
        <v>62.5</v>
      </c>
      <c r="K432">
        <v>37.5</v>
      </c>
      <c r="L432">
        <v>45.9</v>
      </c>
      <c r="M432">
        <v>39.6</v>
      </c>
      <c r="N432">
        <v>11.8</v>
      </c>
      <c r="T432">
        <f t="shared" si="12"/>
        <v>0</v>
      </c>
      <c r="W432">
        <v>0</v>
      </c>
      <c r="X432">
        <v>24738</v>
      </c>
      <c r="Y432">
        <v>13425</v>
      </c>
      <c r="Z432">
        <v>12656</v>
      </c>
      <c r="AA432">
        <v>11332</v>
      </c>
      <c r="AB432">
        <v>140</v>
      </c>
      <c r="AC432">
        <v>340</v>
      </c>
      <c r="AD432">
        <v>110</v>
      </c>
      <c r="AE432">
        <v>185</v>
      </c>
    </row>
    <row r="433" spans="1:31">
      <c r="A433" t="s">
        <v>661</v>
      </c>
      <c r="B433">
        <v>3465</v>
      </c>
      <c r="C433">
        <v>3225</v>
      </c>
      <c r="D433">
        <v>1.3</v>
      </c>
      <c r="E433">
        <v>43581</v>
      </c>
      <c r="F433">
        <v>14.1</v>
      </c>
      <c r="G433">
        <v>1125</v>
      </c>
      <c r="H433">
        <v>385</v>
      </c>
      <c r="I433">
        <v>110</v>
      </c>
      <c r="J433">
        <v>91.6</v>
      </c>
      <c r="K433">
        <v>8.4</v>
      </c>
      <c r="L433">
        <v>72.3</v>
      </c>
      <c r="M433">
        <v>69.400000000000006</v>
      </c>
      <c r="N433">
        <v>4.2</v>
      </c>
      <c r="T433">
        <f t="shared" si="12"/>
        <v>0</v>
      </c>
      <c r="W433">
        <v>0</v>
      </c>
      <c r="X433">
        <v>22967</v>
      </c>
      <c r="Y433">
        <v>15488</v>
      </c>
      <c r="Z433">
        <v>19564</v>
      </c>
      <c r="AA433">
        <v>11969</v>
      </c>
      <c r="AB433">
        <v>850</v>
      </c>
      <c r="AC433">
        <v>2260</v>
      </c>
      <c r="AD433">
        <v>740</v>
      </c>
      <c r="AE433">
        <v>345</v>
      </c>
    </row>
    <row r="434" spans="1:31">
      <c r="A434" t="s">
        <v>631</v>
      </c>
      <c r="B434">
        <v>1030</v>
      </c>
      <c r="C434">
        <v>1030</v>
      </c>
      <c r="D434">
        <v>1.2</v>
      </c>
      <c r="E434">
        <v>40154</v>
      </c>
      <c r="F434">
        <v>15.7</v>
      </c>
      <c r="G434">
        <v>365</v>
      </c>
      <c r="H434">
        <v>145</v>
      </c>
      <c r="I434">
        <v>65</v>
      </c>
      <c r="J434">
        <v>91.8</v>
      </c>
      <c r="K434">
        <v>8.1999999999999993</v>
      </c>
      <c r="L434">
        <v>70.099999999999994</v>
      </c>
      <c r="M434">
        <v>67.7</v>
      </c>
      <c r="N434">
        <v>2.6</v>
      </c>
      <c r="T434">
        <f t="shared" si="12"/>
        <v>0</v>
      </c>
      <c r="W434">
        <v>0</v>
      </c>
      <c r="X434">
        <v>18558</v>
      </c>
      <c r="Y434">
        <v>13712</v>
      </c>
      <c r="Z434">
        <v>13822</v>
      </c>
      <c r="AA434">
        <v>12023</v>
      </c>
      <c r="AB434">
        <v>200</v>
      </c>
      <c r="AC434">
        <v>705</v>
      </c>
      <c r="AD434">
        <v>260</v>
      </c>
      <c r="AE434">
        <v>120</v>
      </c>
    </row>
    <row r="435" spans="1:31">
      <c r="A435" s="103" t="s">
        <v>591</v>
      </c>
      <c r="T435" t="str">
        <f t="shared" si="12"/>
        <v>York Factory First Nation</v>
      </c>
      <c r="W435">
        <v>0</v>
      </c>
      <c r="X435">
        <v>0</v>
      </c>
      <c r="Y435">
        <v>0</v>
      </c>
      <c r="Z435">
        <v>0</v>
      </c>
      <c r="AA435">
        <v>0</v>
      </c>
      <c r="AB435">
        <v>0</v>
      </c>
      <c r="AC435">
        <v>0</v>
      </c>
      <c r="AD435">
        <v>0</v>
      </c>
      <c r="AE435">
        <v>0</v>
      </c>
    </row>
    <row r="436" spans="1:31">
      <c r="A436" t="s">
        <v>593</v>
      </c>
    </row>
  </sheetData>
  <sortState ref="A374:V400">
    <sortCondition ref="A374"/>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8"/>
  <dimension ref="A1:AZ436"/>
  <sheetViews>
    <sheetView workbookViewId="0">
      <pane ySplit="1" topLeftCell="A2" activePane="bottomLeft" state="frozen"/>
      <selection pane="bottomLeft" activeCell="A2" sqref="A2"/>
    </sheetView>
  </sheetViews>
  <sheetFormatPr defaultRowHeight="15"/>
  <cols>
    <col min="1" max="1" width="38.5703125" customWidth="1"/>
    <col min="21" max="21" width="30.5703125" customWidth="1"/>
    <col min="164" max="164" width="38.5703125" customWidth="1"/>
    <col min="420" max="420" width="38.5703125" customWidth="1"/>
    <col min="676" max="676" width="38.5703125" customWidth="1"/>
    <col min="932" max="932" width="38.5703125" customWidth="1"/>
    <col min="1188" max="1188" width="38.5703125" customWidth="1"/>
    <col min="1444" max="1444" width="38.5703125" customWidth="1"/>
    <col min="1700" max="1700" width="38.5703125" customWidth="1"/>
    <col min="1956" max="1956" width="38.5703125" customWidth="1"/>
    <col min="2212" max="2212" width="38.5703125" customWidth="1"/>
    <col min="2468" max="2468" width="38.5703125" customWidth="1"/>
    <col min="2724" max="2724" width="38.5703125" customWidth="1"/>
    <col min="2980" max="2980" width="38.5703125" customWidth="1"/>
    <col min="3236" max="3236" width="38.5703125" customWidth="1"/>
    <col min="3492" max="3492" width="38.5703125" customWidth="1"/>
    <col min="3748" max="3748" width="38.5703125" customWidth="1"/>
    <col min="4004" max="4004" width="38.5703125" customWidth="1"/>
    <col min="4260" max="4260" width="38.5703125" customWidth="1"/>
    <col min="4516" max="4516" width="38.5703125" customWidth="1"/>
    <col min="4772" max="4772" width="38.5703125" customWidth="1"/>
    <col min="5028" max="5028" width="38.5703125" customWidth="1"/>
    <col min="5284" max="5284" width="38.5703125" customWidth="1"/>
    <col min="5540" max="5540" width="38.5703125" customWidth="1"/>
    <col min="5796" max="5796" width="38.5703125" customWidth="1"/>
    <col min="6052" max="6052" width="38.5703125" customWidth="1"/>
    <col min="6308" max="6308" width="38.5703125" customWidth="1"/>
    <col min="6564" max="6564" width="38.5703125" customWidth="1"/>
    <col min="6820" max="6820" width="38.5703125" customWidth="1"/>
    <col min="7076" max="7076" width="38.5703125" customWidth="1"/>
    <col min="7332" max="7332" width="38.5703125" customWidth="1"/>
    <col min="7588" max="7588" width="38.5703125" customWidth="1"/>
    <col min="7844" max="7844" width="38.5703125" customWidth="1"/>
    <col min="8100" max="8100" width="38.5703125" customWidth="1"/>
    <col min="8356" max="8356" width="38.5703125" customWidth="1"/>
    <col min="8612" max="8612" width="38.5703125" customWidth="1"/>
    <col min="8868" max="8868" width="38.5703125" customWidth="1"/>
    <col min="9124" max="9124" width="38.5703125" customWidth="1"/>
    <col min="9380" max="9380" width="38.5703125" customWidth="1"/>
    <col min="9636" max="9636" width="38.5703125" customWidth="1"/>
    <col min="9892" max="9892" width="38.5703125" customWidth="1"/>
    <col min="10148" max="10148" width="38.5703125" customWidth="1"/>
    <col min="10404" max="10404" width="38.5703125" customWidth="1"/>
    <col min="10660" max="10660" width="38.5703125" customWidth="1"/>
    <col min="10916" max="10916" width="38.5703125" customWidth="1"/>
    <col min="11172" max="11172" width="38.5703125" customWidth="1"/>
    <col min="11428" max="11428" width="38.5703125" customWidth="1"/>
    <col min="11684" max="11684" width="38.5703125" customWidth="1"/>
    <col min="11940" max="11940" width="38.5703125" customWidth="1"/>
    <col min="12196" max="12196" width="38.5703125" customWidth="1"/>
    <col min="12452" max="12452" width="38.5703125" customWidth="1"/>
    <col min="12708" max="12708" width="38.5703125" customWidth="1"/>
    <col min="12964" max="12964" width="38.5703125" customWidth="1"/>
    <col min="13220" max="13220" width="38.5703125" customWidth="1"/>
    <col min="13476" max="13476" width="38.5703125" customWidth="1"/>
    <col min="13732" max="13732" width="38.5703125" customWidth="1"/>
    <col min="13988" max="13988" width="38.5703125" customWidth="1"/>
    <col min="14244" max="14244" width="38.5703125" customWidth="1"/>
    <col min="14500" max="14500" width="38.5703125" customWidth="1"/>
    <col min="14756" max="14756" width="38.5703125" customWidth="1"/>
    <col min="15012" max="15012" width="38.5703125" customWidth="1"/>
    <col min="15268" max="15268" width="38.5703125" customWidth="1"/>
    <col min="15524" max="15524" width="38.5703125" customWidth="1"/>
    <col min="15780" max="15780" width="38.5703125" customWidth="1"/>
    <col min="16036" max="16036" width="38.5703125" customWidth="1"/>
  </cols>
  <sheetData>
    <row r="1" spans="1:52">
      <c r="A1">
        <v>2001</v>
      </c>
      <c r="B1" t="s">
        <v>715</v>
      </c>
      <c r="C1" t="s">
        <v>716</v>
      </c>
      <c r="D1" t="s">
        <v>717</v>
      </c>
      <c r="E1" t="s">
        <v>718</v>
      </c>
      <c r="F1" t="s">
        <v>719</v>
      </c>
      <c r="G1" t="s">
        <v>720</v>
      </c>
      <c r="H1" t="s">
        <v>721</v>
      </c>
      <c r="I1" t="s">
        <v>722</v>
      </c>
      <c r="J1" t="s">
        <v>723</v>
      </c>
      <c r="K1" t="s">
        <v>724</v>
      </c>
      <c r="L1" t="s">
        <v>837</v>
      </c>
      <c r="M1" t="s">
        <v>838</v>
      </c>
      <c r="N1" t="s">
        <v>839</v>
      </c>
      <c r="W1" t="s">
        <v>840</v>
      </c>
      <c r="X1" t="s">
        <v>841</v>
      </c>
      <c r="Y1" t="s">
        <v>842</v>
      </c>
      <c r="Z1" t="s">
        <v>799</v>
      </c>
      <c r="AA1" t="s">
        <v>800</v>
      </c>
      <c r="AB1" t="s">
        <v>878</v>
      </c>
      <c r="AC1" t="s">
        <v>806</v>
      </c>
      <c r="AD1" t="s">
        <v>877</v>
      </c>
      <c r="AE1" t="s">
        <v>807</v>
      </c>
      <c r="AF1" s="125" t="s">
        <v>856</v>
      </c>
      <c r="AG1" s="125" t="s">
        <v>857</v>
      </c>
      <c r="AH1" s="125" t="s">
        <v>858</v>
      </c>
      <c r="AI1" s="125" t="s">
        <v>859</v>
      </c>
      <c r="AJ1" s="125" t="s">
        <v>860</v>
      </c>
      <c r="AK1" s="125" t="s">
        <v>861</v>
      </c>
      <c r="AL1" s="125" t="s">
        <v>862</v>
      </c>
      <c r="AM1" s="125" t="s">
        <v>863</v>
      </c>
      <c r="AN1" s="125" t="s">
        <v>864</v>
      </c>
      <c r="AO1" s="125" t="s">
        <v>865</v>
      </c>
      <c r="AP1" s="125" t="s">
        <v>866</v>
      </c>
      <c r="AQ1" s="125" t="s">
        <v>867</v>
      </c>
      <c r="AR1" s="125" t="s">
        <v>868</v>
      </c>
      <c r="AS1" s="125" t="s">
        <v>869</v>
      </c>
      <c r="AT1" s="125" t="s">
        <v>870</v>
      </c>
      <c r="AU1" s="125" t="s">
        <v>871</v>
      </c>
      <c r="AV1" s="125" t="s">
        <v>872</v>
      </c>
      <c r="AW1" s="125" t="s">
        <v>873</v>
      </c>
      <c r="AX1" s="125" t="s">
        <v>874</v>
      </c>
      <c r="AY1" s="125" t="s">
        <v>875</v>
      </c>
    </row>
    <row r="2" spans="1:52">
      <c r="A2" t="s">
        <v>725</v>
      </c>
      <c r="B2">
        <v>1103700</v>
      </c>
      <c r="C2">
        <v>1090625</v>
      </c>
      <c r="D2">
        <v>1.2</v>
      </c>
      <c r="E2">
        <v>59005</v>
      </c>
      <c r="F2">
        <v>13.3</v>
      </c>
      <c r="G2">
        <v>432550</v>
      </c>
      <c r="H2">
        <v>131450</v>
      </c>
      <c r="I2">
        <v>47890</v>
      </c>
      <c r="J2">
        <v>67.8</v>
      </c>
      <c r="K2">
        <v>29.8</v>
      </c>
      <c r="L2">
        <v>67.3</v>
      </c>
      <c r="M2">
        <v>63.3</v>
      </c>
      <c r="N2">
        <v>6.1</v>
      </c>
      <c r="T2">
        <f>IFERROR(VLOOKUP(A2,$U$12:$U$74,1,0),0)</f>
        <v>0</v>
      </c>
      <c r="W2">
        <v>27178</v>
      </c>
      <c r="X2">
        <v>32312</v>
      </c>
      <c r="Y2">
        <v>21480</v>
      </c>
      <c r="Z2">
        <v>26265</v>
      </c>
      <c r="AA2">
        <v>16602</v>
      </c>
      <c r="AB2">
        <v>234385</v>
      </c>
      <c r="AC2">
        <v>723610</v>
      </c>
      <c r="AD2">
        <v>253610</v>
      </c>
      <c r="AE2">
        <v>145690</v>
      </c>
      <c r="AI2" s="102"/>
      <c r="AJ2" s="102"/>
      <c r="AK2" s="102"/>
      <c r="AL2" s="102"/>
      <c r="AM2" s="102"/>
      <c r="AN2" s="102"/>
      <c r="AO2" s="102"/>
      <c r="AP2" s="102"/>
      <c r="AQ2" s="102"/>
      <c r="AR2" s="102"/>
      <c r="AS2" s="102"/>
      <c r="AT2" s="102"/>
      <c r="AU2" s="102"/>
      <c r="AV2" s="102"/>
      <c r="AW2" s="102"/>
      <c r="AX2" s="102"/>
      <c r="AY2" s="102"/>
      <c r="AZ2" s="102"/>
    </row>
    <row r="3" spans="1:52">
      <c r="A3" t="s">
        <v>192</v>
      </c>
      <c r="B3">
        <v>10</v>
      </c>
      <c r="T3">
        <f t="shared" ref="T3:T66" si="0">IFERROR(VLOOKUP(A3,$U$12:$U$74,1,0),0)</f>
        <v>0</v>
      </c>
      <c r="AB3">
        <v>0</v>
      </c>
      <c r="AC3">
        <v>0</v>
      </c>
      <c r="AD3">
        <v>0</v>
      </c>
      <c r="AE3">
        <v>0</v>
      </c>
      <c r="AF3" t="e">
        <v>#N/A</v>
      </c>
      <c r="AG3" t="e">
        <v>#N/A</v>
      </c>
      <c r="AH3" t="e">
        <v>#N/A</v>
      </c>
      <c r="AI3" t="e">
        <v>#N/A</v>
      </c>
      <c r="AJ3" t="e">
        <v>#N/A</v>
      </c>
      <c r="AK3" t="e">
        <v>#N/A</v>
      </c>
      <c r="AL3" t="e">
        <v>#N/A</v>
      </c>
      <c r="AM3" t="e">
        <v>#N/A</v>
      </c>
      <c r="AN3" t="e">
        <v>#N/A</v>
      </c>
      <c r="AO3" t="e">
        <v>#N/A</v>
      </c>
      <c r="AP3" t="e">
        <v>#N/A</v>
      </c>
      <c r="AQ3" t="e">
        <v>#N/A</v>
      </c>
      <c r="AR3" t="e">
        <v>#N/A</v>
      </c>
      <c r="AS3" t="e">
        <v>#N/A</v>
      </c>
      <c r="AT3" t="e">
        <v>#N/A</v>
      </c>
      <c r="AU3" t="e">
        <v>#N/A</v>
      </c>
      <c r="AV3" t="e">
        <v>#N/A</v>
      </c>
      <c r="AW3" t="e">
        <v>#N/A</v>
      </c>
      <c r="AX3" t="e">
        <v>#N/A</v>
      </c>
      <c r="AY3" t="e">
        <v>#N/A</v>
      </c>
    </row>
    <row r="4" spans="1:52">
      <c r="A4" t="s">
        <v>280</v>
      </c>
      <c r="B4">
        <v>390</v>
      </c>
      <c r="C4">
        <v>390</v>
      </c>
      <c r="D4">
        <v>1.1000000000000001</v>
      </c>
      <c r="E4">
        <v>42686</v>
      </c>
      <c r="F4">
        <v>0</v>
      </c>
      <c r="G4">
        <v>155</v>
      </c>
      <c r="H4">
        <v>70</v>
      </c>
      <c r="I4">
        <v>35</v>
      </c>
      <c r="J4">
        <v>100</v>
      </c>
      <c r="K4">
        <v>0</v>
      </c>
      <c r="L4">
        <v>86.4</v>
      </c>
      <c r="M4">
        <v>87.9</v>
      </c>
      <c r="N4">
        <v>0</v>
      </c>
      <c r="T4">
        <f t="shared" si="0"/>
        <v>0</v>
      </c>
      <c r="W4">
        <v>13530</v>
      </c>
      <c r="X4">
        <v>16806</v>
      </c>
      <c r="Y4">
        <v>8789</v>
      </c>
      <c r="Z4">
        <v>17583</v>
      </c>
      <c r="AA4">
        <v>13381</v>
      </c>
      <c r="AB4">
        <v>55</v>
      </c>
      <c r="AC4">
        <v>230</v>
      </c>
      <c r="AD4">
        <v>110</v>
      </c>
      <c r="AE4">
        <v>80</v>
      </c>
      <c r="AF4">
        <v>9.1746355134155948</v>
      </c>
      <c r="AG4">
        <v>0</v>
      </c>
      <c r="AH4">
        <v>0</v>
      </c>
      <c r="AI4">
        <v>0.53968444196562326</v>
      </c>
      <c r="AJ4">
        <v>0</v>
      </c>
      <c r="AK4">
        <v>0.80952666294843489</v>
      </c>
      <c r="AL4">
        <v>1.0793688839312465</v>
      </c>
      <c r="AM4">
        <v>0.53968444196562326</v>
      </c>
      <c r="AN4">
        <v>0</v>
      </c>
      <c r="AO4">
        <v>0.53968444196562326</v>
      </c>
      <c r="AP4">
        <v>0</v>
      </c>
      <c r="AQ4">
        <v>0.53968444196562326</v>
      </c>
      <c r="AR4">
        <v>0</v>
      </c>
      <c r="AS4">
        <v>0</v>
      </c>
      <c r="AT4">
        <v>0</v>
      </c>
      <c r="AU4">
        <v>0.80952666294843489</v>
      </c>
      <c r="AV4">
        <v>0</v>
      </c>
      <c r="AW4">
        <v>0.80952666294843489</v>
      </c>
      <c r="AX4">
        <v>0.53968444196562326</v>
      </c>
      <c r="AY4">
        <v>0</v>
      </c>
    </row>
    <row r="5" spans="1:52">
      <c r="A5" t="s">
        <v>281</v>
      </c>
      <c r="B5">
        <v>2780</v>
      </c>
      <c r="C5">
        <v>2765</v>
      </c>
      <c r="D5">
        <v>0.8</v>
      </c>
      <c r="E5">
        <v>53088</v>
      </c>
      <c r="F5">
        <v>7.9</v>
      </c>
      <c r="G5">
        <v>1135</v>
      </c>
      <c r="H5">
        <v>345</v>
      </c>
      <c r="I5">
        <v>105</v>
      </c>
      <c r="J5">
        <v>89.9</v>
      </c>
      <c r="K5">
        <v>9.6999999999999993</v>
      </c>
      <c r="L5">
        <v>55</v>
      </c>
      <c r="M5">
        <v>49.4</v>
      </c>
      <c r="N5">
        <v>10.199999999999999</v>
      </c>
      <c r="T5">
        <f t="shared" si="0"/>
        <v>0</v>
      </c>
      <c r="W5">
        <v>26290</v>
      </c>
      <c r="X5">
        <v>31317</v>
      </c>
      <c r="Y5">
        <v>19588</v>
      </c>
      <c r="Z5">
        <v>29001</v>
      </c>
      <c r="AA5">
        <v>13131</v>
      </c>
      <c r="AB5">
        <v>450</v>
      </c>
      <c r="AC5">
        <v>1795</v>
      </c>
      <c r="AD5">
        <v>850</v>
      </c>
      <c r="AE5">
        <v>510</v>
      </c>
      <c r="AF5">
        <v>0.98201404341980081</v>
      </c>
      <c r="AG5">
        <v>0.18412763314121264</v>
      </c>
      <c r="AH5">
        <v>0.30687938856868774</v>
      </c>
      <c r="AI5">
        <v>0.79788641027858809</v>
      </c>
      <c r="AJ5">
        <v>2.884666252545665</v>
      </c>
      <c r="AK5">
        <v>0.1227517554274751</v>
      </c>
      <c r="AL5">
        <v>1.227517554274751</v>
      </c>
      <c r="AM5">
        <v>0.61375877713737548</v>
      </c>
      <c r="AN5">
        <v>0.2455035108549502</v>
      </c>
      <c r="AO5">
        <v>0.61375877713737548</v>
      </c>
      <c r="AP5">
        <v>0.1227517554274751</v>
      </c>
      <c r="AQ5">
        <v>0.30687938856868774</v>
      </c>
      <c r="AR5">
        <v>0</v>
      </c>
      <c r="AS5">
        <v>0.85926228799232574</v>
      </c>
      <c r="AT5">
        <v>1.0433899211335382</v>
      </c>
      <c r="AU5">
        <v>1.9640280868396016</v>
      </c>
      <c r="AV5">
        <v>0.1227517554274751</v>
      </c>
      <c r="AW5">
        <v>1.4730210651297011</v>
      </c>
      <c r="AX5">
        <v>0.55238289942363794</v>
      </c>
      <c r="AY5">
        <v>0.73651053256485055</v>
      </c>
    </row>
    <row r="6" spans="1:52">
      <c r="A6" t="s">
        <v>282</v>
      </c>
      <c r="B6">
        <v>1635</v>
      </c>
      <c r="C6">
        <v>1630</v>
      </c>
      <c r="D6">
        <v>1.2</v>
      </c>
      <c r="E6">
        <v>34317</v>
      </c>
      <c r="F6">
        <v>26.1</v>
      </c>
      <c r="G6">
        <v>610</v>
      </c>
      <c r="H6">
        <v>230</v>
      </c>
      <c r="I6">
        <v>190</v>
      </c>
      <c r="J6">
        <v>81.099999999999994</v>
      </c>
      <c r="K6">
        <v>18.899999999999999</v>
      </c>
      <c r="L6">
        <v>63.9</v>
      </c>
      <c r="M6">
        <v>58.8</v>
      </c>
      <c r="N6">
        <v>8.6</v>
      </c>
      <c r="T6">
        <f t="shared" si="0"/>
        <v>0</v>
      </c>
      <c r="W6">
        <v>16204</v>
      </c>
      <c r="X6">
        <v>18057</v>
      </c>
      <c r="Y6">
        <v>13501</v>
      </c>
      <c r="Z6">
        <v>13302</v>
      </c>
      <c r="AA6">
        <v>11741</v>
      </c>
      <c r="AB6">
        <v>445</v>
      </c>
      <c r="AC6">
        <v>910</v>
      </c>
      <c r="AD6">
        <v>360</v>
      </c>
      <c r="AE6">
        <v>280</v>
      </c>
      <c r="AF6">
        <v>6.7957633021197568</v>
      </c>
      <c r="AG6">
        <v>0</v>
      </c>
      <c r="AH6">
        <v>0</v>
      </c>
      <c r="AI6">
        <v>1.1326272170199594</v>
      </c>
      <c r="AJ6">
        <v>0.20593222127635624</v>
      </c>
      <c r="AK6">
        <v>0.30889833191453436</v>
      </c>
      <c r="AL6">
        <v>1.0296611063817811</v>
      </c>
      <c r="AM6">
        <v>0.92669499574360303</v>
      </c>
      <c r="AN6">
        <v>0</v>
      </c>
      <c r="AO6">
        <v>0.41186444255271248</v>
      </c>
      <c r="AP6">
        <v>0</v>
      </c>
      <c r="AQ6">
        <v>0</v>
      </c>
      <c r="AR6">
        <v>0</v>
      </c>
      <c r="AS6">
        <v>0</v>
      </c>
      <c r="AT6">
        <v>1.2355933276581375</v>
      </c>
      <c r="AU6">
        <v>1.1326272170199594</v>
      </c>
      <c r="AV6">
        <v>0.30889833191453436</v>
      </c>
      <c r="AW6">
        <v>0.72076277446724679</v>
      </c>
      <c r="AX6">
        <v>0.41186444255271248</v>
      </c>
      <c r="AY6">
        <v>0.51483055319089055</v>
      </c>
    </row>
    <row r="7" spans="1:52">
      <c r="A7" t="s">
        <v>283</v>
      </c>
      <c r="B7">
        <v>3355</v>
      </c>
      <c r="C7">
        <v>3355</v>
      </c>
      <c r="D7">
        <v>1</v>
      </c>
      <c r="E7">
        <v>53689</v>
      </c>
      <c r="F7">
        <v>13.4</v>
      </c>
      <c r="G7">
        <v>1430</v>
      </c>
      <c r="H7">
        <v>355</v>
      </c>
      <c r="I7">
        <v>100</v>
      </c>
      <c r="J7">
        <v>67.5</v>
      </c>
      <c r="K7">
        <v>32.9</v>
      </c>
      <c r="L7">
        <v>63.3</v>
      </c>
      <c r="M7">
        <v>61.9</v>
      </c>
      <c r="N7">
        <v>2.2999999999999998</v>
      </c>
      <c r="T7">
        <f t="shared" si="0"/>
        <v>0</v>
      </c>
      <c r="W7">
        <v>24603</v>
      </c>
      <c r="X7">
        <v>31040</v>
      </c>
      <c r="Y7">
        <v>16689</v>
      </c>
      <c r="Z7">
        <v>28488</v>
      </c>
      <c r="AA7">
        <v>13731</v>
      </c>
      <c r="AB7">
        <v>650</v>
      </c>
      <c r="AC7">
        <v>2020</v>
      </c>
      <c r="AD7">
        <v>685</v>
      </c>
      <c r="AE7">
        <v>680</v>
      </c>
      <c r="AF7">
        <v>0.59491530590947361</v>
      </c>
      <c r="AG7">
        <v>0</v>
      </c>
      <c r="AH7">
        <v>0.13728814751757082</v>
      </c>
      <c r="AI7">
        <v>0.68644073758785418</v>
      </c>
      <c r="AJ7">
        <v>2.8372883820297972</v>
      </c>
      <c r="AK7">
        <v>0.91525431678380553</v>
      </c>
      <c r="AL7">
        <v>1.5559323385324693</v>
      </c>
      <c r="AM7">
        <v>0.50338987423109305</v>
      </c>
      <c r="AN7">
        <v>0.64067802174866384</v>
      </c>
      <c r="AO7">
        <v>0.45762715839190277</v>
      </c>
      <c r="AP7">
        <v>0.3661017267135222</v>
      </c>
      <c r="AQ7">
        <v>0.27457629503514164</v>
      </c>
      <c r="AR7">
        <v>0</v>
      </c>
      <c r="AS7">
        <v>0.3661017267135222</v>
      </c>
      <c r="AT7">
        <v>1.510169622693279</v>
      </c>
      <c r="AU7">
        <v>2.1050849286027526</v>
      </c>
      <c r="AV7">
        <v>0</v>
      </c>
      <c r="AW7">
        <v>0.86949160094461519</v>
      </c>
      <c r="AX7">
        <v>0.82372888510542497</v>
      </c>
      <c r="AY7">
        <v>0.7322034534270444</v>
      </c>
    </row>
    <row r="8" spans="1:52">
      <c r="A8" t="s">
        <v>284</v>
      </c>
      <c r="T8">
        <f t="shared" si="0"/>
        <v>0</v>
      </c>
      <c r="AB8">
        <v>0</v>
      </c>
      <c r="AC8">
        <v>0</v>
      </c>
      <c r="AD8">
        <v>0</v>
      </c>
      <c r="AE8">
        <v>0</v>
      </c>
      <c r="AF8" t="e">
        <v>#N/A</v>
      </c>
      <c r="AG8" t="e">
        <v>#N/A</v>
      </c>
      <c r="AH8" t="e">
        <v>#N/A</v>
      </c>
      <c r="AI8" t="e">
        <v>#N/A</v>
      </c>
      <c r="AJ8" t="e">
        <v>#N/A</v>
      </c>
      <c r="AK8" t="e">
        <v>#N/A</v>
      </c>
      <c r="AL8" t="e">
        <v>#N/A</v>
      </c>
      <c r="AM8" t="e">
        <v>#N/A</v>
      </c>
      <c r="AN8" t="e">
        <v>#N/A</v>
      </c>
      <c r="AO8" t="e">
        <v>#N/A</v>
      </c>
      <c r="AP8" t="e">
        <v>#N/A</v>
      </c>
      <c r="AQ8" t="e">
        <v>#N/A</v>
      </c>
      <c r="AR8" t="e">
        <v>#N/A</v>
      </c>
      <c r="AS8" t="e">
        <v>#N/A</v>
      </c>
      <c r="AT8" t="e">
        <v>#N/A</v>
      </c>
      <c r="AU8" t="e">
        <v>#N/A</v>
      </c>
      <c r="AV8" t="e">
        <v>#N/A</v>
      </c>
      <c r="AW8" t="e">
        <v>#N/A</v>
      </c>
      <c r="AX8" t="e">
        <v>#N/A</v>
      </c>
      <c r="AY8" t="e">
        <v>#N/A</v>
      </c>
    </row>
    <row r="9" spans="1:52">
      <c r="A9" t="s">
        <v>285</v>
      </c>
      <c r="T9">
        <f t="shared" si="0"/>
        <v>0</v>
      </c>
      <c r="AB9">
        <v>0</v>
      </c>
      <c r="AC9">
        <v>0</v>
      </c>
      <c r="AD9">
        <v>0</v>
      </c>
      <c r="AE9">
        <v>0</v>
      </c>
      <c r="AF9" t="e">
        <v>#N/A</v>
      </c>
      <c r="AG9" t="e">
        <v>#N/A</v>
      </c>
      <c r="AH9" t="e">
        <v>#N/A</v>
      </c>
      <c r="AI9" t="e">
        <v>#N/A</v>
      </c>
      <c r="AJ9" t="e">
        <v>#N/A</v>
      </c>
      <c r="AK9" t="e">
        <v>#N/A</v>
      </c>
      <c r="AL9" t="e">
        <v>#N/A</v>
      </c>
      <c r="AM9" t="e">
        <v>#N/A</v>
      </c>
      <c r="AN9" t="e">
        <v>#N/A</v>
      </c>
      <c r="AO9" t="e">
        <v>#N/A</v>
      </c>
      <c r="AP9" t="e">
        <v>#N/A</v>
      </c>
      <c r="AQ9" t="e">
        <v>#N/A</v>
      </c>
      <c r="AR9" t="e">
        <v>#N/A</v>
      </c>
      <c r="AS9" t="e">
        <v>#N/A</v>
      </c>
      <c r="AT9" t="e">
        <v>#N/A</v>
      </c>
      <c r="AU9" t="e">
        <v>#N/A</v>
      </c>
      <c r="AV9" t="e">
        <v>#N/A</v>
      </c>
      <c r="AW9" t="e">
        <v>#N/A</v>
      </c>
      <c r="AX9" t="e">
        <v>#N/A</v>
      </c>
      <c r="AY9" t="e">
        <v>#N/A</v>
      </c>
    </row>
    <row r="10" spans="1:52">
      <c r="A10" t="s">
        <v>286</v>
      </c>
      <c r="B10">
        <v>910</v>
      </c>
      <c r="C10">
        <v>910</v>
      </c>
      <c r="D10">
        <v>1.1000000000000001</v>
      </c>
      <c r="E10">
        <v>49546</v>
      </c>
      <c r="F10">
        <v>13</v>
      </c>
      <c r="G10">
        <v>420</v>
      </c>
      <c r="H10">
        <v>160</v>
      </c>
      <c r="I10">
        <v>35</v>
      </c>
      <c r="J10">
        <v>71.400000000000006</v>
      </c>
      <c r="K10">
        <v>27.4</v>
      </c>
      <c r="L10">
        <v>54.7</v>
      </c>
      <c r="M10">
        <v>51.3</v>
      </c>
      <c r="N10">
        <v>6.1</v>
      </c>
      <c r="T10">
        <f t="shared" si="0"/>
        <v>0</v>
      </c>
      <c r="W10">
        <v>21083</v>
      </c>
      <c r="X10">
        <v>29511</v>
      </c>
      <c r="Y10">
        <v>11123</v>
      </c>
      <c r="Z10">
        <v>20932</v>
      </c>
      <c r="AA10">
        <v>12889</v>
      </c>
      <c r="AB10">
        <v>160</v>
      </c>
      <c r="AC10">
        <v>500</v>
      </c>
      <c r="AD10">
        <v>185</v>
      </c>
      <c r="AE10">
        <v>230</v>
      </c>
      <c r="AF10">
        <v>1.9086400996345214</v>
      </c>
      <c r="AG10">
        <v>0</v>
      </c>
      <c r="AH10">
        <v>0.38172801992690431</v>
      </c>
      <c r="AI10">
        <v>0.5725920298903564</v>
      </c>
      <c r="AJ10">
        <v>1.9086400996345214</v>
      </c>
      <c r="AK10">
        <v>0.76345603985380861</v>
      </c>
      <c r="AL10">
        <v>2.2903681195614256</v>
      </c>
      <c r="AM10">
        <v>0.5725920298903564</v>
      </c>
      <c r="AN10">
        <v>0</v>
      </c>
      <c r="AO10">
        <v>0.76345603985380861</v>
      </c>
      <c r="AP10">
        <v>0</v>
      </c>
      <c r="AQ10">
        <v>0</v>
      </c>
      <c r="AR10">
        <v>0</v>
      </c>
      <c r="AS10">
        <v>0.38172801992690431</v>
      </c>
      <c r="AT10">
        <v>2.0995041095979734</v>
      </c>
      <c r="AU10">
        <v>1.1451840597807128</v>
      </c>
      <c r="AV10">
        <v>0</v>
      </c>
      <c r="AW10">
        <v>1.336048069744165</v>
      </c>
      <c r="AX10">
        <v>1.1451840597807128</v>
      </c>
      <c r="AY10">
        <v>0.38172801992690431</v>
      </c>
    </row>
    <row r="11" spans="1:52">
      <c r="A11" t="s">
        <v>668</v>
      </c>
      <c r="B11">
        <v>330</v>
      </c>
      <c r="C11">
        <v>325</v>
      </c>
      <c r="D11">
        <v>0.8</v>
      </c>
      <c r="E11">
        <v>44762</v>
      </c>
      <c r="F11">
        <v>20</v>
      </c>
      <c r="G11">
        <v>155</v>
      </c>
      <c r="H11">
        <v>60</v>
      </c>
      <c r="I11">
        <v>20</v>
      </c>
      <c r="J11">
        <v>77.400000000000006</v>
      </c>
      <c r="K11">
        <v>19.399999999999999</v>
      </c>
      <c r="L11">
        <v>65.5</v>
      </c>
      <c r="M11">
        <v>65.5</v>
      </c>
      <c r="N11">
        <v>0</v>
      </c>
      <c r="T11">
        <f t="shared" si="0"/>
        <v>0</v>
      </c>
      <c r="W11">
        <v>20139</v>
      </c>
      <c r="X11">
        <v>22111</v>
      </c>
      <c r="Y11">
        <v>17098</v>
      </c>
      <c r="Z11">
        <v>16097</v>
      </c>
      <c r="AA11">
        <v>15660</v>
      </c>
      <c r="AB11">
        <v>40</v>
      </c>
      <c r="AC11">
        <v>205</v>
      </c>
      <c r="AD11">
        <v>105</v>
      </c>
      <c r="AE11">
        <v>85</v>
      </c>
      <c r="AF11">
        <v>6.8221648689500585</v>
      </c>
      <c r="AG11">
        <v>0</v>
      </c>
      <c r="AH11">
        <v>0</v>
      </c>
      <c r="AI11">
        <v>0.80260763164118332</v>
      </c>
      <c r="AJ11">
        <v>0</v>
      </c>
      <c r="AK11">
        <v>0.80260763164118332</v>
      </c>
      <c r="AL11">
        <v>0.80260763164118332</v>
      </c>
      <c r="AM11">
        <v>1.2039114474617751</v>
      </c>
      <c r="AN11">
        <v>0</v>
      </c>
      <c r="AO11">
        <v>1.2039114474617751</v>
      </c>
      <c r="AP11">
        <v>0</v>
      </c>
      <c r="AQ11">
        <v>0</v>
      </c>
      <c r="AR11">
        <v>0</v>
      </c>
      <c r="AS11">
        <v>0</v>
      </c>
      <c r="AT11">
        <v>1.6052152632823666</v>
      </c>
      <c r="AU11">
        <v>1.6052152632823666</v>
      </c>
      <c r="AV11">
        <v>0</v>
      </c>
      <c r="AW11">
        <v>0.80260763164118332</v>
      </c>
      <c r="AX11">
        <v>0</v>
      </c>
      <c r="AY11">
        <v>0</v>
      </c>
    </row>
    <row r="12" spans="1:52">
      <c r="A12" t="s">
        <v>287</v>
      </c>
      <c r="B12">
        <v>1105</v>
      </c>
      <c r="C12">
        <v>1030</v>
      </c>
      <c r="D12">
        <v>1</v>
      </c>
      <c r="E12">
        <v>39236</v>
      </c>
      <c r="F12">
        <v>11.1</v>
      </c>
      <c r="G12">
        <v>430</v>
      </c>
      <c r="H12">
        <v>130</v>
      </c>
      <c r="I12">
        <v>75</v>
      </c>
      <c r="J12">
        <v>86</v>
      </c>
      <c r="K12">
        <v>14</v>
      </c>
      <c r="L12">
        <v>69.2</v>
      </c>
      <c r="M12">
        <v>68.599999999999994</v>
      </c>
      <c r="N12">
        <v>0</v>
      </c>
      <c r="T12">
        <f t="shared" si="0"/>
        <v>0</v>
      </c>
      <c r="U12" s="102" t="s">
        <v>194</v>
      </c>
      <c r="V12">
        <v>467</v>
      </c>
      <c r="W12">
        <v>14184</v>
      </c>
      <c r="X12">
        <v>13976</v>
      </c>
      <c r="Y12">
        <v>14511</v>
      </c>
      <c r="Z12">
        <v>15540</v>
      </c>
      <c r="AA12">
        <v>14368</v>
      </c>
      <c r="AB12">
        <v>175</v>
      </c>
      <c r="AC12">
        <v>720</v>
      </c>
      <c r="AD12">
        <v>310</v>
      </c>
      <c r="AE12">
        <v>195</v>
      </c>
      <c r="AF12">
        <v>8.9961571940253897</v>
      </c>
      <c r="AG12">
        <v>0</v>
      </c>
      <c r="AH12">
        <v>0</v>
      </c>
      <c r="AI12">
        <v>0.36970509016542696</v>
      </c>
      <c r="AJ12">
        <v>0.24647006011028463</v>
      </c>
      <c r="AK12">
        <v>0.24647006011028463</v>
      </c>
      <c r="AL12">
        <v>0.36970509016542696</v>
      </c>
      <c r="AM12">
        <v>0.49294012022056927</v>
      </c>
      <c r="AN12">
        <v>0.24647006011028463</v>
      </c>
      <c r="AO12">
        <v>0.36970509016542696</v>
      </c>
      <c r="AP12">
        <v>0</v>
      </c>
      <c r="AQ12">
        <v>0</v>
      </c>
      <c r="AR12">
        <v>0</v>
      </c>
      <c r="AS12">
        <v>0</v>
      </c>
      <c r="AT12">
        <v>0.61617515027571157</v>
      </c>
      <c r="AU12">
        <v>2.0949955109374199</v>
      </c>
      <c r="AV12">
        <v>0</v>
      </c>
      <c r="AW12">
        <v>0.24647006011028463</v>
      </c>
      <c r="AX12">
        <v>0.98588024044113853</v>
      </c>
      <c r="AY12">
        <v>0</v>
      </c>
    </row>
    <row r="13" spans="1:52">
      <c r="A13" t="s">
        <v>687</v>
      </c>
      <c r="B13">
        <v>1895</v>
      </c>
      <c r="C13">
        <v>1895</v>
      </c>
      <c r="D13">
        <v>1</v>
      </c>
      <c r="E13">
        <v>40128</v>
      </c>
      <c r="F13">
        <v>13.5</v>
      </c>
      <c r="G13">
        <v>785</v>
      </c>
      <c r="H13">
        <v>395</v>
      </c>
      <c r="I13">
        <v>145</v>
      </c>
      <c r="J13">
        <v>84.7</v>
      </c>
      <c r="K13">
        <v>15.3</v>
      </c>
      <c r="L13">
        <v>64.5</v>
      </c>
      <c r="M13">
        <v>59.1</v>
      </c>
      <c r="N13">
        <v>8.3000000000000007</v>
      </c>
      <c r="T13">
        <f t="shared" si="0"/>
        <v>0</v>
      </c>
      <c r="U13" s="102" t="s">
        <v>197</v>
      </c>
      <c r="V13">
        <v>1085</v>
      </c>
      <c r="W13">
        <v>17503</v>
      </c>
      <c r="X13">
        <v>18655</v>
      </c>
      <c r="Y13">
        <v>15883</v>
      </c>
      <c r="Z13">
        <v>14330</v>
      </c>
      <c r="AA13">
        <v>13101</v>
      </c>
      <c r="AB13">
        <v>300</v>
      </c>
      <c r="AC13">
        <v>1225</v>
      </c>
      <c r="AD13">
        <v>610</v>
      </c>
      <c r="AE13">
        <v>355</v>
      </c>
      <c r="AF13">
        <v>5.0388098630351363</v>
      </c>
      <c r="AG13">
        <v>0</v>
      </c>
      <c r="AH13">
        <v>0</v>
      </c>
      <c r="AI13">
        <v>1.6032576836929979</v>
      </c>
      <c r="AJ13">
        <v>0.91614724782457035</v>
      </c>
      <c r="AK13">
        <v>0.61076483188304687</v>
      </c>
      <c r="AL13">
        <v>0.68711043586842768</v>
      </c>
      <c r="AM13">
        <v>0.99249285180995117</v>
      </c>
      <c r="AN13">
        <v>0</v>
      </c>
      <c r="AO13">
        <v>0.30538241594152343</v>
      </c>
      <c r="AP13">
        <v>0.15269120797076172</v>
      </c>
      <c r="AQ13">
        <v>0</v>
      </c>
      <c r="AR13">
        <v>0</v>
      </c>
      <c r="AS13">
        <v>0.38172801992690431</v>
      </c>
      <c r="AT13">
        <v>0.68711043586842768</v>
      </c>
      <c r="AU13">
        <v>1.6796032876783789</v>
      </c>
      <c r="AV13">
        <v>0.38172801992690431</v>
      </c>
      <c r="AW13">
        <v>0.45807362391228518</v>
      </c>
      <c r="AX13">
        <v>0.76345603985380861</v>
      </c>
      <c r="AY13">
        <v>0.53441922789766605</v>
      </c>
    </row>
    <row r="14" spans="1:52">
      <c r="A14" t="s">
        <v>623</v>
      </c>
      <c r="B14">
        <v>480</v>
      </c>
      <c r="C14">
        <v>480</v>
      </c>
      <c r="D14">
        <v>1</v>
      </c>
      <c r="E14">
        <v>49335</v>
      </c>
      <c r="F14">
        <v>0</v>
      </c>
      <c r="G14">
        <v>170</v>
      </c>
      <c r="H14">
        <v>90</v>
      </c>
      <c r="I14">
        <v>35</v>
      </c>
      <c r="J14">
        <v>85.3</v>
      </c>
      <c r="K14">
        <v>17.600000000000001</v>
      </c>
      <c r="L14">
        <v>89.2</v>
      </c>
      <c r="M14">
        <v>87.8</v>
      </c>
      <c r="N14">
        <v>0</v>
      </c>
      <c r="T14">
        <f t="shared" si="0"/>
        <v>0</v>
      </c>
      <c r="U14" s="102" t="s">
        <v>198</v>
      </c>
      <c r="V14">
        <v>439</v>
      </c>
      <c r="W14">
        <v>20925</v>
      </c>
      <c r="X14">
        <v>20214</v>
      </c>
      <c r="Y14">
        <v>21838</v>
      </c>
      <c r="Z14">
        <v>14616</v>
      </c>
      <c r="AA14">
        <v>20757</v>
      </c>
      <c r="AB14">
        <v>105</v>
      </c>
      <c r="AC14">
        <v>325</v>
      </c>
      <c r="AD14">
        <v>115</v>
      </c>
      <c r="AE14">
        <v>45</v>
      </c>
      <c r="AF14">
        <v>8.7739607004411173</v>
      </c>
      <c r="AG14">
        <v>0</v>
      </c>
      <c r="AH14">
        <v>0</v>
      </c>
      <c r="AI14">
        <v>0</v>
      </c>
      <c r="AJ14">
        <v>0</v>
      </c>
      <c r="AK14">
        <v>0</v>
      </c>
      <c r="AL14">
        <v>2.6084748028338458</v>
      </c>
      <c r="AM14">
        <v>0</v>
      </c>
      <c r="AN14">
        <v>0</v>
      </c>
      <c r="AO14">
        <v>0</v>
      </c>
      <c r="AP14">
        <v>0</v>
      </c>
      <c r="AQ14">
        <v>0</v>
      </c>
      <c r="AR14">
        <v>0</v>
      </c>
      <c r="AS14">
        <v>0</v>
      </c>
      <c r="AT14">
        <v>0.94853629193958033</v>
      </c>
      <c r="AU14">
        <v>0.94853629193958033</v>
      </c>
      <c r="AV14">
        <v>0</v>
      </c>
      <c r="AW14">
        <v>0.47426814596979017</v>
      </c>
      <c r="AX14">
        <v>0</v>
      </c>
      <c r="AY14">
        <v>0</v>
      </c>
    </row>
    <row r="15" spans="1:52">
      <c r="A15" t="s">
        <v>288</v>
      </c>
      <c r="T15">
        <f t="shared" si="0"/>
        <v>0</v>
      </c>
      <c r="U15" s="102" t="s">
        <v>544</v>
      </c>
      <c r="V15">
        <v>495</v>
      </c>
      <c r="AB15">
        <v>0</v>
      </c>
      <c r="AC15">
        <v>0</v>
      </c>
      <c r="AD15">
        <v>0</v>
      </c>
      <c r="AE15">
        <v>0</v>
      </c>
      <c r="AF15" t="e">
        <v>#N/A</v>
      </c>
      <c r="AG15" t="e">
        <v>#N/A</v>
      </c>
      <c r="AH15" t="e">
        <v>#N/A</v>
      </c>
      <c r="AI15" t="e">
        <v>#N/A</v>
      </c>
      <c r="AJ15" t="e">
        <v>#N/A</v>
      </c>
      <c r="AK15" t="e">
        <v>#N/A</v>
      </c>
      <c r="AL15" t="e">
        <v>#N/A</v>
      </c>
      <c r="AM15" t="e">
        <v>#N/A</v>
      </c>
      <c r="AN15" t="e">
        <v>#N/A</v>
      </c>
      <c r="AO15" t="e">
        <v>#N/A</v>
      </c>
      <c r="AP15" t="e">
        <v>#N/A</v>
      </c>
      <c r="AQ15" t="e">
        <v>#N/A</v>
      </c>
      <c r="AR15" t="e">
        <v>#N/A</v>
      </c>
      <c r="AS15" t="e">
        <v>#N/A</v>
      </c>
      <c r="AT15" t="e">
        <v>#N/A</v>
      </c>
      <c r="AU15" t="e">
        <v>#N/A</v>
      </c>
      <c r="AV15" t="e">
        <v>#N/A</v>
      </c>
      <c r="AW15" t="e">
        <v>#N/A</v>
      </c>
      <c r="AX15" t="e">
        <v>#N/A</v>
      </c>
      <c r="AY15" t="e">
        <v>#N/A</v>
      </c>
    </row>
    <row r="16" spans="1:52">
      <c r="A16" t="s">
        <v>289</v>
      </c>
      <c r="T16">
        <f t="shared" si="0"/>
        <v>0</v>
      </c>
      <c r="U16" s="102" t="s">
        <v>200</v>
      </c>
      <c r="V16">
        <v>682</v>
      </c>
      <c r="AB16">
        <v>0</v>
      </c>
      <c r="AC16">
        <v>0</v>
      </c>
      <c r="AD16">
        <v>0</v>
      </c>
      <c r="AE16">
        <v>0</v>
      </c>
      <c r="AF16" t="e">
        <v>#N/A</v>
      </c>
      <c r="AG16" t="e">
        <v>#N/A</v>
      </c>
      <c r="AH16" t="e">
        <v>#N/A</v>
      </c>
      <c r="AI16" t="e">
        <v>#N/A</v>
      </c>
      <c r="AJ16" t="e">
        <v>#N/A</v>
      </c>
      <c r="AK16" t="e">
        <v>#N/A</v>
      </c>
      <c r="AL16" t="e">
        <v>#N/A</v>
      </c>
      <c r="AM16" t="e">
        <v>#N/A</v>
      </c>
      <c r="AN16" t="e">
        <v>#N/A</v>
      </c>
      <c r="AO16" t="e">
        <v>#N/A</v>
      </c>
      <c r="AP16" t="e">
        <v>#N/A</v>
      </c>
      <c r="AQ16" t="e">
        <v>#N/A</v>
      </c>
      <c r="AR16" t="e">
        <v>#N/A</v>
      </c>
      <c r="AS16" t="e">
        <v>#N/A</v>
      </c>
      <c r="AT16" t="e">
        <v>#N/A</v>
      </c>
      <c r="AU16" t="e">
        <v>#N/A</v>
      </c>
      <c r="AV16" t="e">
        <v>#N/A</v>
      </c>
      <c r="AW16" t="e">
        <v>#N/A</v>
      </c>
      <c r="AX16" t="e">
        <v>#N/A</v>
      </c>
      <c r="AY16" t="e">
        <v>#N/A</v>
      </c>
    </row>
    <row r="17" spans="1:51">
      <c r="A17" t="s">
        <v>726</v>
      </c>
      <c r="B17">
        <v>68985</v>
      </c>
      <c r="C17">
        <v>66235</v>
      </c>
      <c r="D17">
        <v>1.1000000000000001</v>
      </c>
      <c r="E17">
        <v>47457</v>
      </c>
      <c r="F17">
        <v>10.199999999999999</v>
      </c>
      <c r="G17">
        <v>27460</v>
      </c>
      <c r="H17">
        <v>9585</v>
      </c>
      <c r="I17">
        <v>3500</v>
      </c>
      <c r="J17">
        <v>79.8</v>
      </c>
      <c r="K17">
        <v>16.7</v>
      </c>
      <c r="L17">
        <v>64.900000000000006</v>
      </c>
      <c r="M17">
        <v>62.3</v>
      </c>
      <c r="N17">
        <v>3.9</v>
      </c>
      <c r="T17">
        <f t="shared" si="0"/>
        <v>0</v>
      </c>
      <c r="U17" s="102" t="s">
        <v>201</v>
      </c>
      <c r="V17">
        <v>343</v>
      </c>
      <c r="W17">
        <v>20310</v>
      </c>
      <c r="X17">
        <v>22957</v>
      </c>
      <c r="Y17">
        <v>17129</v>
      </c>
      <c r="Z17">
        <v>20330</v>
      </c>
      <c r="AA17">
        <v>14700</v>
      </c>
      <c r="AB17">
        <v>14365</v>
      </c>
      <c r="AC17">
        <v>41500</v>
      </c>
      <c r="AD17">
        <v>16550</v>
      </c>
      <c r="AE17">
        <v>13110</v>
      </c>
      <c r="AF17">
        <v>4.6550449544643531</v>
      </c>
      <c r="AG17">
        <v>0.19442048219879596</v>
      </c>
      <c r="AH17">
        <v>0.12593144869694739</v>
      </c>
      <c r="AI17">
        <v>0.82628704934488284</v>
      </c>
      <c r="AJ17">
        <v>0.89035743552403157</v>
      </c>
      <c r="AK17">
        <v>0.6429131854528366</v>
      </c>
      <c r="AL17">
        <v>1.2747797525989235</v>
      </c>
      <c r="AM17">
        <v>0.71140221895468525</v>
      </c>
      <c r="AN17">
        <v>0.12814077235829735</v>
      </c>
      <c r="AO17">
        <v>0.42419014297919122</v>
      </c>
      <c r="AP17">
        <v>5.9651738856448762E-2</v>
      </c>
      <c r="AQ17">
        <v>0.22976966078039524</v>
      </c>
      <c r="AR17">
        <v>8.8372946453998159E-3</v>
      </c>
      <c r="AS17">
        <v>0.28942139963684399</v>
      </c>
      <c r="AT17">
        <v>1.0450100918185283</v>
      </c>
      <c r="AU17">
        <v>1.7586216344345635</v>
      </c>
      <c r="AV17">
        <v>0.16128062727854664</v>
      </c>
      <c r="AW17">
        <v>0.84617096229703248</v>
      </c>
      <c r="AX17">
        <v>0.63186656714608691</v>
      </c>
      <c r="AY17">
        <v>0.63407589080743687</v>
      </c>
    </row>
    <row r="18" spans="1:51">
      <c r="A18" t="s">
        <v>788</v>
      </c>
      <c r="T18">
        <f t="shared" si="0"/>
        <v>0</v>
      </c>
      <c r="U18" s="102" t="s">
        <v>202</v>
      </c>
      <c r="V18">
        <v>47</v>
      </c>
      <c r="AB18">
        <v>0</v>
      </c>
      <c r="AC18">
        <v>0</v>
      </c>
      <c r="AD18">
        <v>0</v>
      </c>
      <c r="AE18">
        <v>0</v>
      </c>
      <c r="AF18" t="e">
        <v>#N/A</v>
      </c>
      <c r="AG18" t="e">
        <v>#N/A</v>
      </c>
      <c r="AH18" t="e">
        <v>#N/A</v>
      </c>
      <c r="AI18" t="e">
        <v>#N/A</v>
      </c>
      <c r="AJ18" t="e">
        <v>#N/A</v>
      </c>
      <c r="AK18" t="e">
        <v>#N/A</v>
      </c>
      <c r="AL18" t="e">
        <v>#N/A</v>
      </c>
      <c r="AM18" t="e">
        <v>#N/A</v>
      </c>
      <c r="AN18" t="e">
        <v>#N/A</v>
      </c>
      <c r="AO18" t="e">
        <v>#N/A</v>
      </c>
      <c r="AP18" t="e">
        <v>#N/A</v>
      </c>
      <c r="AQ18" t="e">
        <v>#N/A</v>
      </c>
      <c r="AR18" t="e">
        <v>#N/A</v>
      </c>
      <c r="AS18" t="e">
        <v>#N/A</v>
      </c>
      <c r="AT18" t="e">
        <v>#N/A</v>
      </c>
      <c r="AU18" t="e">
        <v>#N/A</v>
      </c>
      <c r="AV18" t="e">
        <v>#N/A</v>
      </c>
      <c r="AW18" t="e">
        <v>#N/A</v>
      </c>
      <c r="AX18" t="e">
        <v>#N/A</v>
      </c>
      <c r="AY18" t="e">
        <v>#N/A</v>
      </c>
    </row>
    <row r="19" spans="1:51">
      <c r="A19" t="s">
        <v>193</v>
      </c>
      <c r="B19">
        <v>38</v>
      </c>
      <c r="T19">
        <f t="shared" si="0"/>
        <v>0</v>
      </c>
      <c r="U19" s="102" t="s">
        <v>203</v>
      </c>
      <c r="V19">
        <v>1905</v>
      </c>
      <c r="AB19">
        <v>0</v>
      </c>
      <c r="AC19">
        <v>0</v>
      </c>
      <c r="AD19">
        <v>0</v>
      </c>
      <c r="AE19">
        <v>0</v>
      </c>
      <c r="AF19" t="e">
        <v>#N/A</v>
      </c>
      <c r="AG19" t="e">
        <v>#N/A</v>
      </c>
      <c r="AH19" t="e">
        <v>#N/A</v>
      </c>
      <c r="AI19" t="e">
        <v>#N/A</v>
      </c>
      <c r="AJ19" t="e">
        <v>#N/A</v>
      </c>
      <c r="AK19" t="e">
        <v>#N/A</v>
      </c>
      <c r="AL19" t="e">
        <v>#N/A</v>
      </c>
      <c r="AM19" t="e">
        <v>#N/A</v>
      </c>
      <c r="AN19" t="e">
        <v>#N/A</v>
      </c>
      <c r="AO19" t="e">
        <v>#N/A</v>
      </c>
      <c r="AP19" t="e">
        <v>#N/A</v>
      </c>
      <c r="AQ19" t="e">
        <v>#N/A</v>
      </c>
      <c r="AR19" t="e">
        <v>#N/A</v>
      </c>
      <c r="AS19" t="e">
        <v>#N/A</v>
      </c>
      <c r="AT19" t="e">
        <v>#N/A</v>
      </c>
      <c r="AU19" t="e">
        <v>#N/A</v>
      </c>
      <c r="AV19" t="e">
        <v>#N/A</v>
      </c>
      <c r="AW19" t="e">
        <v>#N/A</v>
      </c>
      <c r="AX19" t="e">
        <v>#N/A</v>
      </c>
      <c r="AY19" t="e">
        <v>#N/A</v>
      </c>
    </row>
    <row r="20" spans="1:51">
      <c r="A20" t="s">
        <v>291</v>
      </c>
      <c r="T20">
        <f t="shared" si="0"/>
        <v>0</v>
      </c>
      <c r="U20" s="102" t="s">
        <v>204</v>
      </c>
      <c r="V20">
        <v>278</v>
      </c>
      <c r="AB20">
        <v>0</v>
      </c>
      <c r="AC20">
        <v>0</v>
      </c>
      <c r="AD20">
        <v>0</v>
      </c>
      <c r="AE20">
        <v>0</v>
      </c>
      <c r="AF20" t="e">
        <v>#N/A</v>
      </c>
      <c r="AG20" t="e">
        <v>#N/A</v>
      </c>
      <c r="AH20" t="e">
        <v>#N/A</v>
      </c>
      <c r="AI20" t="e">
        <v>#N/A</v>
      </c>
      <c r="AJ20" t="e">
        <v>#N/A</v>
      </c>
      <c r="AK20" t="e">
        <v>#N/A</v>
      </c>
      <c r="AL20" t="e">
        <v>#N/A</v>
      </c>
      <c r="AM20" t="e">
        <v>#N/A</v>
      </c>
      <c r="AN20" t="e">
        <v>#N/A</v>
      </c>
      <c r="AO20" t="e">
        <v>#N/A</v>
      </c>
      <c r="AP20" t="e">
        <v>#N/A</v>
      </c>
      <c r="AQ20" t="e">
        <v>#N/A</v>
      </c>
      <c r="AR20" t="e">
        <v>#N/A</v>
      </c>
      <c r="AS20" t="e">
        <v>#N/A</v>
      </c>
      <c r="AT20" t="e">
        <v>#N/A</v>
      </c>
      <c r="AU20" t="e">
        <v>#N/A</v>
      </c>
      <c r="AV20" t="e">
        <v>#N/A</v>
      </c>
      <c r="AW20" t="e">
        <v>#N/A</v>
      </c>
      <c r="AX20" t="e">
        <v>#N/A</v>
      </c>
      <c r="AY20" t="e">
        <v>#N/A</v>
      </c>
    </row>
    <row r="21" spans="1:51">
      <c r="A21" t="s">
        <v>292</v>
      </c>
      <c r="T21">
        <f t="shared" si="0"/>
        <v>0</v>
      </c>
      <c r="U21" s="102" t="s">
        <v>205</v>
      </c>
      <c r="V21">
        <v>1109</v>
      </c>
      <c r="AB21">
        <v>0</v>
      </c>
      <c r="AC21">
        <v>0</v>
      </c>
      <c r="AD21">
        <v>0</v>
      </c>
      <c r="AE21">
        <v>0</v>
      </c>
      <c r="AF21" t="e">
        <v>#N/A</v>
      </c>
      <c r="AG21" t="e">
        <v>#N/A</v>
      </c>
      <c r="AH21" t="e">
        <v>#N/A</v>
      </c>
      <c r="AI21" t="e">
        <v>#N/A</v>
      </c>
      <c r="AJ21" t="e">
        <v>#N/A</v>
      </c>
      <c r="AK21" t="e">
        <v>#N/A</v>
      </c>
      <c r="AL21" t="e">
        <v>#N/A</v>
      </c>
      <c r="AM21" t="e">
        <v>#N/A</v>
      </c>
      <c r="AN21" t="e">
        <v>#N/A</v>
      </c>
      <c r="AO21" t="e">
        <v>#N/A</v>
      </c>
      <c r="AP21" t="e">
        <v>#N/A</v>
      </c>
      <c r="AQ21" t="e">
        <v>#N/A</v>
      </c>
      <c r="AR21" t="e">
        <v>#N/A</v>
      </c>
      <c r="AS21" t="e">
        <v>#N/A</v>
      </c>
      <c r="AT21" t="e">
        <v>#N/A</v>
      </c>
      <c r="AU21" t="e">
        <v>#N/A</v>
      </c>
      <c r="AV21" t="e">
        <v>#N/A</v>
      </c>
      <c r="AW21" t="e">
        <v>#N/A</v>
      </c>
      <c r="AX21" t="e">
        <v>#N/A</v>
      </c>
      <c r="AY21" t="e">
        <v>#N/A</v>
      </c>
    </row>
    <row r="22" spans="1:51">
      <c r="A22" t="s">
        <v>293</v>
      </c>
      <c r="T22">
        <f t="shared" si="0"/>
        <v>0</v>
      </c>
      <c r="U22" s="102" t="s">
        <v>207</v>
      </c>
      <c r="V22">
        <v>4197</v>
      </c>
      <c r="AB22">
        <v>0</v>
      </c>
      <c r="AC22">
        <v>0</v>
      </c>
      <c r="AD22">
        <v>0</v>
      </c>
      <c r="AE22">
        <v>0</v>
      </c>
      <c r="AF22" t="e">
        <v>#N/A</v>
      </c>
      <c r="AG22" t="e">
        <v>#N/A</v>
      </c>
      <c r="AH22" t="e">
        <v>#N/A</v>
      </c>
      <c r="AI22" t="e">
        <v>#N/A</v>
      </c>
      <c r="AJ22" t="e">
        <v>#N/A</v>
      </c>
      <c r="AK22" t="e">
        <v>#N/A</v>
      </c>
      <c r="AL22" t="e">
        <v>#N/A</v>
      </c>
      <c r="AM22" t="e">
        <v>#N/A</v>
      </c>
      <c r="AN22" t="e">
        <v>#N/A</v>
      </c>
      <c r="AO22" t="e">
        <v>#N/A</v>
      </c>
      <c r="AP22" t="e">
        <v>#N/A</v>
      </c>
      <c r="AQ22" t="e">
        <v>#N/A</v>
      </c>
      <c r="AR22" t="e">
        <v>#N/A</v>
      </c>
      <c r="AS22" t="e">
        <v>#N/A</v>
      </c>
      <c r="AT22" t="e">
        <v>#N/A</v>
      </c>
      <c r="AU22" t="e">
        <v>#N/A</v>
      </c>
      <c r="AV22" t="e">
        <v>#N/A</v>
      </c>
      <c r="AW22" t="e">
        <v>#N/A</v>
      </c>
      <c r="AX22" t="e">
        <v>#N/A</v>
      </c>
      <c r="AY22" t="e">
        <v>#N/A</v>
      </c>
    </row>
    <row r="23" spans="1:51">
      <c r="A23" t="s">
        <v>194</v>
      </c>
      <c r="B23">
        <v>285</v>
      </c>
      <c r="C23">
        <v>285</v>
      </c>
      <c r="D23">
        <v>2.5</v>
      </c>
      <c r="E23">
        <v>27321</v>
      </c>
      <c r="F23">
        <v>0</v>
      </c>
      <c r="G23">
        <v>60</v>
      </c>
      <c r="H23">
        <v>20</v>
      </c>
      <c r="I23">
        <v>30</v>
      </c>
      <c r="J23">
        <v>16.7</v>
      </c>
      <c r="K23">
        <v>0</v>
      </c>
      <c r="L23">
        <v>33.299999999999997</v>
      </c>
      <c r="M23">
        <v>26.7</v>
      </c>
      <c r="N23">
        <v>0</v>
      </c>
      <c r="T23" t="str">
        <f t="shared" si="0"/>
        <v>Barren Lands First Nation</v>
      </c>
      <c r="U23" s="102" t="s">
        <v>208</v>
      </c>
      <c r="V23">
        <v>179</v>
      </c>
      <c r="W23">
        <v>16146</v>
      </c>
      <c r="X23">
        <v>15673</v>
      </c>
      <c r="Y23">
        <v>16847</v>
      </c>
      <c r="Z23">
        <v>8336</v>
      </c>
      <c r="AA23">
        <v>9056</v>
      </c>
      <c r="AB23">
        <v>130</v>
      </c>
      <c r="AC23">
        <v>130</v>
      </c>
      <c r="AD23">
        <v>30</v>
      </c>
      <c r="AE23">
        <v>0</v>
      </c>
      <c r="AF23">
        <v>0</v>
      </c>
      <c r="AG23">
        <v>0</v>
      </c>
      <c r="AH23">
        <v>0</v>
      </c>
      <c r="AI23">
        <v>0</v>
      </c>
      <c r="AJ23">
        <v>0</v>
      </c>
      <c r="AK23">
        <v>0</v>
      </c>
      <c r="AL23">
        <v>0</v>
      </c>
      <c r="AM23">
        <v>0</v>
      </c>
      <c r="AN23">
        <v>0</v>
      </c>
      <c r="AO23">
        <v>0</v>
      </c>
      <c r="AP23">
        <v>0</v>
      </c>
      <c r="AQ23">
        <v>0</v>
      </c>
      <c r="AR23">
        <v>0</v>
      </c>
      <c r="AS23">
        <v>0</v>
      </c>
      <c r="AT23">
        <v>0</v>
      </c>
      <c r="AU23">
        <v>3.1301697634006151</v>
      </c>
      <c r="AV23">
        <v>0</v>
      </c>
      <c r="AW23">
        <v>0</v>
      </c>
      <c r="AX23">
        <v>0</v>
      </c>
      <c r="AY23">
        <v>6.2603395268012303</v>
      </c>
    </row>
    <row r="24" spans="1:51">
      <c r="A24" t="s">
        <v>195</v>
      </c>
      <c r="B24">
        <v>127</v>
      </c>
      <c r="T24">
        <f t="shared" si="0"/>
        <v>0</v>
      </c>
      <c r="U24" s="102" t="s">
        <v>209</v>
      </c>
      <c r="V24">
        <v>122</v>
      </c>
      <c r="AB24">
        <v>0</v>
      </c>
      <c r="AC24">
        <v>0</v>
      </c>
      <c r="AD24">
        <v>0</v>
      </c>
      <c r="AE24">
        <v>0</v>
      </c>
      <c r="AF24" t="e">
        <v>#N/A</v>
      </c>
      <c r="AG24" t="e">
        <v>#N/A</v>
      </c>
      <c r="AH24" t="e">
        <v>#N/A</v>
      </c>
      <c r="AI24" t="e">
        <v>#N/A</v>
      </c>
      <c r="AJ24" t="e">
        <v>#N/A</v>
      </c>
      <c r="AK24" t="e">
        <v>#N/A</v>
      </c>
      <c r="AL24" t="e">
        <v>#N/A</v>
      </c>
      <c r="AM24" t="e">
        <v>#N/A</v>
      </c>
      <c r="AN24" t="e">
        <v>#N/A</v>
      </c>
      <c r="AO24" t="e">
        <v>#N/A</v>
      </c>
      <c r="AP24" t="e">
        <v>#N/A</v>
      </c>
      <c r="AQ24" t="e">
        <v>#N/A</v>
      </c>
      <c r="AR24" t="e">
        <v>#N/A</v>
      </c>
      <c r="AS24" t="e">
        <v>#N/A</v>
      </c>
      <c r="AT24" t="e">
        <v>#N/A</v>
      </c>
      <c r="AU24" t="e">
        <v>#N/A</v>
      </c>
      <c r="AV24" t="e">
        <v>#N/A</v>
      </c>
      <c r="AW24" t="e">
        <v>#N/A</v>
      </c>
      <c r="AX24" t="e">
        <v>#N/A</v>
      </c>
      <c r="AY24" t="e">
        <v>#N/A</v>
      </c>
    </row>
    <row r="25" spans="1:51">
      <c r="A25" t="s">
        <v>294</v>
      </c>
      <c r="B25">
        <v>2700</v>
      </c>
      <c r="C25">
        <v>2695</v>
      </c>
      <c r="D25">
        <v>0.9</v>
      </c>
      <c r="E25">
        <v>49472</v>
      </c>
      <c r="F25">
        <v>7.6</v>
      </c>
      <c r="G25">
        <v>1240</v>
      </c>
      <c r="H25">
        <v>350</v>
      </c>
      <c r="I25">
        <v>135</v>
      </c>
      <c r="J25">
        <v>71</v>
      </c>
      <c r="K25">
        <v>28.6</v>
      </c>
      <c r="L25">
        <v>56.8</v>
      </c>
      <c r="M25">
        <v>54.1</v>
      </c>
      <c r="N25">
        <v>4.8</v>
      </c>
      <c r="T25">
        <f t="shared" si="0"/>
        <v>0</v>
      </c>
      <c r="U25" s="102" t="s">
        <v>212</v>
      </c>
      <c r="V25">
        <v>153</v>
      </c>
      <c r="W25">
        <v>23102</v>
      </c>
      <c r="X25">
        <v>28140</v>
      </c>
      <c r="Y25">
        <v>18025</v>
      </c>
      <c r="Z25">
        <v>25634</v>
      </c>
      <c r="AA25">
        <v>13122</v>
      </c>
      <c r="AB25">
        <v>480</v>
      </c>
      <c r="AC25">
        <v>1510</v>
      </c>
      <c r="AD25">
        <v>630</v>
      </c>
      <c r="AE25">
        <v>690</v>
      </c>
      <c r="AF25">
        <v>0.49883183480487886</v>
      </c>
      <c r="AG25">
        <v>0.12470795870121971</v>
      </c>
      <c r="AH25">
        <v>0.31176989675304928</v>
      </c>
      <c r="AI25">
        <v>1.6835574424664663</v>
      </c>
      <c r="AJ25">
        <v>1.1223716283109777</v>
      </c>
      <c r="AK25">
        <v>0</v>
      </c>
      <c r="AL25">
        <v>2.0576813185701255</v>
      </c>
      <c r="AM25">
        <v>0.74824775220731832</v>
      </c>
      <c r="AN25">
        <v>0.12470795870121971</v>
      </c>
      <c r="AO25">
        <v>0.62353979350609856</v>
      </c>
      <c r="AP25">
        <v>0.18706193805182958</v>
      </c>
      <c r="AQ25">
        <v>0.93530969025914801</v>
      </c>
      <c r="AR25">
        <v>0</v>
      </c>
      <c r="AS25">
        <v>0.43647785545426904</v>
      </c>
      <c r="AT25">
        <v>0.93530969025914801</v>
      </c>
      <c r="AU25">
        <v>2.5565131533750041</v>
      </c>
      <c r="AV25">
        <v>0.18706193805182958</v>
      </c>
      <c r="AW25">
        <v>0.62353979350609856</v>
      </c>
      <c r="AX25">
        <v>0.99766366960975772</v>
      </c>
      <c r="AY25">
        <v>1.3094335663628069</v>
      </c>
    </row>
    <row r="26" spans="1:51">
      <c r="A26" t="s">
        <v>295</v>
      </c>
      <c r="B26">
        <v>395</v>
      </c>
      <c r="C26">
        <v>390</v>
      </c>
      <c r="D26">
        <v>0.9</v>
      </c>
      <c r="E26">
        <v>35818</v>
      </c>
      <c r="F26">
        <v>0</v>
      </c>
      <c r="G26">
        <v>195</v>
      </c>
      <c r="H26">
        <v>65</v>
      </c>
      <c r="I26">
        <v>30</v>
      </c>
      <c r="J26">
        <v>79.5</v>
      </c>
      <c r="K26">
        <v>23.1</v>
      </c>
      <c r="L26">
        <v>40</v>
      </c>
      <c r="M26">
        <v>36.9</v>
      </c>
      <c r="N26">
        <v>7.7</v>
      </c>
      <c r="T26">
        <f t="shared" si="0"/>
        <v>0</v>
      </c>
      <c r="U26" s="102" t="s">
        <v>214</v>
      </c>
      <c r="V26">
        <v>1075</v>
      </c>
      <c r="W26">
        <v>18790</v>
      </c>
      <c r="X26">
        <v>20425</v>
      </c>
      <c r="Y26">
        <v>15906</v>
      </c>
      <c r="Z26">
        <v>16398</v>
      </c>
      <c r="AA26">
        <v>9882</v>
      </c>
      <c r="AB26">
        <v>75</v>
      </c>
      <c r="AC26">
        <v>175</v>
      </c>
      <c r="AD26">
        <v>100</v>
      </c>
      <c r="AE26">
        <v>150</v>
      </c>
      <c r="AF26">
        <v>3.0097786186544377</v>
      </c>
      <c r="AG26">
        <v>0</v>
      </c>
      <c r="AH26">
        <v>0</v>
      </c>
      <c r="AI26">
        <v>2.4078228949235503</v>
      </c>
      <c r="AJ26">
        <v>3.0097786186544377</v>
      </c>
      <c r="AK26">
        <v>0</v>
      </c>
      <c r="AL26">
        <v>1.2039114474617751</v>
      </c>
      <c r="AM26">
        <v>0</v>
      </c>
      <c r="AN26">
        <v>0</v>
      </c>
      <c r="AO26">
        <v>0</v>
      </c>
      <c r="AP26">
        <v>0</v>
      </c>
      <c r="AQ26">
        <v>0</v>
      </c>
      <c r="AR26">
        <v>0</v>
      </c>
      <c r="AS26">
        <v>0</v>
      </c>
      <c r="AT26">
        <v>0</v>
      </c>
      <c r="AU26">
        <v>1.2039114474617751</v>
      </c>
      <c r="AV26">
        <v>0</v>
      </c>
      <c r="AW26">
        <v>1.2039114474617751</v>
      </c>
      <c r="AX26">
        <v>3.0097786186544377</v>
      </c>
      <c r="AY26">
        <v>1.2039114474617751</v>
      </c>
    </row>
    <row r="27" spans="1:51">
      <c r="A27" t="s">
        <v>196</v>
      </c>
      <c r="B27">
        <v>42</v>
      </c>
      <c r="T27">
        <f t="shared" si="0"/>
        <v>0</v>
      </c>
      <c r="U27" s="102" t="s">
        <v>216</v>
      </c>
      <c r="V27">
        <v>1641</v>
      </c>
      <c r="AB27">
        <v>0</v>
      </c>
      <c r="AC27">
        <v>0</v>
      </c>
      <c r="AD27">
        <v>0</v>
      </c>
      <c r="AE27">
        <v>0</v>
      </c>
      <c r="AF27" t="e">
        <v>#N/A</v>
      </c>
      <c r="AG27" t="e">
        <v>#N/A</v>
      </c>
      <c r="AH27" t="e">
        <v>#N/A</v>
      </c>
      <c r="AI27" t="e">
        <v>#N/A</v>
      </c>
      <c r="AJ27" t="e">
        <v>#N/A</v>
      </c>
      <c r="AK27" t="e">
        <v>#N/A</v>
      </c>
      <c r="AL27" t="e">
        <v>#N/A</v>
      </c>
      <c r="AM27" t="e">
        <v>#N/A</v>
      </c>
      <c r="AN27" t="e">
        <v>#N/A</v>
      </c>
      <c r="AO27" t="e">
        <v>#N/A</v>
      </c>
      <c r="AP27" t="e">
        <v>#N/A</v>
      </c>
      <c r="AQ27" t="e">
        <v>#N/A</v>
      </c>
      <c r="AR27" t="e">
        <v>#N/A</v>
      </c>
      <c r="AS27" t="e">
        <v>#N/A</v>
      </c>
      <c r="AT27" t="e">
        <v>#N/A</v>
      </c>
      <c r="AU27" t="e">
        <v>#N/A</v>
      </c>
      <c r="AV27" t="e">
        <v>#N/A</v>
      </c>
      <c r="AW27" t="e">
        <v>#N/A</v>
      </c>
      <c r="AX27" t="e">
        <v>#N/A</v>
      </c>
      <c r="AY27" t="e">
        <v>#N/A</v>
      </c>
    </row>
    <row r="28" spans="1:51">
      <c r="A28" t="s">
        <v>197</v>
      </c>
      <c r="B28">
        <v>625</v>
      </c>
      <c r="C28">
        <v>625</v>
      </c>
      <c r="D28">
        <v>2.7</v>
      </c>
      <c r="E28">
        <v>22257</v>
      </c>
      <c r="F28">
        <v>0</v>
      </c>
      <c r="G28">
        <v>125</v>
      </c>
      <c r="H28">
        <v>40</v>
      </c>
      <c r="I28">
        <v>65</v>
      </c>
      <c r="J28">
        <v>56</v>
      </c>
      <c r="K28">
        <v>12</v>
      </c>
      <c r="L28">
        <v>39.700000000000003</v>
      </c>
      <c r="M28">
        <v>25</v>
      </c>
      <c r="N28">
        <v>37</v>
      </c>
      <c r="T28" t="str">
        <f t="shared" si="0"/>
        <v>Berens River First Nation</v>
      </c>
      <c r="U28" s="102" t="s">
        <v>217</v>
      </c>
      <c r="V28">
        <v>262</v>
      </c>
      <c r="W28">
        <v>11838</v>
      </c>
      <c r="X28">
        <v>12759</v>
      </c>
      <c r="Y28">
        <v>10615</v>
      </c>
      <c r="Z28">
        <v>6416</v>
      </c>
      <c r="AA28">
        <v>8288</v>
      </c>
      <c r="AB28">
        <v>280</v>
      </c>
      <c r="AC28">
        <v>300</v>
      </c>
      <c r="AD28">
        <v>40</v>
      </c>
      <c r="AE28">
        <v>30</v>
      </c>
      <c r="AF28">
        <v>1.1179177726430767</v>
      </c>
      <c r="AG28">
        <v>0</v>
      </c>
      <c r="AH28">
        <v>1.1179177726430767</v>
      </c>
      <c r="AI28">
        <v>0</v>
      </c>
      <c r="AJ28">
        <v>1.1179177726430767</v>
      </c>
      <c r="AK28">
        <v>0</v>
      </c>
      <c r="AL28">
        <v>1.1179177726430767</v>
      </c>
      <c r="AM28">
        <v>0</v>
      </c>
      <c r="AN28">
        <v>0</v>
      </c>
      <c r="AO28">
        <v>0</v>
      </c>
      <c r="AP28">
        <v>0</v>
      </c>
      <c r="AQ28">
        <v>0</v>
      </c>
      <c r="AR28">
        <v>0</v>
      </c>
      <c r="AS28">
        <v>1.6768766589646151</v>
      </c>
      <c r="AT28">
        <v>2.2358355452861534</v>
      </c>
      <c r="AU28">
        <v>2.2358355452861534</v>
      </c>
      <c r="AV28">
        <v>0</v>
      </c>
      <c r="AW28">
        <v>1.1179177726430767</v>
      </c>
      <c r="AX28">
        <v>0</v>
      </c>
      <c r="AY28">
        <v>1.1179177726430767</v>
      </c>
    </row>
    <row r="29" spans="1:51">
      <c r="A29" t="s">
        <v>692</v>
      </c>
      <c r="B29">
        <v>2960</v>
      </c>
      <c r="C29">
        <v>2960</v>
      </c>
      <c r="D29">
        <v>1.4</v>
      </c>
      <c r="E29">
        <v>47550</v>
      </c>
      <c r="F29">
        <v>13.1</v>
      </c>
      <c r="G29">
        <v>975</v>
      </c>
      <c r="H29">
        <v>310</v>
      </c>
      <c r="I29">
        <v>130</v>
      </c>
      <c r="J29">
        <v>93.8</v>
      </c>
      <c r="K29">
        <v>5.6</v>
      </c>
      <c r="L29">
        <v>70.099999999999994</v>
      </c>
      <c r="M29">
        <v>67.8</v>
      </c>
      <c r="N29">
        <v>3.2</v>
      </c>
      <c r="T29">
        <f t="shared" si="0"/>
        <v>0</v>
      </c>
      <c r="U29" s="102" t="s">
        <v>756</v>
      </c>
      <c r="V29">
        <v>52</v>
      </c>
      <c r="W29">
        <v>18924</v>
      </c>
      <c r="X29">
        <v>21028</v>
      </c>
      <c r="Y29">
        <v>15842</v>
      </c>
      <c r="Z29">
        <v>22558</v>
      </c>
      <c r="AA29">
        <v>13346</v>
      </c>
      <c r="AB29">
        <v>750</v>
      </c>
      <c r="AC29">
        <v>1820</v>
      </c>
      <c r="AD29">
        <v>705</v>
      </c>
      <c r="AE29">
        <v>360</v>
      </c>
      <c r="AF29">
        <v>5.6040136086688435</v>
      </c>
      <c r="AG29">
        <v>0</v>
      </c>
      <c r="AH29">
        <v>0</v>
      </c>
      <c r="AI29">
        <v>1.161192009003454</v>
      </c>
      <c r="AJ29">
        <v>1.7165447089616277</v>
      </c>
      <c r="AK29">
        <v>0.60583930904528038</v>
      </c>
      <c r="AL29">
        <v>1.1107053999163472</v>
      </c>
      <c r="AM29">
        <v>0.40389287269685353</v>
      </c>
      <c r="AN29">
        <v>0</v>
      </c>
      <c r="AO29">
        <v>0.35340626360974686</v>
      </c>
      <c r="AP29">
        <v>0.10097321817421338</v>
      </c>
      <c r="AQ29">
        <v>0.30291965452264019</v>
      </c>
      <c r="AR29">
        <v>0</v>
      </c>
      <c r="AS29">
        <v>0.25243304543553347</v>
      </c>
      <c r="AT29">
        <v>1.0602187908292406</v>
      </c>
      <c r="AU29">
        <v>1.4641116635260942</v>
      </c>
      <c r="AV29">
        <v>0.35340626360974686</v>
      </c>
      <c r="AW29">
        <v>0.40389287269685353</v>
      </c>
      <c r="AX29">
        <v>0.40389287269685353</v>
      </c>
      <c r="AY29">
        <v>0.20194643634842677</v>
      </c>
    </row>
    <row r="30" spans="1:51">
      <c r="A30" t="s">
        <v>296</v>
      </c>
      <c r="B30">
        <v>445</v>
      </c>
      <c r="C30">
        <v>445</v>
      </c>
      <c r="D30">
        <v>0.9</v>
      </c>
      <c r="E30">
        <v>53797</v>
      </c>
      <c r="F30">
        <v>0</v>
      </c>
      <c r="G30">
        <v>200</v>
      </c>
      <c r="H30">
        <v>70</v>
      </c>
      <c r="I30">
        <v>25</v>
      </c>
      <c r="J30">
        <v>90</v>
      </c>
      <c r="K30">
        <v>12.5</v>
      </c>
      <c r="L30">
        <v>50</v>
      </c>
      <c r="M30">
        <v>44.4</v>
      </c>
      <c r="N30">
        <v>11.1</v>
      </c>
      <c r="T30">
        <f t="shared" si="0"/>
        <v>0</v>
      </c>
      <c r="U30" s="102" t="s">
        <v>219</v>
      </c>
      <c r="V30">
        <v>3055</v>
      </c>
      <c r="W30">
        <v>23312</v>
      </c>
      <c r="X30">
        <v>33373</v>
      </c>
      <c r="Y30">
        <v>12737</v>
      </c>
      <c r="Z30">
        <v>33564</v>
      </c>
      <c r="AA30">
        <v>13946</v>
      </c>
      <c r="AB30">
        <v>75</v>
      </c>
      <c r="AC30">
        <v>220</v>
      </c>
      <c r="AD30">
        <v>125</v>
      </c>
      <c r="AE30">
        <v>150</v>
      </c>
      <c r="AF30">
        <v>0</v>
      </c>
      <c r="AG30">
        <v>1.7389832018892304</v>
      </c>
      <c r="AH30">
        <v>0</v>
      </c>
      <c r="AI30">
        <v>1.3042374014169229</v>
      </c>
      <c r="AJ30">
        <v>0.86949160094461519</v>
      </c>
      <c r="AK30">
        <v>3.0432206033061537</v>
      </c>
      <c r="AL30">
        <v>0.86949160094461519</v>
      </c>
      <c r="AM30">
        <v>0.86949160094461519</v>
      </c>
      <c r="AN30">
        <v>0</v>
      </c>
      <c r="AO30">
        <v>0</v>
      </c>
      <c r="AP30">
        <v>0</v>
      </c>
      <c r="AQ30">
        <v>0</v>
      </c>
      <c r="AR30">
        <v>0</v>
      </c>
      <c r="AS30">
        <v>0</v>
      </c>
      <c r="AT30">
        <v>0.86949160094461519</v>
      </c>
      <c r="AU30">
        <v>1.7389832018892304</v>
      </c>
      <c r="AV30">
        <v>0</v>
      </c>
      <c r="AW30">
        <v>3.9127122042507687</v>
      </c>
      <c r="AX30">
        <v>0</v>
      </c>
      <c r="AY30">
        <v>0</v>
      </c>
    </row>
    <row r="31" spans="1:51">
      <c r="A31" t="s">
        <v>297</v>
      </c>
      <c r="T31">
        <f t="shared" si="0"/>
        <v>0</v>
      </c>
      <c r="U31" s="102" t="s">
        <v>492</v>
      </c>
      <c r="V31">
        <v>1322</v>
      </c>
      <c r="AB31">
        <v>0</v>
      </c>
      <c r="AC31">
        <v>0</v>
      </c>
      <c r="AD31">
        <v>0</v>
      </c>
      <c r="AE31">
        <v>0</v>
      </c>
      <c r="AF31" t="e">
        <v>#N/A</v>
      </c>
      <c r="AG31" t="e">
        <v>#N/A</v>
      </c>
      <c r="AH31" t="e">
        <v>#N/A</v>
      </c>
      <c r="AI31" t="e">
        <v>#N/A</v>
      </c>
      <c r="AJ31" t="e">
        <v>#N/A</v>
      </c>
      <c r="AK31" t="e">
        <v>#N/A</v>
      </c>
      <c r="AL31" t="e">
        <v>#N/A</v>
      </c>
      <c r="AM31" t="e">
        <v>#N/A</v>
      </c>
      <c r="AN31" t="e">
        <v>#N/A</v>
      </c>
      <c r="AO31" t="e">
        <v>#N/A</v>
      </c>
      <c r="AP31" t="e">
        <v>#N/A</v>
      </c>
      <c r="AQ31" t="e">
        <v>#N/A</v>
      </c>
      <c r="AR31" t="e">
        <v>#N/A</v>
      </c>
      <c r="AS31" t="e">
        <v>#N/A</v>
      </c>
      <c r="AT31" t="e">
        <v>#N/A</v>
      </c>
      <c r="AU31" t="e">
        <v>#N/A</v>
      </c>
      <c r="AV31" t="e">
        <v>#N/A</v>
      </c>
      <c r="AW31" t="e">
        <v>#N/A</v>
      </c>
      <c r="AX31" t="e">
        <v>#N/A</v>
      </c>
      <c r="AY31" t="e">
        <v>#N/A</v>
      </c>
    </row>
    <row r="32" spans="1:51">
      <c r="A32" t="s">
        <v>491</v>
      </c>
      <c r="T32">
        <f t="shared" si="0"/>
        <v>0</v>
      </c>
      <c r="U32" s="102" t="s">
        <v>223</v>
      </c>
      <c r="V32">
        <v>690</v>
      </c>
      <c r="AB32">
        <v>0</v>
      </c>
      <c r="AC32">
        <v>0</v>
      </c>
      <c r="AD32">
        <v>0</v>
      </c>
      <c r="AE32">
        <v>0</v>
      </c>
      <c r="AF32" t="e">
        <v>#N/A</v>
      </c>
      <c r="AG32" t="e">
        <v>#N/A</v>
      </c>
      <c r="AH32" t="e">
        <v>#N/A</v>
      </c>
      <c r="AI32" t="e">
        <v>#N/A</v>
      </c>
      <c r="AJ32" t="e">
        <v>#N/A</v>
      </c>
      <c r="AK32" t="e">
        <v>#N/A</v>
      </c>
      <c r="AL32" t="e">
        <v>#N/A</v>
      </c>
      <c r="AM32" t="e">
        <v>#N/A</v>
      </c>
      <c r="AN32" t="e">
        <v>#N/A</v>
      </c>
      <c r="AO32" t="e">
        <v>#N/A</v>
      </c>
      <c r="AP32" t="e">
        <v>#N/A</v>
      </c>
      <c r="AQ32" t="e">
        <v>#N/A</v>
      </c>
      <c r="AR32" t="e">
        <v>#N/A</v>
      </c>
      <c r="AS32" t="e">
        <v>#N/A</v>
      </c>
      <c r="AT32" t="e">
        <v>#N/A</v>
      </c>
      <c r="AU32" t="e">
        <v>#N/A</v>
      </c>
      <c r="AV32" t="e">
        <v>#N/A</v>
      </c>
      <c r="AW32" t="e">
        <v>#N/A</v>
      </c>
      <c r="AX32" t="e">
        <v>#N/A</v>
      </c>
      <c r="AY32" t="e">
        <v>#N/A</v>
      </c>
    </row>
    <row r="33" spans="1:51">
      <c r="A33" t="s">
        <v>298</v>
      </c>
      <c r="T33">
        <f t="shared" si="0"/>
        <v>0</v>
      </c>
      <c r="U33" s="102" t="s">
        <v>225</v>
      </c>
      <c r="V33">
        <v>662</v>
      </c>
      <c r="AB33">
        <v>0</v>
      </c>
      <c r="AC33">
        <v>0</v>
      </c>
      <c r="AD33">
        <v>0</v>
      </c>
      <c r="AE33">
        <v>0</v>
      </c>
      <c r="AF33" t="e">
        <v>#N/A</v>
      </c>
      <c r="AG33" t="e">
        <v>#N/A</v>
      </c>
      <c r="AH33" t="e">
        <v>#N/A</v>
      </c>
      <c r="AI33" t="e">
        <v>#N/A</v>
      </c>
      <c r="AJ33" t="e">
        <v>#N/A</v>
      </c>
      <c r="AK33" t="e">
        <v>#N/A</v>
      </c>
      <c r="AL33" t="e">
        <v>#N/A</v>
      </c>
      <c r="AM33" t="e">
        <v>#N/A</v>
      </c>
      <c r="AN33" t="e">
        <v>#N/A</v>
      </c>
      <c r="AO33" t="e">
        <v>#N/A</v>
      </c>
      <c r="AP33" t="e">
        <v>#N/A</v>
      </c>
      <c r="AQ33" t="e">
        <v>#N/A</v>
      </c>
      <c r="AR33" t="e">
        <v>#N/A</v>
      </c>
      <c r="AS33" t="e">
        <v>#N/A</v>
      </c>
      <c r="AT33" t="e">
        <v>#N/A</v>
      </c>
      <c r="AU33" t="e">
        <v>#N/A</v>
      </c>
      <c r="AV33" t="e">
        <v>#N/A</v>
      </c>
      <c r="AW33" t="e">
        <v>#N/A</v>
      </c>
      <c r="AX33" t="e">
        <v>#N/A</v>
      </c>
      <c r="AY33" t="e">
        <v>#N/A</v>
      </c>
    </row>
    <row r="34" spans="1:51">
      <c r="A34" t="s">
        <v>198</v>
      </c>
      <c r="B34">
        <v>320</v>
      </c>
      <c r="C34">
        <v>320</v>
      </c>
      <c r="D34">
        <v>1.9</v>
      </c>
      <c r="E34">
        <v>22917</v>
      </c>
      <c r="F34">
        <v>0</v>
      </c>
      <c r="G34">
        <v>85</v>
      </c>
      <c r="H34">
        <v>45</v>
      </c>
      <c r="I34">
        <v>25</v>
      </c>
      <c r="J34">
        <v>0</v>
      </c>
      <c r="K34">
        <v>0</v>
      </c>
      <c r="L34">
        <v>52.5</v>
      </c>
      <c r="M34">
        <v>30</v>
      </c>
      <c r="N34">
        <v>42.9</v>
      </c>
      <c r="T34" t="str">
        <f t="shared" si="0"/>
        <v>Birdtail Sioux First Nation</v>
      </c>
      <c r="U34" s="102" t="s">
        <v>226</v>
      </c>
      <c r="V34">
        <v>284</v>
      </c>
      <c r="W34">
        <v>11438</v>
      </c>
      <c r="X34">
        <v>11210</v>
      </c>
      <c r="Y34">
        <v>11851</v>
      </c>
      <c r="Z34">
        <v>6128</v>
      </c>
      <c r="AA34">
        <v>9632</v>
      </c>
      <c r="AB34">
        <v>125</v>
      </c>
      <c r="AC34">
        <v>185</v>
      </c>
      <c r="AD34">
        <v>30</v>
      </c>
      <c r="AE34">
        <v>10</v>
      </c>
      <c r="AF34">
        <v>1.5650848817003076</v>
      </c>
      <c r="AG34">
        <v>0</v>
      </c>
      <c r="AH34">
        <v>0</v>
      </c>
      <c r="AI34">
        <v>2.3476273225504611</v>
      </c>
      <c r="AJ34">
        <v>0</v>
      </c>
      <c r="AK34">
        <v>0</v>
      </c>
      <c r="AL34">
        <v>0</v>
      </c>
      <c r="AM34">
        <v>1.5650848817003076</v>
      </c>
      <c r="AN34">
        <v>0</v>
      </c>
      <c r="AO34">
        <v>0</v>
      </c>
      <c r="AP34">
        <v>0</v>
      </c>
      <c r="AQ34">
        <v>0</v>
      </c>
      <c r="AR34">
        <v>0</v>
      </c>
      <c r="AS34">
        <v>0</v>
      </c>
      <c r="AT34">
        <v>1.5650848817003076</v>
      </c>
      <c r="AU34">
        <v>1.5650848817003076</v>
      </c>
      <c r="AV34">
        <v>0</v>
      </c>
      <c r="AW34">
        <v>0</v>
      </c>
      <c r="AX34">
        <v>0</v>
      </c>
      <c r="AY34">
        <v>3.9127122042507687</v>
      </c>
    </row>
    <row r="35" spans="1:51">
      <c r="A35" t="s">
        <v>774</v>
      </c>
      <c r="B35">
        <v>750</v>
      </c>
      <c r="C35">
        <v>750</v>
      </c>
      <c r="D35">
        <v>1</v>
      </c>
      <c r="E35">
        <v>40154</v>
      </c>
      <c r="F35">
        <v>8.6999999999999993</v>
      </c>
      <c r="G35">
        <v>295</v>
      </c>
      <c r="H35">
        <v>115</v>
      </c>
      <c r="I35">
        <v>35</v>
      </c>
      <c r="J35">
        <v>93.2</v>
      </c>
      <c r="K35">
        <v>8.5</v>
      </c>
      <c r="L35">
        <v>78.900000000000006</v>
      </c>
      <c r="M35">
        <v>79.7</v>
      </c>
      <c r="N35">
        <v>0</v>
      </c>
      <c r="T35">
        <f t="shared" si="0"/>
        <v>0</v>
      </c>
      <c r="U35" s="103" t="s">
        <v>227</v>
      </c>
      <c r="V35">
        <v>1105</v>
      </c>
      <c r="W35">
        <v>15625</v>
      </c>
      <c r="X35">
        <v>15454</v>
      </c>
      <c r="Y35">
        <v>15844</v>
      </c>
      <c r="Z35">
        <v>16268</v>
      </c>
      <c r="AA35">
        <v>16386</v>
      </c>
      <c r="AB35">
        <v>125</v>
      </c>
      <c r="AC35">
        <v>530</v>
      </c>
      <c r="AD35">
        <v>250</v>
      </c>
      <c r="AE35">
        <v>80</v>
      </c>
      <c r="AF35">
        <v>8.3045320253485713</v>
      </c>
      <c r="AG35">
        <v>0</v>
      </c>
      <c r="AH35">
        <v>0</v>
      </c>
      <c r="AI35">
        <v>0.31940507789802192</v>
      </c>
      <c r="AJ35">
        <v>0</v>
      </c>
      <c r="AK35">
        <v>0.79851269474505482</v>
      </c>
      <c r="AL35">
        <v>0.31940507789802192</v>
      </c>
      <c r="AM35">
        <v>1.4373228505410989</v>
      </c>
      <c r="AN35">
        <v>0</v>
      </c>
      <c r="AO35">
        <v>0.4791076168470329</v>
      </c>
      <c r="AP35">
        <v>0</v>
      </c>
      <c r="AQ35">
        <v>0</v>
      </c>
      <c r="AR35">
        <v>0</v>
      </c>
      <c r="AS35">
        <v>0.31940507789802192</v>
      </c>
      <c r="AT35">
        <v>1.1179177726430767</v>
      </c>
      <c r="AU35">
        <v>0.9582152336940658</v>
      </c>
      <c r="AV35">
        <v>0.31940507789802192</v>
      </c>
      <c r="AW35">
        <v>0.31940507789802192</v>
      </c>
      <c r="AX35">
        <v>0</v>
      </c>
      <c r="AY35">
        <v>0.63881015579604383</v>
      </c>
    </row>
    <row r="36" spans="1:51">
      <c r="A36" t="s">
        <v>299</v>
      </c>
      <c r="B36">
        <v>690</v>
      </c>
      <c r="C36">
        <v>690</v>
      </c>
      <c r="D36">
        <v>1</v>
      </c>
      <c r="E36">
        <v>43198</v>
      </c>
      <c r="F36">
        <v>17.600000000000001</v>
      </c>
      <c r="G36">
        <v>320</v>
      </c>
      <c r="H36">
        <v>90</v>
      </c>
      <c r="I36">
        <v>65</v>
      </c>
      <c r="J36">
        <v>70.3</v>
      </c>
      <c r="K36">
        <v>29.7</v>
      </c>
      <c r="L36">
        <v>53.5</v>
      </c>
      <c r="M36">
        <v>50</v>
      </c>
      <c r="N36">
        <v>8.1999999999999993</v>
      </c>
      <c r="T36">
        <f t="shared" si="0"/>
        <v>0</v>
      </c>
      <c r="U36" s="102" t="s">
        <v>228</v>
      </c>
      <c r="V36">
        <v>1240</v>
      </c>
      <c r="W36">
        <v>15721</v>
      </c>
      <c r="X36">
        <v>17908</v>
      </c>
      <c r="Y36">
        <v>12802</v>
      </c>
      <c r="Z36">
        <v>20245</v>
      </c>
      <c r="AA36">
        <v>13456</v>
      </c>
      <c r="AB36">
        <v>125</v>
      </c>
      <c r="AC36">
        <v>375</v>
      </c>
      <c r="AD36">
        <v>155</v>
      </c>
      <c r="AE36">
        <v>180</v>
      </c>
      <c r="AF36">
        <v>2.2718974089198012</v>
      </c>
      <c r="AG36">
        <v>0.50486609087106693</v>
      </c>
      <c r="AH36">
        <v>0</v>
      </c>
      <c r="AI36">
        <v>1.5145982726132008</v>
      </c>
      <c r="AJ36">
        <v>0.50486609087106693</v>
      </c>
      <c r="AK36">
        <v>0.50486609087106693</v>
      </c>
      <c r="AL36">
        <v>3.5340626360974685</v>
      </c>
      <c r="AM36">
        <v>1.0097321817421339</v>
      </c>
      <c r="AN36">
        <v>0</v>
      </c>
      <c r="AO36">
        <v>0.50486609087106693</v>
      </c>
      <c r="AP36">
        <v>0</v>
      </c>
      <c r="AQ36">
        <v>0</v>
      </c>
      <c r="AR36">
        <v>0</v>
      </c>
      <c r="AS36">
        <v>0.7572991363066004</v>
      </c>
      <c r="AT36">
        <v>0.7572991363066004</v>
      </c>
      <c r="AU36">
        <v>1.0097321817421339</v>
      </c>
      <c r="AV36">
        <v>0</v>
      </c>
      <c r="AW36">
        <v>1.5145982726132008</v>
      </c>
      <c r="AX36">
        <v>0.7572991363066004</v>
      </c>
      <c r="AY36">
        <v>0</v>
      </c>
    </row>
    <row r="37" spans="1:51">
      <c r="A37" t="s">
        <v>199</v>
      </c>
      <c r="B37">
        <v>243</v>
      </c>
      <c r="T37">
        <f t="shared" si="0"/>
        <v>0</v>
      </c>
      <c r="U37" s="102" t="s">
        <v>229</v>
      </c>
      <c r="V37">
        <v>915</v>
      </c>
      <c r="AB37">
        <v>0</v>
      </c>
      <c r="AC37">
        <v>0</v>
      </c>
      <c r="AD37">
        <v>0</v>
      </c>
      <c r="AE37">
        <v>0</v>
      </c>
      <c r="AF37" t="e">
        <v>#N/A</v>
      </c>
      <c r="AG37" t="e">
        <v>#N/A</v>
      </c>
      <c r="AH37" t="e">
        <v>#N/A</v>
      </c>
      <c r="AI37" t="e">
        <v>#N/A</v>
      </c>
      <c r="AJ37" t="e">
        <v>#N/A</v>
      </c>
      <c r="AK37" t="e">
        <v>#N/A</v>
      </c>
      <c r="AL37" t="e">
        <v>#N/A</v>
      </c>
      <c r="AM37" t="e">
        <v>#N/A</v>
      </c>
      <c r="AN37" t="e">
        <v>#N/A</v>
      </c>
      <c r="AO37" t="e">
        <v>#N/A</v>
      </c>
      <c r="AP37" t="e">
        <v>#N/A</v>
      </c>
      <c r="AQ37" t="e">
        <v>#N/A</v>
      </c>
      <c r="AR37" t="e">
        <v>#N/A</v>
      </c>
      <c r="AS37" t="e">
        <v>#N/A</v>
      </c>
      <c r="AT37" t="e">
        <v>#N/A</v>
      </c>
      <c r="AU37" t="e">
        <v>#N/A</v>
      </c>
      <c r="AV37" t="e">
        <v>#N/A</v>
      </c>
      <c r="AW37" t="e">
        <v>#N/A</v>
      </c>
      <c r="AX37" t="e">
        <v>#N/A</v>
      </c>
      <c r="AY37" t="e">
        <v>#N/A</v>
      </c>
    </row>
    <row r="38" spans="1:51">
      <c r="A38" t="s">
        <v>544</v>
      </c>
      <c r="B38">
        <v>390</v>
      </c>
      <c r="C38">
        <v>390</v>
      </c>
      <c r="D38">
        <v>2</v>
      </c>
      <c r="E38">
        <v>25228</v>
      </c>
      <c r="F38">
        <v>0</v>
      </c>
      <c r="G38">
        <v>105</v>
      </c>
      <c r="H38">
        <v>40</v>
      </c>
      <c r="I38">
        <v>45</v>
      </c>
      <c r="J38">
        <v>14.3</v>
      </c>
      <c r="K38">
        <v>0</v>
      </c>
      <c r="L38">
        <v>53.3</v>
      </c>
      <c r="M38">
        <v>40</v>
      </c>
      <c r="N38">
        <v>25</v>
      </c>
      <c r="T38" t="str">
        <f t="shared" si="0"/>
        <v>Black River First Nation</v>
      </c>
      <c r="U38" s="102" t="s">
        <v>230</v>
      </c>
      <c r="V38">
        <v>539</v>
      </c>
      <c r="W38">
        <v>14473</v>
      </c>
      <c r="X38">
        <v>14318</v>
      </c>
      <c r="Y38">
        <v>14638</v>
      </c>
      <c r="Z38">
        <v>8736</v>
      </c>
      <c r="AA38">
        <v>10528</v>
      </c>
      <c r="AB38">
        <v>160</v>
      </c>
      <c r="AC38">
        <v>190</v>
      </c>
      <c r="AD38">
        <v>30</v>
      </c>
      <c r="AE38">
        <v>20</v>
      </c>
      <c r="AF38">
        <v>1.3042374014169229</v>
      </c>
      <c r="AG38">
        <v>0</v>
      </c>
      <c r="AH38">
        <v>1.3042374014169229</v>
      </c>
      <c r="AI38">
        <v>1.3042374014169229</v>
      </c>
      <c r="AJ38">
        <v>1.3042374014169229</v>
      </c>
      <c r="AK38">
        <v>0</v>
      </c>
      <c r="AL38">
        <v>1.3042374014169229</v>
      </c>
      <c r="AM38">
        <v>1.3042374014169229</v>
      </c>
      <c r="AN38">
        <v>0</v>
      </c>
      <c r="AO38">
        <v>0</v>
      </c>
      <c r="AP38">
        <v>0</v>
      </c>
      <c r="AQ38">
        <v>0</v>
      </c>
      <c r="AR38">
        <v>0</v>
      </c>
      <c r="AS38">
        <v>1.3042374014169229</v>
      </c>
      <c r="AT38">
        <v>1.9563561021253844</v>
      </c>
      <c r="AU38">
        <v>3.2605935035423075</v>
      </c>
      <c r="AV38">
        <v>0</v>
      </c>
      <c r="AW38">
        <v>0</v>
      </c>
      <c r="AX38">
        <v>0</v>
      </c>
      <c r="AY38">
        <v>3.9127122042507687</v>
      </c>
    </row>
    <row r="39" spans="1:51">
      <c r="A39" t="s">
        <v>666</v>
      </c>
      <c r="B39">
        <v>690</v>
      </c>
      <c r="C39">
        <v>610</v>
      </c>
      <c r="D39">
        <v>1.1000000000000001</v>
      </c>
      <c r="E39">
        <v>52006</v>
      </c>
      <c r="F39">
        <v>0</v>
      </c>
      <c r="G39">
        <v>225</v>
      </c>
      <c r="H39">
        <v>70</v>
      </c>
      <c r="I39">
        <v>35</v>
      </c>
      <c r="J39">
        <v>93.3</v>
      </c>
      <c r="K39">
        <v>6.7</v>
      </c>
      <c r="L39">
        <v>75.5</v>
      </c>
      <c r="M39">
        <v>74.5</v>
      </c>
      <c r="N39">
        <v>2.5</v>
      </c>
      <c r="T39">
        <f t="shared" si="0"/>
        <v>0</v>
      </c>
      <c r="U39" s="102" t="s">
        <v>712</v>
      </c>
      <c r="V39">
        <v>1661</v>
      </c>
      <c r="W39">
        <v>19346</v>
      </c>
      <c r="X39">
        <v>19386</v>
      </c>
      <c r="Y39">
        <v>19291</v>
      </c>
      <c r="Z39">
        <v>20070</v>
      </c>
      <c r="AA39">
        <v>16619</v>
      </c>
      <c r="AB39">
        <v>150</v>
      </c>
      <c r="AC39">
        <v>430</v>
      </c>
      <c r="AD39">
        <v>150</v>
      </c>
      <c r="AE39">
        <v>85</v>
      </c>
      <c r="AF39">
        <v>6.3395843309379547</v>
      </c>
      <c r="AG39">
        <v>0</v>
      </c>
      <c r="AH39">
        <v>0</v>
      </c>
      <c r="AI39">
        <v>0</v>
      </c>
      <c r="AJ39">
        <v>1.981120103418111</v>
      </c>
      <c r="AK39">
        <v>0.5943360310254332</v>
      </c>
      <c r="AL39">
        <v>0.99056005170905548</v>
      </c>
      <c r="AM39">
        <v>0.39622402068362217</v>
      </c>
      <c r="AN39">
        <v>0</v>
      </c>
      <c r="AO39">
        <v>0.39622402068362217</v>
      </c>
      <c r="AP39">
        <v>0</v>
      </c>
      <c r="AQ39">
        <v>0</v>
      </c>
      <c r="AR39">
        <v>0</v>
      </c>
      <c r="AS39">
        <v>0.39622402068362217</v>
      </c>
      <c r="AT39">
        <v>0</v>
      </c>
      <c r="AU39">
        <v>1.981120103418111</v>
      </c>
      <c r="AV39">
        <v>0</v>
      </c>
      <c r="AW39">
        <v>1.1886720620508664</v>
      </c>
      <c r="AX39">
        <v>0.39622402068362217</v>
      </c>
      <c r="AY39">
        <v>0</v>
      </c>
    </row>
    <row r="40" spans="1:51">
      <c r="A40" t="s">
        <v>200</v>
      </c>
      <c r="B40">
        <v>640</v>
      </c>
      <c r="C40">
        <v>635</v>
      </c>
      <c r="D40">
        <v>2.5</v>
      </c>
      <c r="E40">
        <v>25847</v>
      </c>
      <c r="F40">
        <v>0</v>
      </c>
      <c r="G40">
        <v>140</v>
      </c>
      <c r="H40">
        <v>55</v>
      </c>
      <c r="I40">
        <v>55</v>
      </c>
      <c r="J40">
        <v>0</v>
      </c>
      <c r="K40">
        <v>7.1</v>
      </c>
      <c r="L40">
        <v>34.299999999999997</v>
      </c>
      <c r="M40">
        <v>27.1</v>
      </c>
      <c r="N40">
        <v>16.7</v>
      </c>
      <c r="T40" t="str">
        <f t="shared" si="0"/>
        <v>Bloodvein First Nation</v>
      </c>
      <c r="U40" s="102" t="s">
        <v>234</v>
      </c>
      <c r="V40">
        <v>519</v>
      </c>
      <c r="W40">
        <v>16526</v>
      </c>
      <c r="X40">
        <v>15308</v>
      </c>
      <c r="Y40">
        <v>18364</v>
      </c>
      <c r="Z40">
        <v>7696</v>
      </c>
      <c r="AA40">
        <v>11808</v>
      </c>
      <c r="AB40">
        <v>285</v>
      </c>
      <c r="AC40">
        <v>335</v>
      </c>
      <c r="AD40">
        <v>45</v>
      </c>
      <c r="AE40">
        <v>10</v>
      </c>
      <c r="AF40">
        <v>1.3609433753915716</v>
      </c>
      <c r="AG40">
        <v>0</v>
      </c>
      <c r="AH40">
        <v>0</v>
      </c>
      <c r="AI40">
        <v>1.3609433753915716</v>
      </c>
      <c r="AJ40">
        <v>0</v>
      </c>
      <c r="AK40">
        <v>0</v>
      </c>
      <c r="AL40">
        <v>0</v>
      </c>
      <c r="AM40">
        <v>1.3609433753915716</v>
      </c>
      <c r="AN40">
        <v>0</v>
      </c>
      <c r="AO40">
        <v>0</v>
      </c>
      <c r="AP40">
        <v>0</v>
      </c>
      <c r="AQ40">
        <v>0</v>
      </c>
      <c r="AR40">
        <v>0</v>
      </c>
      <c r="AS40">
        <v>1.3609433753915716</v>
      </c>
      <c r="AT40">
        <v>4.0828301261747155</v>
      </c>
      <c r="AU40">
        <v>2.0414150630873578</v>
      </c>
      <c r="AV40">
        <v>0</v>
      </c>
      <c r="AW40">
        <v>0</v>
      </c>
      <c r="AX40">
        <v>0</v>
      </c>
      <c r="AY40">
        <v>3.4023584384789292</v>
      </c>
    </row>
    <row r="41" spans="1:51">
      <c r="A41" t="s">
        <v>300</v>
      </c>
      <c r="T41">
        <f t="shared" si="0"/>
        <v>0</v>
      </c>
      <c r="U41" s="102" t="s">
        <v>235</v>
      </c>
      <c r="V41">
        <v>246</v>
      </c>
      <c r="AB41">
        <v>0</v>
      </c>
      <c r="AC41">
        <v>0</v>
      </c>
      <c r="AD41">
        <v>0</v>
      </c>
      <c r="AE41">
        <v>0</v>
      </c>
      <c r="AF41" t="e">
        <v>#N/A</v>
      </c>
      <c r="AG41" t="e">
        <v>#N/A</v>
      </c>
      <c r="AH41" t="e">
        <v>#N/A</v>
      </c>
      <c r="AI41" t="e">
        <v>#N/A</v>
      </c>
      <c r="AJ41" t="e">
        <v>#N/A</v>
      </c>
      <c r="AK41" t="e">
        <v>#N/A</v>
      </c>
      <c r="AL41" t="e">
        <v>#N/A</v>
      </c>
      <c r="AM41" t="e">
        <v>#N/A</v>
      </c>
      <c r="AN41" t="e">
        <v>#N/A</v>
      </c>
      <c r="AO41" t="e">
        <v>#N/A</v>
      </c>
      <c r="AP41" t="e">
        <v>#N/A</v>
      </c>
      <c r="AQ41" t="e">
        <v>#N/A</v>
      </c>
      <c r="AR41" t="e">
        <v>#N/A</v>
      </c>
      <c r="AS41" t="e">
        <v>#N/A</v>
      </c>
      <c r="AT41" t="e">
        <v>#N/A</v>
      </c>
      <c r="AU41" t="e">
        <v>#N/A</v>
      </c>
      <c r="AV41" t="e">
        <v>#N/A</v>
      </c>
      <c r="AW41" t="e">
        <v>#N/A</v>
      </c>
      <c r="AX41" t="e">
        <v>#N/A</v>
      </c>
      <c r="AY41" t="e">
        <v>#N/A</v>
      </c>
    </row>
    <row r="42" spans="1:51">
      <c r="A42" t="s">
        <v>301</v>
      </c>
      <c r="B42">
        <v>1425</v>
      </c>
      <c r="C42">
        <v>1430</v>
      </c>
      <c r="D42">
        <v>1</v>
      </c>
      <c r="E42">
        <v>54744</v>
      </c>
      <c r="F42">
        <v>9.8000000000000007</v>
      </c>
      <c r="G42">
        <v>635</v>
      </c>
      <c r="H42">
        <v>210</v>
      </c>
      <c r="I42">
        <v>30</v>
      </c>
      <c r="J42">
        <v>76.400000000000006</v>
      </c>
      <c r="K42">
        <v>23.6</v>
      </c>
      <c r="L42">
        <v>69.7</v>
      </c>
      <c r="M42">
        <v>66.7</v>
      </c>
      <c r="N42">
        <v>4.4000000000000004</v>
      </c>
      <c r="T42">
        <f t="shared" si="0"/>
        <v>0</v>
      </c>
      <c r="U42" s="102" t="s">
        <v>237</v>
      </c>
      <c r="V42">
        <v>2044</v>
      </c>
      <c r="W42">
        <v>24661</v>
      </c>
      <c r="X42">
        <v>29068</v>
      </c>
      <c r="Y42">
        <v>20189</v>
      </c>
      <c r="Z42">
        <v>25712</v>
      </c>
      <c r="AA42">
        <v>16899</v>
      </c>
      <c r="AB42">
        <v>285</v>
      </c>
      <c r="AC42">
        <v>805</v>
      </c>
      <c r="AD42">
        <v>350</v>
      </c>
      <c r="AE42">
        <v>310</v>
      </c>
      <c r="AF42">
        <v>0.78746409142153839</v>
      </c>
      <c r="AG42">
        <v>0.1968660228553846</v>
      </c>
      <c r="AH42">
        <v>0.29529903428307686</v>
      </c>
      <c r="AI42">
        <v>1.7717942056984615</v>
      </c>
      <c r="AJ42">
        <v>0.78746409142153839</v>
      </c>
      <c r="AK42">
        <v>0.68903107999384605</v>
      </c>
      <c r="AL42">
        <v>2.2639592628369227</v>
      </c>
      <c r="AM42">
        <v>0.49216505713846148</v>
      </c>
      <c r="AN42">
        <v>0</v>
      </c>
      <c r="AO42">
        <v>0.68903107999384605</v>
      </c>
      <c r="AP42">
        <v>0.1968660228553846</v>
      </c>
      <c r="AQ42">
        <v>0.1968660228553846</v>
      </c>
      <c r="AR42">
        <v>0</v>
      </c>
      <c r="AS42">
        <v>0.98433011427692296</v>
      </c>
      <c r="AT42">
        <v>1.6733611942707691</v>
      </c>
      <c r="AU42">
        <v>2.5592582971199995</v>
      </c>
      <c r="AV42">
        <v>0.3937320457107692</v>
      </c>
      <c r="AW42">
        <v>0.68903107999384605</v>
      </c>
      <c r="AX42">
        <v>0.3937320457107692</v>
      </c>
      <c r="AY42">
        <v>0.68903107999384605</v>
      </c>
    </row>
    <row r="43" spans="1:51">
      <c r="A43" t="s">
        <v>302</v>
      </c>
      <c r="B43">
        <v>320</v>
      </c>
      <c r="C43">
        <v>320</v>
      </c>
      <c r="D43">
        <v>1.2</v>
      </c>
      <c r="E43">
        <v>49203</v>
      </c>
      <c r="F43">
        <v>0</v>
      </c>
      <c r="G43">
        <v>150</v>
      </c>
      <c r="H43">
        <v>35</v>
      </c>
      <c r="I43">
        <v>0</v>
      </c>
      <c r="J43">
        <v>86.7</v>
      </c>
      <c r="K43">
        <v>13.3</v>
      </c>
      <c r="L43">
        <v>60</v>
      </c>
      <c r="M43">
        <v>60</v>
      </c>
      <c r="N43">
        <v>0</v>
      </c>
      <c r="T43">
        <f t="shared" si="0"/>
        <v>0</v>
      </c>
      <c r="U43" s="102" t="s">
        <v>494</v>
      </c>
      <c r="V43">
        <v>769</v>
      </c>
      <c r="W43">
        <v>18678</v>
      </c>
      <c r="X43">
        <v>28405</v>
      </c>
      <c r="Y43">
        <v>10891</v>
      </c>
      <c r="Z43">
        <v>27300</v>
      </c>
      <c r="AA43">
        <v>12305</v>
      </c>
      <c r="AB43">
        <v>65</v>
      </c>
      <c r="AC43">
        <v>175</v>
      </c>
      <c r="AD43">
        <v>60</v>
      </c>
      <c r="AE43">
        <v>65</v>
      </c>
      <c r="AF43">
        <v>1.5650848817003076</v>
      </c>
      <c r="AG43">
        <v>0</v>
      </c>
      <c r="AH43">
        <v>1.0433899211335382</v>
      </c>
      <c r="AI43">
        <v>1.5650848817003076</v>
      </c>
      <c r="AJ43">
        <v>1.5650848817003076</v>
      </c>
      <c r="AK43">
        <v>1.5650848817003076</v>
      </c>
      <c r="AL43">
        <v>2.6084748028338458</v>
      </c>
      <c r="AM43">
        <v>1.5650848817003076</v>
      </c>
      <c r="AN43">
        <v>0</v>
      </c>
      <c r="AO43">
        <v>0</v>
      </c>
      <c r="AP43">
        <v>0</v>
      </c>
      <c r="AQ43">
        <v>0</v>
      </c>
      <c r="AR43">
        <v>0</v>
      </c>
      <c r="AS43">
        <v>0</v>
      </c>
      <c r="AT43">
        <v>1.0433899211335382</v>
      </c>
      <c r="AU43">
        <v>1.0433899211335382</v>
      </c>
      <c r="AV43">
        <v>1.0433899211335382</v>
      </c>
      <c r="AW43">
        <v>2.0867798422670765</v>
      </c>
      <c r="AX43">
        <v>0</v>
      </c>
      <c r="AY43">
        <v>0</v>
      </c>
    </row>
    <row r="44" spans="1:51">
      <c r="A44" t="s">
        <v>303</v>
      </c>
      <c r="B44">
        <v>38935</v>
      </c>
      <c r="C44">
        <v>38850</v>
      </c>
      <c r="D44">
        <v>1</v>
      </c>
      <c r="E44">
        <v>56213</v>
      </c>
      <c r="F44">
        <v>15.2</v>
      </c>
      <c r="G44">
        <v>16750</v>
      </c>
      <c r="H44">
        <v>4930</v>
      </c>
      <c r="I44">
        <v>1265</v>
      </c>
      <c r="J44">
        <v>61.6</v>
      </c>
      <c r="K44">
        <v>38.4</v>
      </c>
      <c r="L44">
        <v>68.7</v>
      </c>
      <c r="M44">
        <v>64.900000000000006</v>
      </c>
      <c r="N44">
        <v>5.7</v>
      </c>
      <c r="T44">
        <f t="shared" si="0"/>
        <v>0</v>
      </c>
      <c r="U44" s="102" t="s">
        <v>758</v>
      </c>
      <c r="V44">
        <v>1011</v>
      </c>
      <c r="W44">
        <v>25297</v>
      </c>
      <c r="X44">
        <v>30974</v>
      </c>
      <c r="Y44">
        <v>19453</v>
      </c>
      <c r="Z44">
        <v>26322</v>
      </c>
      <c r="AA44">
        <v>16477</v>
      </c>
      <c r="AB44">
        <v>7310</v>
      </c>
      <c r="AC44">
        <v>25865</v>
      </c>
      <c r="AD44">
        <v>8330</v>
      </c>
      <c r="AE44">
        <v>5740</v>
      </c>
      <c r="AF44">
        <v>0.21602275799866219</v>
      </c>
      <c r="AG44">
        <v>4.6804930899710141E-2</v>
      </c>
      <c r="AH44">
        <v>0.25562693029841693</v>
      </c>
      <c r="AI44">
        <v>0.71647548069556288</v>
      </c>
      <c r="AJ44">
        <v>1.7533847190891414</v>
      </c>
      <c r="AK44">
        <v>0.7020739634956521</v>
      </c>
      <c r="AL44">
        <v>1.9226025461880933</v>
      </c>
      <c r="AM44">
        <v>0.69487320489569659</v>
      </c>
      <c r="AN44">
        <v>0.45364779179719061</v>
      </c>
      <c r="AO44">
        <v>0.56525955009649942</v>
      </c>
      <c r="AP44">
        <v>0.2376250337985284</v>
      </c>
      <c r="AQ44">
        <v>0.38164020579763652</v>
      </c>
      <c r="AR44">
        <v>1.080113789993311E-2</v>
      </c>
      <c r="AS44">
        <v>0.51125386059683386</v>
      </c>
      <c r="AT44">
        <v>1.2601327549921961</v>
      </c>
      <c r="AU44">
        <v>2.2358355452861534</v>
      </c>
      <c r="AV44">
        <v>0.18001896499888514</v>
      </c>
      <c r="AW44">
        <v>1.4329509613911258</v>
      </c>
      <c r="AX44">
        <v>0.8172861010949386</v>
      </c>
      <c r="AY44">
        <v>1.0873145485932665</v>
      </c>
    </row>
    <row r="45" spans="1:51">
      <c r="A45" t="s">
        <v>727</v>
      </c>
      <c r="B45">
        <v>45490</v>
      </c>
      <c r="C45">
        <v>45285</v>
      </c>
      <c r="D45">
        <v>1.1000000000000001</v>
      </c>
      <c r="E45">
        <v>57037</v>
      </c>
      <c r="F45">
        <v>13.8</v>
      </c>
      <c r="G45">
        <v>19035</v>
      </c>
      <c r="H45">
        <v>5780</v>
      </c>
      <c r="I45">
        <v>1520</v>
      </c>
      <c r="J45">
        <v>63.3</v>
      </c>
      <c r="K45">
        <v>36.700000000000003</v>
      </c>
      <c r="L45">
        <v>70</v>
      </c>
      <c r="M45">
        <v>66.400000000000006</v>
      </c>
      <c r="N45">
        <v>5.2</v>
      </c>
      <c r="T45">
        <f t="shared" si="0"/>
        <v>0</v>
      </c>
      <c r="U45" s="102" t="s">
        <v>241</v>
      </c>
      <c r="V45">
        <v>3430</v>
      </c>
      <c r="W45">
        <v>25592</v>
      </c>
      <c r="X45">
        <v>31019</v>
      </c>
      <c r="Y45">
        <v>19857</v>
      </c>
      <c r="Z45">
        <v>27381</v>
      </c>
      <c r="AA45">
        <v>16688</v>
      </c>
      <c r="AB45">
        <v>8835</v>
      </c>
      <c r="AC45">
        <v>30385</v>
      </c>
      <c r="AD45">
        <v>9965</v>
      </c>
      <c r="AE45">
        <v>6265</v>
      </c>
      <c r="AF45">
        <v>0.56701555901101908</v>
      </c>
      <c r="AG45">
        <v>4.2678590463194985E-2</v>
      </c>
      <c r="AH45">
        <v>0.24387765978968562</v>
      </c>
      <c r="AI45">
        <v>0.69505133040060407</v>
      </c>
      <c r="AJ45">
        <v>1.6400772620856356</v>
      </c>
      <c r="AK45">
        <v>0.68895438890586191</v>
      </c>
      <c r="AL45">
        <v>1.8412763314121265</v>
      </c>
      <c r="AM45">
        <v>0.71334215488483044</v>
      </c>
      <c r="AN45">
        <v>0.41764049238983664</v>
      </c>
      <c r="AO45">
        <v>0.50909461481096874</v>
      </c>
      <c r="AP45">
        <v>0.23168377680020133</v>
      </c>
      <c r="AQ45">
        <v>0.38410731416875488</v>
      </c>
      <c r="AR45">
        <v>1.5242353736855351E-2</v>
      </c>
      <c r="AS45">
        <v>0.48775531957937124</v>
      </c>
      <c r="AT45">
        <v>1.2590184186642521</v>
      </c>
      <c r="AU45">
        <v>2.1491718768966046</v>
      </c>
      <c r="AV45">
        <v>0.18290824484226423</v>
      </c>
      <c r="AW45">
        <v>1.3352301873485288</v>
      </c>
      <c r="AX45">
        <v>0.76516615759013862</v>
      </c>
      <c r="AY45">
        <v>1.3199878336116735</v>
      </c>
    </row>
    <row r="46" spans="1:51">
      <c r="A46" t="s">
        <v>622</v>
      </c>
      <c r="B46">
        <v>590</v>
      </c>
      <c r="C46">
        <v>590</v>
      </c>
      <c r="D46">
        <v>0.9</v>
      </c>
      <c r="E46">
        <v>42703</v>
      </c>
      <c r="F46">
        <v>0</v>
      </c>
      <c r="G46">
        <v>235</v>
      </c>
      <c r="H46">
        <v>90</v>
      </c>
      <c r="I46">
        <v>40</v>
      </c>
      <c r="J46">
        <v>91.5</v>
      </c>
      <c r="K46">
        <v>8.5</v>
      </c>
      <c r="L46">
        <v>76</v>
      </c>
      <c r="M46">
        <v>74</v>
      </c>
      <c r="N46">
        <v>2.7</v>
      </c>
      <c r="T46">
        <f t="shared" si="0"/>
        <v>0</v>
      </c>
      <c r="U46" s="102" t="s">
        <v>242</v>
      </c>
      <c r="V46">
        <v>728</v>
      </c>
      <c r="W46">
        <v>13682</v>
      </c>
      <c r="X46">
        <v>13409</v>
      </c>
      <c r="Y46">
        <v>14085</v>
      </c>
      <c r="Z46">
        <v>16313</v>
      </c>
      <c r="AA46">
        <v>11902</v>
      </c>
      <c r="AB46">
        <v>110</v>
      </c>
      <c r="AC46">
        <v>355</v>
      </c>
      <c r="AD46">
        <v>135</v>
      </c>
      <c r="AE46">
        <v>110</v>
      </c>
      <c r="AF46">
        <v>10.290969085152707</v>
      </c>
      <c r="AG46">
        <v>0</v>
      </c>
      <c r="AH46">
        <v>0</v>
      </c>
      <c r="AI46">
        <v>0.42879037854802943</v>
      </c>
      <c r="AJ46">
        <v>0</v>
      </c>
      <c r="AK46">
        <v>0</v>
      </c>
      <c r="AL46">
        <v>0.42879037854802943</v>
      </c>
      <c r="AM46">
        <v>0</v>
      </c>
      <c r="AN46">
        <v>0</v>
      </c>
      <c r="AO46">
        <v>0</v>
      </c>
      <c r="AP46">
        <v>0</v>
      </c>
      <c r="AQ46">
        <v>0</v>
      </c>
      <c r="AR46">
        <v>0</v>
      </c>
      <c r="AS46">
        <v>0.85758075709605885</v>
      </c>
      <c r="AT46">
        <v>1.0719759463700735</v>
      </c>
      <c r="AU46">
        <v>0.85758075709605885</v>
      </c>
      <c r="AV46">
        <v>0.42879037854802943</v>
      </c>
      <c r="AW46">
        <v>0</v>
      </c>
      <c r="AX46">
        <v>0</v>
      </c>
      <c r="AY46">
        <v>0.64318556782204417</v>
      </c>
    </row>
    <row r="47" spans="1:51">
      <c r="A47" t="s">
        <v>304</v>
      </c>
      <c r="B47">
        <v>226</v>
      </c>
      <c r="T47">
        <f t="shared" si="0"/>
        <v>0</v>
      </c>
      <c r="U47" s="102" t="s">
        <v>243</v>
      </c>
      <c r="V47">
        <v>4127</v>
      </c>
      <c r="W47">
        <v>16146</v>
      </c>
      <c r="X47">
        <v>15673</v>
      </c>
      <c r="Y47">
        <v>16847</v>
      </c>
      <c r="Z47">
        <v>8336</v>
      </c>
      <c r="AA47">
        <v>9056</v>
      </c>
      <c r="AB47">
        <v>130</v>
      </c>
      <c r="AC47">
        <v>130</v>
      </c>
      <c r="AD47">
        <v>30</v>
      </c>
      <c r="AE47">
        <v>0</v>
      </c>
      <c r="AF47" t="e">
        <v>#N/A</v>
      </c>
      <c r="AG47" t="e">
        <v>#N/A</v>
      </c>
      <c r="AH47" t="e">
        <v>#N/A</v>
      </c>
      <c r="AI47" t="e">
        <v>#N/A</v>
      </c>
      <c r="AJ47" t="e">
        <v>#N/A</v>
      </c>
      <c r="AK47" t="e">
        <v>#N/A</v>
      </c>
      <c r="AL47" t="e">
        <v>#N/A</v>
      </c>
      <c r="AM47" t="e">
        <v>#N/A</v>
      </c>
      <c r="AN47" t="e">
        <v>#N/A</v>
      </c>
      <c r="AO47" t="e">
        <v>#N/A</v>
      </c>
      <c r="AP47" t="e">
        <v>#N/A</v>
      </c>
      <c r="AQ47" t="e">
        <v>#N/A</v>
      </c>
      <c r="AR47" t="e">
        <v>#N/A</v>
      </c>
      <c r="AS47" t="e">
        <v>#N/A</v>
      </c>
      <c r="AT47" t="e">
        <v>#N/A</v>
      </c>
      <c r="AU47" t="e">
        <v>#N/A</v>
      </c>
      <c r="AV47" t="e">
        <v>#N/A</v>
      </c>
      <c r="AW47" t="e">
        <v>#N/A</v>
      </c>
      <c r="AX47" t="e">
        <v>#N/A</v>
      </c>
      <c r="AY47" t="e">
        <v>#N/A</v>
      </c>
    </row>
    <row r="48" spans="1:51">
      <c r="A48" t="s">
        <v>655</v>
      </c>
      <c r="B48">
        <v>3875</v>
      </c>
      <c r="C48">
        <v>3875</v>
      </c>
      <c r="D48">
        <v>1</v>
      </c>
      <c r="E48">
        <v>51707</v>
      </c>
      <c r="F48">
        <v>7.4</v>
      </c>
      <c r="G48">
        <v>1490</v>
      </c>
      <c r="H48">
        <v>580</v>
      </c>
      <c r="I48">
        <v>170</v>
      </c>
      <c r="J48">
        <v>93.3</v>
      </c>
      <c r="K48">
        <v>6.7</v>
      </c>
      <c r="L48">
        <v>73.8</v>
      </c>
      <c r="M48">
        <v>72</v>
      </c>
      <c r="N48">
        <v>2.4</v>
      </c>
      <c r="T48">
        <f t="shared" si="0"/>
        <v>0</v>
      </c>
      <c r="U48" s="102" t="s">
        <v>843</v>
      </c>
      <c r="V48">
        <v>310</v>
      </c>
      <c r="W48">
        <v>15370</v>
      </c>
      <c r="X48">
        <v>16218</v>
      </c>
      <c r="Y48">
        <v>14418</v>
      </c>
      <c r="Z48">
        <v>14656</v>
      </c>
      <c r="AA48">
        <v>11957</v>
      </c>
      <c r="AB48">
        <v>120</v>
      </c>
      <c r="AC48">
        <v>255</v>
      </c>
      <c r="AD48">
        <v>90</v>
      </c>
      <c r="AE48">
        <v>20</v>
      </c>
      <c r="AF48">
        <v>1.6817798070902428</v>
      </c>
      <c r="AG48">
        <v>0.44618647943210521</v>
      </c>
      <c r="AH48">
        <v>0.30889833191453436</v>
      </c>
      <c r="AI48">
        <v>0.96101703262299576</v>
      </c>
      <c r="AJ48">
        <v>1.6131357333314573</v>
      </c>
      <c r="AK48">
        <v>0.85805092198481769</v>
      </c>
      <c r="AL48">
        <v>1.6131357333314573</v>
      </c>
      <c r="AM48">
        <v>1.0639831432611739</v>
      </c>
      <c r="AN48">
        <v>0.24025425815574894</v>
      </c>
      <c r="AO48">
        <v>0.41186444255271248</v>
      </c>
      <c r="AP48">
        <v>0</v>
      </c>
      <c r="AQ48">
        <v>0.41186444255271248</v>
      </c>
      <c r="AR48">
        <v>0</v>
      </c>
      <c r="AS48">
        <v>0.41186444255271248</v>
      </c>
      <c r="AT48">
        <v>0.96101703262299576</v>
      </c>
      <c r="AU48">
        <v>2.093644249642955</v>
      </c>
      <c r="AV48">
        <v>0.24025425815574894</v>
      </c>
      <c r="AW48">
        <v>0.48050851631149788</v>
      </c>
      <c r="AX48">
        <v>0.583474626949676</v>
      </c>
      <c r="AY48">
        <v>1.166949253899352</v>
      </c>
    </row>
    <row r="49" spans="1:51">
      <c r="A49" t="s">
        <v>201</v>
      </c>
      <c r="B49">
        <v>375</v>
      </c>
      <c r="C49">
        <v>375</v>
      </c>
      <c r="D49">
        <v>1.5</v>
      </c>
      <c r="E49">
        <v>29279</v>
      </c>
      <c r="F49">
        <v>0</v>
      </c>
      <c r="G49">
        <v>135</v>
      </c>
      <c r="H49">
        <v>50</v>
      </c>
      <c r="I49">
        <v>40</v>
      </c>
      <c r="J49">
        <v>7.4</v>
      </c>
      <c r="K49">
        <v>11.1</v>
      </c>
      <c r="L49">
        <v>65.3</v>
      </c>
      <c r="M49">
        <v>53.1</v>
      </c>
      <c r="N49">
        <v>21.9</v>
      </c>
      <c r="T49" t="str">
        <f t="shared" si="0"/>
        <v>Brokenhead Ojibway Nation</v>
      </c>
      <c r="U49" s="102" t="s">
        <v>245</v>
      </c>
      <c r="V49">
        <v>2657</v>
      </c>
      <c r="W49">
        <v>23349</v>
      </c>
      <c r="X49">
        <v>27950</v>
      </c>
      <c r="Y49">
        <v>17599</v>
      </c>
      <c r="Z49">
        <v>25022</v>
      </c>
      <c r="AA49">
        <v>13868</v>
      </c>
      <c r="AB49">
        <v>790</v>
      </c>
      <c r="AC49">
        <v>2650</v>
      </c>
      <c r="AD49">
        <v>1095</v>
      </c>
      <c r="AE49">
        <v>425</v>
      </c>
      <c r="AF49">
        <v>0</v>
      </c>
      <c r="AG49">
        <v>0.97817805106269218</v>
      </c>
      <c r="AH49">
        <v>0</v>
      </c>
      <c r="AI49">
        <v>1.9563561021253844</v>
      </c>
      <c r="AJ49">
        <v>0.97817805106269218</v>
      </c>
      <c r="AK49">
        <v>0</v>
      </c>
      <c r="AL49">
        <v>0.97817805106269218</v>
      </c>
      <c r="AM49">
        <v>0.97817805106269218</v>
      </c>
      <c r="AN49">
        <v>0.97817805106269218</v>
      </c>
      <c r="AO49">
        <v>0.97817805106269218</v>
      </c>
      <c r="AP49">
        <v>0</v>
      </c>
      <c r="AQ49">
        <v>0</v>
      </c>
      <c r="AR49">
        <v>0</v>
      </c>
      <c r="AS49">
        <v>1.4672670765940383</v>
      </c>
      <c r="AT49">
        <v>0.97817805106269218</v>
      </c>
      <c r="AU49">
        <v>2.9345341531880766</v>
      </c>
      <c r="AV49">
        <v>0.97817805106269218</v>
      </c>
      <c r="AW49">
        <v>0</v>
      </c>
      <c r="AX49">
        <v>0.97817805106269218</v>
      </c>
      <c r="AY49">
        <v>3.4236231787194229</v>
      </c>
    </row>
    <row r="50" spans="1:51">
      <c r="A50" t="s">
        <v>305</v>
      </c>
      <c r="T50">
        <f t="shared" si="0"/>
        <v>0</v>
      </c>
      <c r="U50" s="102" t="s">
        <v>844</v>
      </c>
      <c r="V50">
        <f>B297</f>
        <v>805</v>
      </c>
      <c r="AB50">
        <v>0</v>
      </c>
      <c r="AC50">
        <v>0</v>
      </c>
      <c r="AD50">
        <v>0</v>
      </c>
      <c r="AE50">
        <v>0</v>
      </c>
      <c r="AF50" t="e">
        <v>#N/A</v>
      </c>
      <c r="AG50" t="e">
        <v>#N/A</v>
      </c>
      <c r="AH50" t="e">
        <v>#N/A</v>
      </c>
      <c r="AI50" t="e">
        <v>#N/A</v>
      </c>
      <c r="AJ50" t="e">
        <v>#N/A</v>
      </c>
      <c r="AK50" t="e">
        <v>#N/A</v>
      </c>
      <c r="AL50" t="e">
        <v>#N/A</v>
      </c>
      <c r="AM50" t="e">
        <v>#N/A</v>
      </c>
      <c r="AN50" t="e">
        <v>#N/A</v>
      </c>
      <c r="AO50" t="e">
        <v>#N/A</v>
      </c>
      <c r="AP50" t="e">
        <v>#N/A</v>
      </c>
      <c r="AQ50" t="e">
        <v>#N/A</v>
      </c>
      <c r="AR50" t="e">
        <v>#N/A</v>
      </c>
      <c r="AS50" t="e">
        <v>#N/A</v>
      </c>
      <c r="AT50" t="e">
        <v>#N/A</v>
      </c>
      <c r="AU50" t="e">
        <v>#N/A</v>
      </c>
      <c r="AV50" t="e">
        <v>#N/A</v>
      </c>
      <c r="AW50" t="e">
        <v>#N/A</v>
      </c>
      <c r="AX50" t="e">
        <v>#N/A</v>
      </c>
      <c r="AY50" t="e">
        <v>#N/A</v>
      </c>
    </row>
    <row r="51" spans="1:51">
      <c r="A51" t="s">
        <v>202</v>
      </c>
      <c r="B51">
        <v>120</v>
      </c>
      <c r="C51">
        <v>120</v>
      </c>
      <c r="D51">
        <v>0.9</v>
      </c>
      <c r="E51">
        <v>54208</v>
      </c>
      <c r="F51">
        <v>0</v>
      </c>
      <c r="G51">
        <v>45</v>
      </c>
      <c r="H51">
        <v>10</v>
      </c>
      <c r="I51">
        <v>0</v>
      </c>
      <c r="J51">
        <v>88.9</v>
      </c>
      <c r="K51">
        <v>22.2</v>
      </c>
      <c r="L51">
        <v>31.6</v>
      </c>
      <c r="M51">
        <v>31.6</v>
      </c>
      <c r="N51">
        <v>0</v>
      </c>
      <c r="T51" t="str">
        <f t="shared" si="0"/>
        <v>Buffalo Point First Nation</v>
      </c>
      <c r="U51" s="102" t="s">
        <v>246</v>
      </c>
      <c r="V51">
        <v>486</v>
      </c>
      <c r="W51">
        <v>26873</v>
      </c>
      <c r="X51">
        <v>36541</v>
      </c>
      <c r="Y51">
        <v>15499</v>
      </c>
      <c r="Z51">
        <v>26048</v>
      </c>
      <c r="AA51">
        <v>11552</v>
      </c>
      <c r="AB51">
        <v>30</v>
      </c>
      <c r="AC51">
        <v>80</v>
      </c>
      <c r="AD51">
        <v>30</v>
      </c>
      <c r="AE51">
        <v>20</v>
      </c>
      <c r="AF51">
        <v>0</v>
      </c>
      <c r="AG51">
        <v>0</v>
      </c>
      <c r="AH51">
        <v>0</v>
      </c>
      <c r="AI51">
        <v>0</v>
      </c>
      <c r="AJ51">
        <v>0</v>
      </c>
      <c r="AK51">
        <v>0</v>
      </c>
      <c r="AL51">
        <v>0</v>
      </c>
      <c r="AM51">
        <v>0</v>
      </c>
      <c r="AN51">
        <v>0</v>
      </c>
      <c r="AO51">
        <v>0</v>
      </c>
      <c r="AP51">
        <v>0</v>
      </c>
      <c r="AQ51">
        <v>0</v>
      </c>
      <c r="AR51">
        <v>0</v>
      </c>
      <c r="AS51">
        <v>0</v>
      </c>
      <c r="AT51">
        <v>0</v>
      </c>
      <c r="AU51">
        <v>0</v>
      </c>
      <c r="AV51">
        <v>4.4716710905723067</v>
      </c>
      <c r="AW51">
        <v>0</v>
      </c>
      <c r="AX51">
        <v>0</v>
      </c>
      <c r="AY51">
        <v>4.4716710905723067</v>
      </c>
    </row>
    <row r="52" spans="1:51">
      <c r="A52" t="s">
        <v>203</v>
      </c>
      <c r="B52">
        <v>1700</v>
      </c>
      <c r="C52">
        <v>1700</v>
      </c>
      <c r="D52">
        <v>2.4</v>
      </c>
      <c r="E52">
        <v>29232</v>
      </c>
      <c r="F52">
        <v>0</v>
      </c>
      <c r="G52">
        <v>360</v>
      </c>
      <c r="H52">
        <v>110</v>
      </c>
      <c r="I52">
        <v>150</v>
      </c>
      <c r="J52">
        <v>5.6</v>
      </c>
      <c r="K52">
        <v>8.3000000000000007</v>
      </c>
      <c r="L52">
        <v>43.3</v>
      </c>
      <c r="M52">
        <v>31.2</v>
      </c>
      <c r="N52">
        <v>27.8</v>
      </c>
      <c r="T52" t="str">
        <f t="shared" si="0"/>
        <v>Bunibonibee Cree Nation</v>
      </c>
      <c r="U52" s="102" t="s">
        <v>247</v>
      </c>
      <c r="V52">
        <v>3043</v>
      </c>
      <c r="W52">
        <v>18988</v>
      </c>
      <c r="X52">
        <v>19775</v>
      </c>
      <c r="Y52">
        <v>18019</v>
      </c>
      <c r="Z52">
        <v>9478</v>
      </c>
      <c r="AA52">
        <v>9472</v>
      </c>
      <c r="AB52">
        <v>650</v>
      </c>
      <c r="AC52">
        <v>960</v>
      </c>
      <c r="AD52">
        <v>190</v>
      </c>
      <c r="AE52">
        <v>85</v>
      </c>
      <c r="AF52">
        <v>0</v>
      </c>
      <c r="AG52">
        <v>0</v>
      </c>
      <c r="AH52">
        <v>0.34397469927479291</v>
      </c>
      <c r="AI52">
        <v>1.0319240978243787</v>
      </c>
      <c r="AJ52">
        <v>0</v>
      </c>
      <c r="AK52">
        <v>0</v>
      </c>
      <c r="AL52">
        <v>1.7198734963739644</v>
      </c>
      <c r="AM52">
        <v>0.34397469927479291</v>
      </c>
      <c r="AN52">
        <v>0</v>
      </c>
      <c r="AO52">
        <v>0</v>
      </c>
      <c r="AP52">
        <v>0</v>
      </c>
      <c r="AQ52">
        <v>0</v>
      </c>
      <c r="AR52">
        <v>0</v>
      </c>
      <c r="AS52">
        <v>0</v>
      </c>
      <c r="AT52">
        <v>3.2677596431105322</v>
      </c>
      <c r="AU52">
        <v>3.2677596431105322</v>
      </c>
      <c r="AV52">
        <v>0</v>
      </c>
      <c r="AW52">
        <v>0.34397469927479291</v>
      </c>
      <c r="AX52">
        <v>0.85993674818698218</v>
      </c>
      <c r="AY52">
        <v>1.7198734963739644</v>
      </c>
    </row>
    <row r="53" spans="1:51">
      <c r="A53" t="s">
        <v>728</v>
      </c>
      <c r="B53">
        <v>42995</v>
      </c>
      <c r="C53">
        <v>42955</v>
      </c>
      <c r="D53">
        <v>1.9</v>
      </c>
      <c r="E53">
        <v>46367</v>
      </c>
      <c r="F53">
        <v>18.5</v>
      </c>
      <c r="G53">
        <v>11975</v>
      </c>
      <c r="H53">
        <v>4235</v>
      </c>
      <c r="I53">
        <v>3025</v>
      </c>
      <c r="J53">
        <v>32.9</v>
      </c>
      <c r="K53">
        <v>30.3</v>
      </c>
      <c r="L53">
        <v>60.4</v>
      </c>
      <c r="M53">
        <v>49.8</v>
      </c>
      <c r="N53">
        <v>17.5</v>
      </c>
      <c r="T53">
        <f t="shared" si="0"/>
        <v>0</v>
      </c>
      <c r="U53" s="102" t="s">
        <v>249</v>
      </c>
      <c r="V53">
        <v>1188</v>
      </c>
      <c r="W53">
        <v>27265</v>
      </c>
      <c r="X53">
        <v>32984</v>
      </c>
      <c r="Y53">
        <v>20396</v>
      </c>
      <c r="Z53">
        <v>17850</v>
      </c>
      <c r="AA53">
        <v>12029</v>
      </c>
      <c r="AB53">
        <v>15110</v>
      </c>
      <c r="AC53">
        <v>26500</v>
      </c>
      <c r="AD53">
        <v>6720</v>
      </c>
      <c r="AE53">
        <v>1400</v>
      </c>
      <c r="AF53">
        <v>0.255505100900911</v>
      </c>
      <c r="AG53">
        <v>1.5190939635381435</v>
      </c>
      <c r="AH53">
        <v>0.59463005300575655</v>
      </c>
      <c r="AI53">
        <v>0.82690741746113006</v>
      </c>
      <c r="AJ53">
        <v>0.27408729005734089</v>
      </c>
      <c r="AK53">
        <v>0.13936641867322416</v>
      </c>
      <c r="AL53">
        <v>1.3332720719738447</v>
      </c>
      <c r="AM53">
        <v>0.97091938342346173</v>
      </c>
      <c r="AN53">
        <v>0.14865751325143914</v>
      </c>
      <c r="AO53">
        <v>0.16723970240786901</v>
      </c>
      <c r="AP53">
        <v>0.12542977680590175</v>
      </c>
      <c r="AQ53">
        <v>0.18117634427519144</v>
      </c>
      <c r="AR53">
        <v>9.2910945782149462E-3</v>
      </c>
      <c r="AS53">
        <v>0.3902259722850277</v>
      </c>
      <c r="AT53">
        <v>2.0393952599181802</v>
      </c>
      <c r="AU53">
        <v>2.1508883948567599</v>
      </c>
      <c r="AV53">
        <v>0.16723970240786901</v>
      </c>
      <c r="AW53">
        <v>0.8501351539066675</v>
      </c>
      <c r="AX53">
        <v>0.4599091816216398</v>
      </c>
      <c r="AY53">
        <v>1.9000288412449562</v>
      </c>
    </row>
    <row r="54" spans="1:51">
      <c r="A54" t="s">
        <v>306</v>
      </c>
      <c r="T54">
        <f t="shared" si="0"/>
        <v>0</v>
      </c>
      <c r="U54" s="102" t="s">
        <v>250</v>
      </c>
      <c r="V54">
        <v>1102</v>
      </c>
      <c r="AB54">
        <v>0</v>
      </c>
      <c r="AC54">
        <v>0</v>
      </c>
      <c r="AD54">
        <v>0</v>
      </c>
      <c r="AE54">
        <v>0</v>
      </c>
      <c r="AF54" t="e">
        <v>#N/A</v>
      </c>
      <c r="AG54" t="e">
        <v>#N/A</v>
      </c>
      <c r="AH54" t="e">
        <v>#N/A</v>
      </c>
      <c r="AI54" t="e">
        <v>#N/A</v>
      </c>
      <c r="AJ54" t="e">
        <v>#N/A</v>
      </c>
      <c r="AK54" t="e">
        <v>#N/A</v>
      </c>
      <c r="AL54" t="e">
        <v>#N/A</v>
      </c>
      <c r="AM54" t="e">
        <v>#N/A</v>
      </c>
      <c r="AN54" t="e">
        <v>#N/A</v>
      </c>
      <c r="AO54" t="e">
        <v>#N/A</v>
      </c>
      <c r="AP54" t="e">
        <v>#N/A</v>
      </c>
      <c r="AQ54" t="e">
        <v>#N/A</v>
      </c>
      <c r="AR54" t="e">
        <v>#N/A</v>
      </c>
      <c r="AS54" t="e">
        <v>#N/A</v>
      </c>
      <c r="AT54" t="e">
        <v>#N/A</v>
      </c>
      <c r="AU54" t="e">
        <v>#N/A</v>
      </c>
      <c r="AV54" t="e">
        <v>#N/A</v>
      </c>
      <c r="AW54" t="e">
        <v>#N/A</v>
      </c>
      <c r="AX54" t="e">
        <v>#N/A</v>
      </c>
      <c r="AY54" t="e">
        <v>#N/A</v>
      </c>
    </row>
    <row r="55" spans="1:51">
      <c r="A55" t="s">
        <v>625</v>
      </c>
      <c r="B55">
        <v>500</v>
      </c>
      <c r="C55">
        <v>420</v>
      </c>
      <c r="D55">
        <v>1.1000000000000001</v>
      </c>
      <c r="E55">
        <v>50231</v>
      </c>
      <c r="F55">
        <v>0</v>
      </c>
      <c r="G55">
        <v>145</v>
      </c>
      <c r="H55">
        <v>75</v>
      </c>
      <c r="I55">
        <v>20</v>
      </c>
      <c r="J55">
        <v>86.2</v>
      </c>
      <c r="K55">
        <v>17.2</v>
      </c>
      <c r="L55">
        <v>73.900000000000006</v>
      </c>
      <c r="M55">
        <v>73.900000000000006</v>
      </c>
      <c r="N55">
        <v>0</v>
      </c>
      <c r="T55">
        <f t="shared" si="0"/>
        <v>0</v>
      </c>
      <c r="U55" s="102" t="s">
        <v>252</v>
      </c>
      <c r="V55">
        <v>938</v>
      </c>
      <c r="W55">
        <v>20649</v>
      </c>
      <c r="X55">
        <v>24716</v>
      </c>
      <c r="Y55">
        <v>15177</v>
      </c>
      <c r="Z55">
        <v>22833</v>
      </c>
      <c r="AA55">
        <v>16314</v>
      </c>
      <c r="AB55">
        <v>150</v>
      </c>
      <c r="AC55">
        <v>265</v>
      </c>
      <c r="AD55">
        <v>105</v>
      </c>
      <c r="AE55">
        <v>45</v>
      </c>
      <c r="AF55">
        <v>9.9322694415596438</v>
      </c>
      <c r="AG55">
        <v>0</v>
      </c>
      <c r="AH55">
        <v>0</v>
      </c>
      <c r="AI55">
        <v>0</v>
      </c>
      <c r="AJ55">
        <v>0</v>
      </c>
      <c r="AK55">
        <v>1.2039114474617751</v>
      </c>
      <c r="AL55">
        <v>0</v>
      </c>
      <c r="AM55">
        <v>0.9029335855963313</v>
      </c>
      <c r="AN55">
        <v>0</v>
      </c>
      <c r="AO55">
        <v>0</v>
      </c>
      <c r="AP55">
        <v>0</v>
      </c>
      <c r="AQ55">
        <v>0.60195572373088757</v>
      </c>
      <c r="AR55">
        <v>0</v>
      </c>
      <c r="AS55">
        <v>0.60195572373088757</v>
      </c>
      <c r="AT55">
        <v>1.2039114474617751</v>
      </c>
      <c r="AU55">
        <v>0.60195572373088757</v>
      </c>
      <c r="AV55">
        <v>0</v>
      </c>
      <c r="AW55">
        <v>0</v>
      </c>
      <c r="AX55">
        <v>0</v>
      </c>
      <c r="AY55">
        <v>0.60195572373088757</v>
      </c>
    </row>
    <row r="56" spans="1:51">
      <c r="A56" t="s">
        <v>307</v>
      </c>
      <c r="B56">
        <v>524</v>
      </c>
      <c r="T56">
        <f t="shared" si="0"/>
        <v>0</v>
      </c>
      <c r="U56" s="102" t="s">
        <v>257</v>
      </c>
      <c r="V56">
        <v>718</v>
      </c>
      <c r="AB56">
        <v>0</v>
      </c>
      <c r="AC56">
        <v>0</v>
      </c>
      <c r="AD56">
        <v>0</v>
      </c>
      <c r="AE56">
        <v>0</v>
      </c>
      <c r="AF56" t="e">
        <v>#N/A</v>
      </c>
      <c r="AG56" t="e">
        <v>#N/A</v>
      </c>
      <c r="AH56" t="e">
        <v>#N/A</v>
      </c>
      <c r="AI56" t="e">
        <v>#N/A</v>
      </c>
      <c r="AJ56" t="e">
        <v>#N/A</v>
      </c>
      <c r="AK56" t="e">
        <v>#N/A</v>
      </c>
      <c r="AL56" t="e">
        <v>#N/A</v>
      </c>
      <c r="AM56" t="e">
        <v>#N/A</v>
      </c>
      <c r="AN56" t="e">
        <v>#N/A</v>
      </c>
      <c r="AO56" t="e">
        <v>#N/A</v>
      </c>
      <c r="AP56" t="e">
        <v>#N/A</v>
      </c>
      <c r="AQ56" t="e">
        <v>#N/A</v>
      </c>
      <c r="AR56" t="e">
        <v>#N/A</v>
      </c>
      <c r="AS56" t="e">
        <v>#N/A</v>
      </c>
      <c r="AT56" t="e">
        <v>#N/A</v>
      </c>
      <c r="AU56" t="e">
        <v>#N/A</v>
      </c>
      <c r="AV56" t="e">
        <v>#N/A</v>
      </c>
      <c r="AW56" t="e">
        <v>#N/A</v>
      </c>
      <c r="AX56" t="e">
        <v>#N/A</v>
      </c>
      <c r="AY56" t="e">
        <v>#N/A</v>
      </c>
    </row>
    <row r="57" spans="1:51">
      <c r="A57" t="s">
        <v>204</v>
      </c>
      <c r="B57">
        <v>305</v>
      </c>
      <c r="C57">
        <v>305</v>
      </c>
      <c r="D57">
        <v>2</v>
      </c>
      <c r="E57">
        <v>15716</v>
      </c>
      <c r="F57">
        <v>0</v>
      </c>
      <c r="G57">
        <v>100</v>
      </c>
      <c r="H57">
        <v>45</v>
      </c>
      <c r="I57">
        <v>35</v>
      </c>
      <c r="J57">
        <v>0</v>
      </c>
      <c r="K57">
        <v>10</v>
      </c>
      <c r="L57">
        <v>40</v>
      </c>
      <c r="M57">
        <v>30</v>
      </c>
      <c r="N57">
        <v>25</v>
      </c>
      <c r="T57" t="str">
        <f t="shared" si="0"/>
        <v>Canupawakpa Dakota First Nation</v>
      </c>
      <c r="U57" s="102" t="s">
        <v>259</v>
      </c>
      <c r="V57">
        <v>391</v>
      </c>
      <c r="W57">
        <v>7776</v>
      </c>
      <c r="X57">
        <v>7177</v>
      </c>
      <c r="Y57">
        <v>8281</v>
      </c>
      <c r="Z57">
        <v>3608</v>
      </c>
      <c r="AA57">
        <v>5552</v>
      </c>
      <c r="AB57">
        <v>100</v>
      </c>
      <c r="AC57">
        <v>190</v>
      </c>
      <c r="AD57">
        <v>30</v>
      </c>
      <c r="AE57">
        <v>10</v>
      </c>
      <c r="AF57">
        <v>0</v>
      </c>
      <c r="AG57">
        <v>0</v>
      </c>
      <c r="AH57">
        <v>0</v>
      </c>
      <c r="AI57">
        <v>1.9563561021253844</v>
      </c>
      <c r="AJ57">
        <v>0</v>
      </c>
      <c r="AK57">
        <v>0</v>
      </c>
      <c r="AL57">
        <v>1.9563561021253844</v>
      </c>
      <c r="AM57">
        <v>1.9563561021253844</v>
      </c>
      <c r="AN57">
        <v>0</v>
      </c>
      <c r="AO57">
        <v>0</v>
      </c>
      <c r="AP57">
        <v>0</v>
      </c>
      <c r="AQ57">
        <v>0</v>
      </c>
      <c r="AR57">
        <v>0</v>
      </c>
      <c r="AS57">
        <v>1.9563561021253844</v>
      </c>
      <c r="AT57">
        <v>0</v>
      </c>
      <c r="AU57">
        <v>3.9127122042507687</v>
      </c>
      <c r="AV57">
        <v>0</v>
      </c>
      <c r="AW57">
        <v>0</v>
      </c>
      <c r="AX57">
        <v>1.9563561021253844</v>
      </c>
      <c r="AY57">
        <v>3.9127122042507687</v>
      </c>
    </row>
    <row r="58" spans="1:51">
      <c r="A58" t="s">
        <v>308</v>
      </c>
      <c r="B58">
        <v>1495</v>
      </c>
      <c r="C58">
        <v>1490</v>
      </c>
      <c r="D58">
        <v>1</v>
      </c>
      <c r="E58">
        <v>55421</v>
      </c>
      <c r="F58">
        <v>5.7</v>
      </c>
      <c r="G58">
        <v>685</v>
      </c>
      <c r="H58">
        <v>225</v>
      </c>
      <c r="I58">
        <v>55</v>
      </c>
      <c r="J58">
        <v>73.7</v>
      </c>
      <c r="K58">
        <v>26.3</v>
      </c>
      <c r="L58">
        <v>58.8</v>
      </c>
      <c r="M58">
        <v>57.1</v>
      </c>
      <c r="N58">
        <v>2.8</v>
      </c>
      <c r="T58">
        <f t="shared" si="0"/>
        <v>0</v>
      </c>
      <c r="U58" s="102" t="s">
        <v>260</v>
      </c>
      <c r="V58">
        <v>1008</v>
      </c>
      <c r="W58">
        <v>27874</v>
      </c>
      <c r="X58">
        <v>33297</v>
      </c>
      <c r="Y58">
        <v>23137</v>
      </c>
      <c r="Z58">
        <v>28545</v>
      </c>
      <c r="AA58">
        <v>16916</v>
      </c>
      <c r="AB58">
        <v>290</v>
      </c>
      <c r="AC58">
        <v>840</v>
      </c>
      <c r="AD58">
        <v>275</v>
      </c>
      <c r="AE58">
        <v>355</v>
      </c>
      <c r="AF58">
        <v>1.2209882055818002</v>
      </c>
      <c r="AG58">
        <v>0</v>
      </c>
      <c r="AH58">
        <v>0.44399571112065461</v>
      </c>
      <c r="AI58">
        <v>0</v>
      </c>
      <c r="AJ58">
        <v>4.1069603278660551</v>
      </c>
      <c r="AK58">
        <v>0.44399571112065461</v>
      </c>
      <c r="AL58">
        <v>2.2199785556032734</v>
      </c>
      <c r="AM58">
        <v>0.7769924944611456</v>
      </c>
      <c r="AN58">
        <v>0</v>
      </c>
      <c r="AO58">
        <v>0.44399571112065461</v>
      </c>
      <c r="AP58">
        <v>0</v>
      </c>
      <c r="AQ58">
        <v>0</v>
      </c>
      <c r="AR58">
        <v>0</v>
      </c>
      <c r="AS58">
        <v>0</v>
      </c>
      <c r="AT58">
        <v>0.66599356668098186</v>
      </c>
      <c r="AU58">
        <v>1.9979807000429457</v>
      </c>
      <c r="AV58">
        <v>0</v>
      </c>
      <c r="AW58">
        <v>1.3319871333619637</v>
      </c>
      <c r="AX58">
        <v>0.44399571112065461</v>
      </c>
      <c r="AY58">
        <v>0.88799142224130923</v>
      </c>
    </row>
    <row r="59" spans="1:51">
      <c r="A59" t="s">
        <v>309</v>
      </c>
      <c r="B59">
        <v>2760</v>
      </c>
      <c r="C59">
        <v>2755</v>
      </c>
      <c r="D59">
        <v>0.9</v>
      </c>
      <c r="E59">
        <v>56555</v>
      </c>
      <c r="F59">
        <v>5</v>
      </c>
      <c r="G59">
        <v>1265</v>
      </c>
      <c r="H59">
        <v>360</v>
      </c>
      <c r="I59">
        <v>125</v>
      </c>
      <c r="J59">
        <v>71.5</v>
      </c>
      <c r="K59">
        <v>28.9</v>
      </c>
      <c r="L59">
        <v>59.3</v>
      </c>
      <c r="M59">
        <v>56.4</v>
      </c>
      <c r="N59">
        <v>4.8</v>
      </c>
      <c r="T59">
        <f t="shared" si="0"/>
        <v>0</v>
      </c>
      <c r="U59" s="102" t="s">
        <v>262</v>
      </c>
      <c r="V59">
        <v>2902</v>
      </c>
      <c r="W59">
        <v>25315</v>
      </c>
      <c r="X59">
        <v>30614</v>
      </c>
      <c r="Y59">
        <v>20298</v>
      </c>
      <c r="Z59">
        <v>26904</v>
      </c>
      <c r="AA59">
        <v>15283</v>
      </c>
      <c r="AB59">
        <v>460</v>
      </c>
      <c r="AC59">
        <v>1540</v>
      </c>
      <c r="AD59">
        <v>575</v>
      </c>
      <c r="AE59">
        <v>735</v>
      </c>
      <c r="AF59">
        <v>0.97817805106269218</v>
      </c>
      <c r="AG59">
        <v>0</v>
      </c>
      <c r="AH59">
        <v>0</v>
      </c>
      <c r="AI59">
        <v>1.150797707132579</v>
      </c>
      <c r="AJ59">
        <v>0.97817805106269218</v>
      </c>
      <c r="AK59">
        <v>1.265877477845837</v>
      </c>
      <c r="AL59">
        <v>2.8194543824748188</v>
      </c>
      <c r="AM59">
        <v>0.34523931213977371</v>
      </c>
      <c r="AN59">
        <v>0</v>
      </c>
      <c r="AO59">
        <v>0.5178589682096606</v>
      </c>
      <c r="AP59">
        <v>0</v>
      </c>
      <c r="AQ59">
        <v>0.63293873892291852</v>
      </c>
      <c r="AR59">
        <v>0</v>
      </c>
      <c r="AS59">
        <v>0.40277919749640267</v>
      </c>
      <c r="AT59">
        <v>1.4960370192723527</v>
      </c>
      <c r="AU59">
        <v>1.8412763314121265</v>
      </c>
      <c r="AV59">
        <v>0.5178589682096606</v>
      </c>
      <c r="AW59">
        <v>0.69047862427954743</v>
      </c>
      <c r="AX59">
        <v>0.69047862427954743</v>
      </c>
      <c r="AY59">
        <v>1.150797707132579</v>
      </c>
    </row>
    <row r="60" spans="1:51">
      <c r="A60" t="s">
        <v>651</v>
      </c>
      <c r="B60">
        <v>3135</v>
      </c>
      <c r="C60">
        <v>2105</v>
      </c>
      <c r="D60">
        <v>1.3</v>
      </c>
      <c r="E60">
        <v>62387</v>
      </c>
      <c r="F60">
        <v>0</v>
      </c>
      <c r="G60">
        <v>730</v>
      </c>
      <c r="H60">
        <v>290</v>
      </c>
      <c r="I60">
        <v>75</v>
      </c>
      <c r="J60">
        <v>89</v>
      </c>
      <c r="K60">
        <v>11</v>
      </c>
      <c r="L60">
        <v>70.900000000000006</v>
      </c>
      <c r="M60">
        <v>68.7</v>
      </c>
      <c r="N60">
        <v>2.8</v>
      </c>
      <c r="T60">
        <f t="shared" si="0"/>
        <v>0</v>
      </c>
      <c r="U60" s="102" t="s">
        <v>264</v>
      </c>
      <c r="V60">
        <v>2968</v>
      </c>
      <c r="W60">
        <v>27926</v>
      </c>
      <c r="X60">
        <v>33106</v>
      </c>
      <c r="Y60">
        <v>22220</v>
      </c>
      <c r="Z60">
        <v>30357</v>
      </c>
      <c r="AA60">
        <v>17714</v>
      </c>
      <c r="AB60">
        <v>875</v>
      </c>
      <c r="AC60">
        <v>1970</v>
      </c>
      <c r="AD60">
        <v>595</v>
      </c>
      <c r="AE60">
        <v>255</v>
      </c>
      <c r="AF60">
        <v>5.8874666396249813</v>
      </c>
      <c r="AG60">
        <v>0.14718666599062455</v>
      </c>
      <c r="AH60">
        <v>9.8124443993749685E-2</v>
      </c>
      <c r="AI60">
        <v>0.63780888595937291</v>
      </c>
      <c r="AJ60">
        <v>1.6681155478937446</v>
      </c>
      <c r="AK60">
        <v>0.53968444196562326</v>
      </c>
      <c r="AL60">
        <v>1.3246799939156206</v>
      </c>
      <c r="AM60">
        <v>0.88311999594374724</v>
      </c>
      <c r="AN60">
        <v>9.8124443993749685E-2</v>
      </c>
      <c r="AO60">
        <v>0</v>
      </c>
      <c r="AP60">
        <v>0</v>
      </c>
      <c r="AQ60">
        <v>0.39249777597499874</v>
      </c>
      <c r="AR60">
        <v>0</v>
      </c>
      <c r="AS60">
        <v>0.2943733319812491</v>
      </c>
      <c r="AT60">
        <v>0.49062221996874839</v>
      </c>
      <c r="AU60">
        <v>1.1774933279249964</v>
      </c>
      <c r="AV60">
        <v>9.8124443993749685E-2</v>
      </c>
      <c r="AW60">
        <v>0.5887466639624982</v>
      </c>
      <c r="AX60">
        <v>0.24531110998437419</v>
      </c>
      <c r="AY60">
        <v>0.88311999594374724</v>
      </c>
    </row>
    <row r="61" spans="1:51">
      <c r="A61" t="s">
        <v>310</v>
      </c>
      <c r="B61">
        <v>295</v>
      </c>
      <c r="C61">
        <v>295</v>
      </c>
      <c r="D61">
        <v>0.6</v>
      </c>
      <c r="E61">
        <v>39578</v>
      </c>
      <c r="F61">
        <v>27.8</v>
      </c>
      <c r="G61">
        <v>150</v>
      </c>
      <c r="H61">
        <v>35</v>
      </c>
      <c r="I61">
        <v>20</v>
      </c>
      <c r="J61">
        <v>83.3</v>
      </c>
      <c r="K61">
        <v>16.7</v>
      </c>
      <c r="L61">
        <v>53.1</v>
      </c>
      <c r="M61">
        <v>53.1</v>
      </c>
      <c r="N61">
        <v>0</v>
      </c>
      <c r="T61">
        <f t="shared" si="0"/>
        <v>0</v>
      </c>
      <c r="U61" s="102" t="s">
        <v>265</v>
      </c>
      <c r="V61">
        <v>848</v>
      </c>
      <c r="W61">
        <v>19004</v>
      </c>
      <c r="X61">
        <v>25215</v>
      </c>
      <c r="Y61">
        <v>10386</v>
      </c>
      <c r="Z61">
        <v>25324</v>
      </c>
      <c r="AA61">
        <v>14937</v>
      </c>
      <c r="AB61">
        <v>45</v>
      </c>
      <c r="AC61">
        <v>145</v>
      </c>
      <c r="AD61">
        <v>85</v>
      </c>
      <c r="AE61">
        <v>65</v>
      </c>
      <c r="AF61">
        <v>0</v>
      </c>
      <c r="AG61">
        <v>0</v>
      </c>
      <c r="AH61">
        <v>0</v>
      </c>
      <c r="AI61">
        <v>1.8058671711926626</v>
      </c>
      <c r="AJ61">
        <v>0</v>
      </c>
      <c r="AK61">
        <v>0</v>
      </c>
      <c r="AL61">
        <v>2.4078228949235503</v>
      </c>
      <c r="AM61">
        <v>1.8058671711926626</v>
      </c>
      <c r="AN61">
        <v>0</v>
      </c>
      <c r="AO61">
        <v>0</v>
      </c>
      <c r="AP61">
        <v>0</v>
      </c>
      <c r="AQ61">
        <v>0</v>
      </c>
      <c r="AR61">
        <v>0</v>
      </c>
      <c r="AS61">
        <v>0</v>
      </c>
      <c r="AT61">
        <v>2.4078228949235503</v>
      </c>
      <c r="AU61">
        <v>1.2039114474617751</v>
      </c>
      <c r="AV61">
        <v>1.2039114474617751</v>
      </c>
      <c r="AW61">
        <v>1.2039114474617751</v>
      </c>
      <c r="AX61">
        <v>1.8058671711926626</v>
      </c>
      <c r="AY61">
        <v>0</v>
      </c>
    </row>
    <row r="62" spans="1:51">
      <c r="A62" t="s">
        <v>729</v>
      </c>
      <c r="B62">
        <v>93980</v>
      </c>
      <c r="C62">
        <v>89725</v>
      </c>
      <c r="D62">
        <v>1.3</v>
      </c>
      <c r="E62">
        <v>53365</v>
      </c>
      <c r="F62">
        <v>9.9</v>
      </c>
      <c r="G62">
        <v>32795</v>
      </c>
      <c r="H62">
        <v>10095</v>
      </c>
      <c r="I62">
        <v>3950</v>
      </c>
      <c r="J62">
        <v>77.099999999999994</v>
      </c>
      <c r="K62">
        <v>20</v>
      </c>
      <c r="L62">
        <v>67.8</v>
      </c>
      <c r="M62">
        <v>64.900000000000006</v>
      </c>
      <c r="N62">
        <v>4.3</v>
      </c>
      <c r="T62">
        <f>IFERROR(VLOOKUP(A62,$U$12:$U$74,1,0),0)</f>
        <v>0</v>
      </c>
      <c r="U62" s="102" t="s">
        <v>268</v>
      </c>
      <c r="V62">
        <v>1115</v>
      </c>
      <c r="W62">
        <v>23277</v>
      </c>
      <c r="X62">
        <v>27513</v>
      </c>
      <c r="Y62">
        <v>18288</v>
      </c>
      <c r="Z62">
        <v>24236</v>
      </c>
      <c r="AA62">
        <v>14598</v>
      </c>
      <c r="AB62">
        <v>23190</v>
      </c>
      <c r="AC62">
        <v>58240</v>
      </c>
      <c r="AD62">
        <v>19770</v>
      </c>
      <c r="AE62">
        <v>12550</v>
      </c>
      <c r="AF62">
        <v>3.147775134426928</v>
      </c>
      <c r="AG62">
        <v>2.9342285043855363E-2</v>
      </c>
      <c r="AH62">
        <v>9.7807616812851203E-2</v>
      </c>
      <c r="AI62">
        <v>0.87537817047501831</v>
      </c>
      <c r="AJ62">
        <v>1.9251799242662881</v>
      </c>
      <c r="AK62">
        <v>0.66020141348674566</v>
      </c>
      <c r="AL62">
        <v>1.5094975528116705</v>
      </c>
      <c r="AM62">
        <v>0.6813930637961968</v>
      </c>
      <c r="AN62">
        <v>0.16138256774120452</v>
      </c>
      <c r="AO62">
        <v>0.39775097503892826</v>
      </c>
      <c r="AP62">
        <v>0.10595825154725548</v>
      </c>
      <c r="AQ62">
        <v>0.30483373906671962</v>
      </c>
      <c r="AR62">
        <v>8.1506347344042687E-3</v>
      </c>
      <c r="AS62">
        <v>0.3488471666325027</v>
      </c>
      <c r="AT62">
        <v>1.01230883401301</v>
      </c>
      <c r="AU62">
        <v>1.9463715745757391</v>
      </c>
      <c r="AV62">
        <v>0.17931396415689388</v>
      </c>
      <c r="AW62">
        <v>0.74822826861831182</v>
      </c>
      <c r="AX62">
        <v>0.68628344463683932</v>
      </c>
      <c r="AY62">
        <v>0.67813280990243519</v>
      </c>
    </row>
    <row r="63" spans="1:51">
      <c r="A63" t="s">
        <v>311</v>
      </c>
      <c r="T63">
        <f>IFERROR(VLOOKUP(A63,$U$12:$U$74,1,0),0)</f>
        <v>0</v>
      </c>
      <c r="U63" s="103" t="s">
        <v>266</v>
      </c>
      <c r="V63">
        <v>322</v>
      </c>
      <c r="AB63">
        <v>0</v>
      </c>
      <c r="AC63">
        <v>0</v>
      </c>
      <c r="AD63">
        <v>0</v>
      </c>
      <c r="AE63">
        <v>0</v>
      </c>
      <c r="AF63" t="e">
        <v>#N/A</v>
      </c>
      <c r="AG63" t="e">
        <v>#N/A</v>
      </c>
      <c r="AH63" t="e">
        <v>#N/A</v>
      </c>
      <c r="AI63" t="e">
        <v>#N/A</v>
      </c>
      <c r="AJ63" t="e">
        <v>#N/A</v>
      </c>
      <c r="AK63" t="e">
        <v>#N/A</v>
      </c>
      <c r="AL63" t="e">
        <v>#N/A</v>
      </c>
      <c r="AM63" t="e">
        <v>#N/A</v>
      </c>
      <c r="AN63" t="e">
        <v>#N/A</v>
      </c>
      <c r="AO63" t="e">
        <v>#N/A</v>
      </c>
      <c r="AP63" t="e">
        <v>#N/A</v>
      </c>
      <c r="AQ63" t="e">
        <v>#N/A</v>
      </c>
      <c r="AR63" t="e">
        <v>#N/A</v>
      </c>
      <c r="AS63" t="e">
        <v>#N/A</v>
      </c>
      <c r="AT63" t="e">
        <v>#N/A</v>
      </c>
      <c r="AU63" t="e">
        <v>#N/A</v>
      </c>
      <c r="AV63" t="e">
        <v>#N/A</v>
      </c>
      <c r="AW63" t="e">
        <v>#N/A</v>
      </c>
      <c r="AX63" t="e">
        <v>#N/A</v>
      </c>
      <c r="AY63" t="e">
        <v>#N/A</v>
      </c>
    </row>
    <row r="64" spans="1:51">
      <c r="A64" t="s">
        <v>205</v>
      </c>
      <c r="B64">
        <v>965</v>
      </c>
      <c r="C64">
        <v>965</v>
      </c>
      <c r="D64">
        <v>2.4</v>
      </c>
      <c r="E64">
        <v>25277</v>
      </c>
      <c r="F64">
        <v>0</v>
      </c>
      <c r="G64">
        <v>230</v>
      </c>
      <c r="H64">
        <v>100</v>
      </c>
      <c r="I64">
        <v>65</v>
      </c>
      <c r="J64">
        <v>6.5</v>
      </c>
      <c r="K64">
        <v>39.1</v>
      </c>
      <c r="L64">
        <v>42.7</v>
      </c>
      <c r="M64">
        <v>26.4</v>
      </c>
      <c r="N64">
        <v>38.299999999999997</v>
      </c>
      <c r="T64" t="str">
        <f t="shared" si="0"/>
        <v>Chemawawin Cree Nation</v>
      </c>
      <c r="U64" s="102" t="s">
        <v>269</v>
      </c>
      <c r="V64">
        <v>1106</v>
      </c>
      <c r="W64">
        <v>15017</v>
      </c>
      <c r="X64">
        <v>14393</v>
      </c>
      <c r="Y64">
        <v>15784</v>
      </c>
      <c r="Z64">
        <v>8752</v>
      </c>
      <c r="AA64">
        <v>9760</v>
      </c>
      <c r="AB64">
        <v>415</v>
      </c>
      <c r="AC64">
        <v>520</v>
      </c>
      <c r="AD64">
        <v>95</v>
      </c>
      <c r="AE64">
        <v>20</v>
      </c>
      <c r="AF64">
        <v>0</v>
      </c>
      <c r="AG64">
        <v>0</v>
      </c>
      <c r="AH64">
        <v>0.65211870070846145</v>
      </c>
      <c r="AI64">
        <v>2.2824154524796154</v>
      </c>
      <c r="AJ64">
        <v>0</v>
      </c>
      <c r="AK64">
        <v>0</v>
      </c>
      <c r="AL64">
        <v>1.3042374014169229</v>
      </c>
      <c r="AM64">
        <v>0.65211870070846145</v>
      </c>
      <c r="AN64">
        <v>0.65211870070846145</v>
      </c>
      <c r="AO64">
        <v>0</v>
      </c>
      <c r="AP64">
        <v>0</v>
      </c>
      <c r="AQ64">
        <v>0</v>
      </c>
      <c r="AR64">
        <v>0</v>
      </c>
      <c r="AS64">
        <v>0</v>
      </c>
      <c r="AT64">
        <v>2.2824154524796154</v>
      </c>
      <c r="AU64">
        <v>0.97817805106269218</v>
      </c>
      <c r="AV64">
        <v>0</v>
      </c>
      <c r="AW64">
        <v>0</v>
      </c>
      <c r="AX64">
        <v>0</v>
      </c>
      <c r="AY64">
        <v>3.9127122042507687</v>
      </c>
    </row>
    <row r="65" spans="1:51">
      <c r="A65" t="s">
        <v>312</v>
      </c>
      <c r="B65">
        <v>955</v>
      </c>
      <c r="C65">
        <v>955</v>
      </c>
      <c r="D65">
        <v>1.3</v>
      </c>
      <c r="E65">
        <v>55839</v>
      </c>
      <c r="F65">
        <v>14.3</v>
      </c>
      <c r="G65">
        <v>395</v>
      </c>
      <c r="H65">
        <v>175</v>
      </c>
      <c r="I65">
        <v>65</v>
      </c>
      <c r="J65">
        <v>30.4</v>
      </c>
      <c r="K65">
        <v>69.599999999999994</v>
      </c>
      <c r="L65">
        <v>84.4</v>
      </c>
      <c r="M65">
        <v>73</v>
      </c>
      <c r="N65">
        <v>13.4</v>
      </c>
      <c r="T65">
        <f t="shared" si="0"/>
        <v>0</v>
      </c>
      <c r="U65" s="102" t="s">
        <v>270</v>
      </c>
      <c r="V65">
        <v>557</v>
      </c>
      <c r="W65">
        <v>28951</v>
      </c>
      <c r="X65">
        <v>31632</v>
      </c>
      <c r="Y65">
        <v>25990</v>
      </c>
      <c r="Z65">
        <v>30315</v>
      </c>
      <c r="AA65">
        <v>22208</v>
      </c>
      <c r="AB65">
        <v>240</v>
      </c>
      <c r="AC65">
        <v>660</v>
      </c>
      <c r="AD65">
        <v>215</v>
      </c>
      <c r="AE65">
        <v>30</v>
      </c>
      <c r="AF65">
        <v>0</v>
      </c>
      <c r="AG65">
        <v>0</v>
      </c>
      <c r="AH65">
        <v>0</v>
      </c>
      <c r="AI65">
        <v>0.39790293602550192</v>
      </c>
      <c r="AJ65">
        <v>0</v>
      </c>
      <c r="AK65">
        <v>0.2652686240170013</v>
      </c>
      <c r="AL65">
        <v>1.3263431200850062</v>
      </c>
      <c r="AM65">
        <v>3.8463950482465186</v>
      </c>
      <c r="AN65">
        <v>0</v>
      </c>
      <c r="AO65">
        <v>0.2652686240170013</v>
      </c>
      <c r="AP65">
        <v>0.2652686240170013</v>
      </c>
      <c r="AQ65">
        <v>0.2652686240170013</v>
      </c>
      <c r="AR65">
        <v>0</v>
      </c>
      <c r="AS65">
        <v>0.39790293602550192</v>
      </c>
      <c r="AT65">
        <v>0.92844018405950446</v>
      </c>
      <c r="AU65">
        <v>3.1832234882040154</v>
      </c>
      <c r="AV65">
        <v>0.66317156004250311</v>
      </c>
      <c r="AW65">
        <v>1.4589774320935069</v>
      </c>
      <c r="AX65">
        <v>0.39790293602550192</v>
      </c>
      <c r="AY65">
        <v>1.3263431200850062</v>
      </c>
    </row>
    <row r="66" spans="1:51">
      <c r="A66" t="s">
        <v>710</v>
      </c>
      <c r="B66">
        <v>315</v>
      </c>
      <c r="C66">
        <v>315</v>
      </c>
      <c r="D66">
        <v>1.6</v>
      </c>
      <c r="E66">
        <v>31314</v>
      </c>
      <c r="F66">
        <v>0</v>
      </c>
      <c r="G66">
        <v>115</v>
      </c>
      <c r="H66">
        <v>20</v>
      </c>
      <c r="I66">
        <v>45</v>
      </c>
      <c r="J66">
        <v>0</v>
      </c>
      <c r="K66">
        <v>13</v>
      </c>
      <c r="L66">
        <v>55.3</v>
      </c>
      <c r="M66">
        <v>40.4</v>
      </c>
      <c r="N66">
        <v>26.9</v>
      </c>
      <c r="T66">
        <f t="shared" si="0"/>
        <v>0</v>
      </c>
      <c r="U66" s="102" t="s">
        <v>261</v>
      </c>
      <c r="V66">
        <v>2644</v>
      </c>
      <c r="W66">
        <v>17168</v>
      </c>
      <c r="X66">
        <v>18164</v>
      </c>
      <c r="Y66">
        <v>15902</v>
      </c>
      <c r="Z66">
        <v>11744</v>
      </c>
      <c r="AA66">
        <v>11776</v>
      </c>
      <c r="AB66">
        <v>75</v>
      </c>
      <c r="AC66">
        <v>205</v>
      </c>
      <c r="AD66">
        <v>60</v>
      </c>
      <c r="AE66">
        <v>20</v>
      </c>
      <c r="AF66">
        <v>0</v>
      </c>
      <c r="AG66">
        <v>0</v>
      </c>
      <c r="AH66">
        <v>0</v>
      </c>
      <c r="AI66">
        <v>1.2039114474617751</v>
      </c>
      <c r="AJ66">
        <v>0</v>
      </c>
      <c r="AK66">
        <v>0</v>
      </c>
      <c r="AL66">
        <v>1.8058671711926626</v>
      </c>
      <c r="AM66">
        <v>1.2039114474617751</v>
      </c>
      <c r="AN66">
        <v>0</v>
      </c>
      <c r="AO66">
        <v>0</v>
      </c>
      <c r="AP66">
        <v>0</v>
      </c>
      <c r="AQ66">
        <v>0</v>
      </c>
      <c r="AR66">
        <v>0</v>
      </c>
      <c r="AS66">
        <v>1.2039114474617751</v>
      </c>
      <c r="AT66">
        <v>2.4078228949235503</v>
      </c>
      <c r="AU66">
        <v>1.2039114474617751</v>
      </c>
      <c r="AV66">
        <v>0</v>
      </c>
      <c r="AW66">
        <v>0</v>
      </c>
      <c r="AX66">
        <v>0</v>
      </c>
      <c r="AY66">
        <v>4.8156457898471006</v>
      </c>
    </row>
    <row r="67" spans="1:51">
      <c r="A67" t="s">
        <v>730</v>
      </c>
      <c r="B67">
        <v>955</v>
      </c>
      <c r="C67">
        <v>960</v>
      </c>
      <c r="D67">
        <v>1.3</v>
      </c>
      <c r="E67">
        <v>55839</v>
      </c>
      <c r="F67">
        <v>12.2</v>
      </c>
      <c r="G67">
        <v>395</v>
      </c>
      <c r="H67">
        <v>180</v>
      </c>
      <c r="I67">
        <v>60</v>
      </c>
      <c r="J67">
        <v>30.4</v>
      </c>
      <c r="K67">
        <v>69.599999999999994</v>
      </c>
      <c r="L67">
        <v>84.4</v>
      </c>
      <c r="M67">
        <v>73</v>
      </c>
      <c r="N67">
        <v>13.4</v>
      </c>
      <c r="T67">
        <f t="shared" ref="T67:T90" si="1">IFERROR(VLOOKUP(A67,$U$12:$U$74,1,0),0)</f>
        <v>0</v>
      </c>
      <c r="U67" t="s">
        <v>272</v>
      </c>
      <c r="V67">
        <v>542</v>
      </c>
      <c r="W67">
        <v>28951</v>
      </c>
      <c r="X67">
        <v>31632</v>
      </c>
      <c r="Y67">
        <v>25990</v>
      </c>
      <c r="Z67">
        <v>30315</v>
      </c>
      <c r="AA67">
        <v>22208</v>
      </c>
      <c r="AB67">
        <v>250</v>
      </c>
      <c r="AC67">
        <v>670</v>
      </c>
      <c r="AD67">
        <v>220</v>
      </c>
      <c r="AE67">
        <v>40</v>
      </c>
      <c r="AF67">
        <v>0</v>
      </c>
      <c r="AG67">
        <v>0</v>
      </c>
      <c r="AH67">
        <v>0.26303947591601806</v>
      </c>
      <c r="AI67">
        <v>0.52607895183203612</v>
      </c>
      <c r="AJ67">
        <v>0.26303947591601806</v>
      </c>
      <c r="AK67">
        <v>0.26303947591601806</v>
      </c>
      <c r="AL67">
        <v>1.3151973795800904</v>
      </c>
      <c r="AM67">
        <v>3.814072400782262</v>
      </c>
      <c r="AN67">
        <v>0.26303947591601806</v>
      </c>
      <c r="AO67">
        <v>0.39455921387402709</v>
      </c>
      <c r="AP67">
        <v>0.26303947591601806</v>
      </c>
      <c r="AQ67">
        <v>0.26303947591601806</v>
      </c>
      <c r="AR67">
        <v>0</v>
      </c>
      <c r="AS67">
        <v>0.39455921387402709</v>
      </c>
      <c r="AT67">
        <v>0.92063816570606327</v>
      </c>
      <c r="AU67">
        <v>3.1564737109922167</v>
      </c>
      <c r="AV67">
        <v>0.52607895183203612</v>
      </c>
      <c r="AW67">
        <v>1.5782368554961084</v>
      </c>
      <c r="AX67">
        <v>0.52607895183203612</v>
      </c>
      <c r="AY67">
        <v>1.3151973795800904</v>
      </c>
    </row>
    <row r="68" spans="1:51">
      <c r="A68" t="s">
        <v>674</v>
      </c>
      <c r="B68">
        <v>470</v>
      </c>
      <c r="C68">
        <v>470</v>
      </c>
      <c r="D68">
        <v>0.9</v>
      </c>
      <c r="E68">
        <v>46527</v>
      </c>
      <c r="F68">
        <v>0</v>
      </c>
      <c r="G68">
        <v>195</v>
      </c>
      <c r="H68">
        <v>90</v>
      </c>
      <c r="I68">
        <v>30</v>
      </c>
      <c r="J68">
        <v>89.7</v>
      </c>
      <c r="K68">
        <v>10.3</v>
      </c>
      <c r="L68">
        <v>86.7</v>
      </c>
      <c r="M68">
        <v>83.1</v>
      </c>
      <c r="N68">
        <v>2.8</v>
      </c>
      <c r="T68">
        <f t="shared" si="1"/>
        <v>0</v>
      </c>
      <c r="U68" s="102" t="s">
        <v>273</v>
      </c>
      <c r="V68">
        <v>1857</v>
      </c>
      <c r="W68">
        <v>16626</v>
      </c>
      <c r="X68">
        <v>19133</v>
      </c>
      <c r="Y68">
        <v>13727</v>
      </c>
      <c r="Z68">
        <v>14232</v>
      </c>
      <c r="AA68">
        <v>12306</v>
      </c>
      <c r="AB68">
        <v>55</v>
      </c>
      <c r="AC68">
        <v>350</v>
      </c>
      <c r="AD68">
        <v>140</v>
      </c>
      <c r="AE68">
        <v>55</v>
      </c>
      <c r="AF68">
        <v>4.4086898076065006</v>
      </c>
      <c r="AG68">
        <v>0</v>
      </c>
      <c r="AH68">
        <v>0</v>
      </c>
      <c r="AI68">
        <v>0.88173796152130002</v>
      </c>
      <c r="AJ68">
        <v>1.1021724519016252</v>
      </c>
      <c r="AK68">
        <v>0</v>
      </c>
      <c r="AL68">
        <v>0.88173796152130002</v>
      </c>
      <c r="AM68">
        <v>1.7634759230426</v>
      </c>
      <c r="AN68">
        <v>0</v>
      </c>
      <c r="AO68">
        <v>0.44086898076065001</v>
      </c>
      <c r="AP68">
        <v>0</v>
      </c>
      <c r="AQ68">
        <v>0.44086898076065001</v>
      </c>
      <c r="AR68">
        <v>0</v>
      </c>
      <c r="AS68">
        <v>0</v>
      </c>
      <c r="AT68">
        <v>1.1021724519016252</v>
      </c>
      <c r="AU68">
        <v>0.66130347114097499</v>
      </c>
      <c r="AV68">
        <v>0.66130347114097499</v>
      </c>
      <c r="AW68">
        <v>1.543041432662275</v>
      </c>
      <c r="AX68">
        <v>1.32260694228195</v>
      </c>
      <c r="AY68">
        <v>0.44086898076065001</v>
      </c>
    </row>
    <row r="69" spans="1:51">
      <c r="A69" t="s">
        <v>313</v>
      </c>
      <c r="T69">
        <f t="shared" ref="T69:T74" si="2">IFERROR(VLOOKUP(A69,$U$12:$U$74,1,0),0)</f>
        <v>0</v>
      </c>
      <c r="U69" s="102" t="s">
        <v>275</v>
      </c>
      <c r="V69">
        <v>467</v>
      </c>
      <c r="AB69">
        <v>0</v>
      </c>
      <c r="AC69">
        <v>0</v>
      </c>
      <c r="AD69">
        <v>0</v>
      </c>
      <c r="AE69">
        <v>0</v>
      </c>
      <c r="AF69" t="e">
        <v>#N/A</v>
      </c>
      <c r="AG69" t="e">
        <v>#N/A</v>
      </c>
      <c r="AH69" t="e">
        <v>#N/A</v>
      </c>
      <c r="AI69" t="e">
        <v>#N/A</v>
      </c>
      <c r="AJ69" t="e">
        <v>#N/A</v>
      </c>
      <c r="AK69" t="e">
        <v>#N/A</v>
      </c>
      <c r="AL69" t="e">
        <v>#N/A</v>
      </c>
      <c r="AM69" t="e">
        <v>#N/A</v>
      </c>
      <c r="AN69" t="e">
        <v>#N/A</v>
      </c>
      <c r="AO69" t="e">
        <v>#N/A</v>
      </c>
      <c r="AP69" t="e">
        <v>#N/A</v>
      </c>
      <c r="AQ69" t="e">
        <v>#N/A</v>
      </c>
      <c r="AR69" t="e">
        <v>#N/A</v>
      </c>
      <c r="AS69" t="e">
        <v>#N/A</v>
      </c>
      <c r="AT69" t="e">
        <v>#N/A</v>
      </c>
      <c r="AU69" t="e">
        <v>#N/A</v>
      </c>
      <c r="AV69" t="e">
        <v>#N/A</v>
      </c>
      <c r="AW69" t="e">
        <v>#N/A</v>
      </c>
      <c r="AX69" t="e">
        <v>#N/A</v>
      </c>
      <c r="AY69" t="e">
        <v>#N/A</v>
      </c>
    </row>
    <row r="70" spans="1:51">
      <c r="A70" t="s">
        <v>688</v>
      </c>
      <c r="B70">
        <v>1300</v>
      </c>
      <c r="C70">
        <v>1300</v>
      </c>
      <c r="D70">
        <v>1.1000000000000001</v>
      </c>
      <c r="E70">
        <v>48124</v>
      </c>
      <c r="F70">
        <v>12.3</v>
      </c>
      <c r="G70">
        <v>530</v>
      </c>
      <c r="H70">
        <v>220</v>
      </c>
      <c r="I70">
        <v>50</v>
      </c>
      <c r="J70">
        <v>85.8</v>
      </c>
      <c r="K70">
        <v>15.1</v>
      </c>
      <c r="L70">
        <v>62.4</v>
      </c>
      <c r="M70">
        <v>56.8</v>
      </c>
      <c r="N70">
        <v>8.3000000000000007</v>
      </c>
      <c r="T70">
        <f t="shared" si="2"/>
        <v>0</v>
      </c>
      <c r="U70" s="102" t="s">
        <v>276</v>
      </c>
      <c r="V70">
        <v>133</v>
      </c>
      <c r="W70">
        <v>22448</v>
      </c>
      <c r="X70">
        <v>26102</v>
      </c>
      <c r="Y70">
        <v>17355</v>
      </c>
      <c r="Z70">
        <v>22325</v>
      </c>
      <c r="AA70">
        <v>13848</v>
      </c>
      <c r="AB70">
        <v>225</v>
      </c>
      <c r="AC70">
        <v>835</v>
      </c>
      <c r="AD70">
        <v>340</v>
      </c>
      <c r="AE70">
        <v>215</v>
      </c>
      <c r="AF70">
        <v>4.1186444255271244</v>
      </c>
      <c r="AG70">
        <v>0</v>
      </c>
      <c r="AH70">
        <v>0.58837777507530353</v>
      </c>
      <c r="AI70">
        <v>3.7656177604819425</v>
      </c>
      <c r="AJ70">
        <v>0.35302666504518215</v>
      </c>
      <c r="AK70">
        <v>0</v>
      </c>
      <c r="AL70">
        <v>0.70605333009036431</v>
      </c>
      <c r="AM70">
        <v>0.58837777507530353</v>
      </c>
      <c r="AN70">
        <v>0</v>
      </c>
      <c r="AO70">
        <v>0.23535111003012141</v>
      </c>
      <c r="AP70">
        <v>0</v>
      </c>
      <c r="AQ70">
        <v>0</v>
      </c>
      <c r="AR70">
        <v>0</v>
      </c>
      <c r="AS70">
        <v>0.23535111003012141</v>
      </c>
      <c r="AT70">
        <v>1.0590799951355463</v>
      </c>
      <c r="AU70">
        <v>1.5297822151957892</v>
      </c>
      <c r="AV70">
        <v>0</v>
      </c>
      <c r="AW70">
        <v>1.0590799951355463</v>
      </c>
      <c r="AX70">
        <v>0.47070222006024282</v>
      </c>
      <c r="AY70">
        <v>0.58837777507530353</v>
      </c>
    </row>
    <row r="71" spans="1:51">
      <c r="A71" t="s">
        <v>315</v>
      </c>
      <c r="B71">
        <v>400</v>
      </c>
      <c r="T71">
        <f t="shared" si="2"/>
        <v>0</v>
      </c>
      <c r="U71" s="102" t="s">
        <v>279</v>
      </c>
      <c r="V71">
        <v>1469</v>
      </c>
      <c r="AB71">
        <v>0</v>
      </c>
      <c r="AC71">
        <v>0</v>
      </c>
      <c r="AD71">
        <v>0</v>
      </c>
      <c r="AE71">
        <v>0</v>
      </c>
      <c r="AF71" t="e">
        <v>#N/A</v>
      </c>
      <c r="AG71" t="e">
        <v>#N/A</v>
      </c>
      <c r="AH71" t="e">
        <v>#N/A</v>
      </c>
      <c r="AI71" t="e">
        <v>#N/A</v>
      </c>
      <c r="AJ71" t="e">
        <v>#N/A</v>
      </c>
      <c r="AK71" t="e">
        <v>#N/A</v>
      </c>
      <c r="AL71" t="e">
        <v>#N/A</v>
      </c>
      <c r="AM71" t="e">
        <v>#N/A</v>
      </c>
      <c r="AN71" t="e">
        <v>#N/A</v>
      </c>
      <c r="AO71" t="e">
        <v>#N/A</v>
      </c>
      <c r="AP71" t="e">
        <v>#N/A</v>
      </c>
      <c r="AQ71" t="e">
        <v>#N/A</v>
      </c>
      <c r="AR71" t="e">
        <v>#N/A</v>
      </c>
      <c r="AS71" t="e">
        <v>#N/A</v>
      </c>
      <c r="AT71" t="e">
        <v>#N/A</v>
      </c>
      <c r="AU71" t="e">
        <v>#N/A</v>
      </c>
      <c r="AV71" t="e">
        <v>#N/A</v>
      </c>
      <c r="AW71" t="e">
        <v>#N/A</v>
      </c>
      <c r="AX71" t="e">
        <v>#N/A</v>
      </c>
      <c r="AY71" t="e">
        <v>#N/A</v>
      </c>
    </row>
    <row r="72" spans="1:51">
      <c r="A72" t="s">
        <v>636</v>
      </c>
      <c r="B72">
        <v>3780</v>
      </c>
      <c r="C72">
        <v>3720</v>
      </c>
      <c r="D72">
        <v>1.1000000000000001</v>
      </c>
      <c r="E72">
        <v>62777</v>
      </c>
      <c r="F72">
        <v>6.2</v>
      </c>
      <c r="G72">
        <v>1335</v>
      </c>
      <c r="H72">
        <v>440</v>
      </c>
      <c r="I72">
        <v>140</v>
      </c>
      <c r="J72">
        <v>64.8</v>
      </c>
      <c r="K72">
        <v>35.200000000000003</v>
      </c>
      <c r="L72">
        <v>76.900000000000006</v>
      </c>
      <c r="M72">
        <v>74.5</v>
      </c>
      <c r="N72">
        <v>3.2</v>
      </c>
      <c r="T72">
        <f t="shared" si="2"/>
        <v>0</v>
      </c>
      <c r="U72" s="103" t="s">
        <v>551</v>
      </c>
      <c r="V72">
        <v>342</v>
      </c>
      <c r="W72">
        <v>29832</v>
      </c>
      <c r="X72">
        <v>36004</v>
      </c>
      <c r="Y72">
        <v>22380</v>
      </c>
      <c r="Z72">
        <v>35213</v>
      </c>
      <c r="AA72">
        <v>18053</v>
      </c>
      <c r="AB72">
        <v>920</v>
      </c>
      <c r="AC72">
        <v>2630</v>
      </c>
      <c r="AD72">
        <v>840</v>
      </c>
      <c r="AE72">
        <v>245</v>
      </c>
      <c r="AF72">
        <v>1.5686499953260484</v>
      </c>
      <c r="AG72">
        <v>7.1302272514820381E-2</v>
      </c>
      <c r="AH72">
        <v>0.10695340877223058</v>
      </c>
      <c r="AI72">
        <v>0.67737158889079363</v>
      </c>
      <c r="AJ72">
        <v>1.2121386327519468</v>
      </c>
      <c r="AK72">
        <v>0.53476704386115292</v>
      </c>
      <c r="AL72">
        <v>1.2121386327519468</v>
      </c>
      <c r="AM72">
        <v>0.64172045263338351</v>
      </c>
      <c r="AN72">
        <v>0.24955795380187137</v>
      </c>
      <c r="AO72">
        <v>0.21390681754446117</v>
      </c>
      <c r="AP72">
        <v>0.17825568128705099</v>
      </c>
      <c r="AQ72">
        <v>0.32086022631669175</v>
      </c>
      <c r="AR72">
        <v>0</v>
      </c>
      <c r="AS72">
        <v>0.35651136257410199</v>
      </c>
      <c r="AT72">
        <v>0.96258067895007526</v>
      </c>
      <c r="AU72">
        <v>1.8182079491279197</v>
      </c>
      <c r="AV72">
        <v>0.21390681754446117</v>
      </c>
      <c r="AW72">
        <v>0.74867386140561409</v>
      </c>
      <c r="AX72">
        <v>0.42781363508892234</v>
      </c>
      <c r="AY72">
        <v>4.1355318058595829</v>
      </c>
    </row>
    <row r="73" spans="1:51">
      <c r="A73" t="s">
        <v>314</v>
      </c>
      <c r="T73">
        <f t="shared" si="2"/>
        <v>0</v>
      </c>
      <c r="U73" s="102" t="s">
        <v>277</v>
      </c>
      <c r="V73">
        <v>1243</v>
      </c>
      <c r="AB73">
        <v>0</v>
      </c>
      <c r="AC73">
        <v>0</v>
      </c>
      <c r="AD73">
        <v>0</v>
      </c>
      <c r="AE73">
        <v>0</v>
      </c>
      <c r="AF73" t="e">
        <v>#N/A</v>
      </c>
      <c r="AG73" t="e">
        <v>#N/A</v>
      </c>
      <c r="AH73" t="e">
        <v>#N/A</v>
      </c>
      <c r="AI73" t="e">
        <v>#N/A</v>
      </c>
      <c r="AJ73" t="e">
        <v>#N/A</v>
      </c>
      <c r="AK73" t="e">
        <v>#N/A</v>
      </c>
      <c r="AL73" t="e">
        <v>#N/A</v>
      </c>
      <c r="AM73" t="e">
        <v>#N/A</v>
      </c>
      <c r="AN73" t="e">
        <v>#N/A</v>
      </c>
      <c r="AO73" t="e">
        <v>#N/A</v>
      </c>
      <c r="AP73" t="e">
        <v>#N/A</v>
      </c>
      <c r="AQ73" t="e">
        <v>#N/A</v>
      </c>
      <c r="AR73" t="e">
        <v>#N/A</v>
      </c>
      <c r="AS73" t="e">
        <v>#N/A</v>
      </c>
      <c r="AT73" t="e">
        <v>#N/A</v>
      </c>
      <c r="AU73" t="e">
        <v>#N/A</v>
      </c>
      <c r="AV73" t="e">
        <v>#N/A</v>
      </c>
      <c r="AW73" t="e">
        <v>#N/A</v>
      </c>
      <c r="AX73" t="e">
        <v>#N/A</v>
      </c>
      <c r="AY73" t="e">
        <v>#N/A</v>
      </c>
    </row>
    <row r="74" spans="1:51">
      <c r="A74" t="s">
        <v>316</v>
      </c>
      <c r="T74">
        <f t="shared" si="2"/>
        <v>0</v>
      </c>
      <c r="U74" s="103" t="s">
        <v>591</v>
      </c>
      <c r="V74">
        <v>455</v>
      </c>
      <c r="AB74">
        <v>0</v>
      </c>
      <c r="AC74">
        <v>0</v>
      </c>
      <c r="AD74">
        <v>0</v>
      </c>
      <c r="AE74">
        <v>0</v>
      </c>
      <c r="AF74" t="e">
        <v>#N/A</v>
      </c>
      <c r="AG74" t="e">
        <v>#N/A</v>
      </c>
      <c r="AH74" t="e">
        <v>#N/A</v>
      </c>
      <c r="AI74" t="e">
        <v>#N/A</v>
      </c>
      <c r="AJ74" t="e">
        <v>#N/A</v>
      </c>
      <c r="AK74" t="e">
        <v>#N/A</v>
      </c>
      <c r="AL74" t="e">
        <v>#N/A</v>
      </c>
      <c r="AM74" t="e">
        <v>#N/A</v>
      </c>
      <c r="AN74" t="e">
        <v>#N/A</v>
      </c>
      <c r="AO74" t="e">
        <v>#N/A</v>
      </c>
      <c r="AP74" t="e">
        <v>#N/A</v>
      </c>
      <c r="AQ74" t="e">
        <v>#N/A</v>
      </c>
      <c r="AR74" t="e">
        <v>#N/A</v>
      </c>
      <c r="AS74" t="e">
        <v>#N/A</v>
      </c>
      <c r="AT74" t="e">
        <v>#N/A</v>
      </c>
      <c r="AU74" t="e">
        <v>#N/A</v>
      </c>
      <c r="AV74" t="e">
        <v>#N/A</v>
      </c>
      <c r="AW74" t="e">
        <v>#N/A</v>
      </c>
      <c r="AX74" t="e">
        <v>#N/A</v>
      </c>
      <c r="AY74" t="e">
        <v>#N/A</v>
      </c>
    </row>
    <row r="75" spans="1:51">
      <c r="A75" t="s">
        <v>206</v>
      </c>
      <c r="B75">
        <v>161</v>
      </c>
      <c r="T75">
        <f t="shared" si="1"/>
        <v>0</v>
      </c>
      <c r="AB75">
        <v>0</v>
      </c>
      <c r="AC75">
        <v>0</v>
      </c>
      <c r="AD75">
        <v>0</v>
      </c>
      <c r="AE75">
        <v>0</v>
      </c>
      <c r="AF75" t="e">
        <v>#N/A</v>
      </c>
      <c r="AG75" t="e">
        <v>#N/A</v>
      </c>
      <c r="AH75" t="e">
        <v>#N/A</v>
      </c>
      <c r="AI75" t="e">
        <v>#N/A</v>
      </c>
      <c r="AJ75" t="e">
        <v>#N/A</v>
      </c>
      <c r="AK75" t="e">
        <v>#N/A</v>
      </c>
      <c r="AL75" t="e">
        <v>#N/A</v>
      </c>
      <c r="AM75" t="e">
        <v>#N/A</v>
      </c>
      <c r="AN75" t="e">
        <v>#N/A</v>
      </c>
      <c r="AO75" t="e">
        <v>#N/A</v>
      </c>
      <c r="AP75" t="e">
        <v>#N/A</v>
      </c>
      <c r="AQ75" t="e">
        <v>#N/A</v>
      </c>
      <c r="AR75" t="e">
        <v>#N/A</v>
      </c>
      <c r="AS75" t="e">
        <v>#N/A</v>
      </c>
      <c r="AT75" t="e">
        <v>#N/A</v>
      </c>
      <c r="AU75" t="e">
        <v>#N/A</v>
      </c>
      <c r="AV75" t="e">
        <v>#N/A</v>
      </c>
      <c r="AW75" t="e">
        <v>#N/A</v>
      </c>
      <c r="AX75" t="e">
        <v>#N/A</v>
      </c>
      <c r="AY75" t="e">
        <v>#N/A</v>
      </c>
    </row>
    <row r="76" spans="1:51">
      <c r="A76" t="s">
        <v>317</v>
      </c>
      <c r="B76">
        <v>481</v>
      </c>
      <c r="T76">
        <f t="shared" si="1"/>
        <v>0</v>
      </c>
      <c r="W76">
        <v>15447</v>
      </c>
      <c r="X76">
        <v>14102</v>
      </c>
      <c r="Y76">
        <v>17087</v>
      </c>
      <c r="Z76">
        <v>4912</v>
      </c>
      <c r="AA76">
        <v>6512</v>
      </c>
      <c r="AB76">
        <v>565</v>
      </c>
      <c r="AC76">
        <v>865</v>
      </c>
      <c r="AD76">
        <v>165</v>
      </c>
      <c r="AE76">
        <v>65</v>
      </c>
      <c r="AF76" t="e">
        <v>#N/A</v>
      </c>
      <c r="AG76" t="e">
        <v>#N/A</v>
      </c>
      <c r="AH76" t="e">
        <v>#N/A</v>
      </c>
      <c r="AI76" t="e">
        <v>#N/A</v>
      </c>
      <c r="AJ76" t="e">
        <v>#N/A</v>
      </c>
      <c r="AK76" t="e">
        <v>#N/A</v>
      </c>
      <c r="AL76" t="e">
        <v>#N/A</v>
      </c>
      <c r="AM76" t="e">
        <v>#N/A</v>
      </c>
      <c r="AN76" t="e">
        <v>#N/A</v>
      </c>
      <c r="AO76" t="e">
        <v>#N/A</v>
      </c>
      <c r="AP76" t="e">
        <v>#N/A</v>
      </c>
      <c r="AQ76" t="e">
        <v>#N/A</v>
      </c>
      <c r="AR76" t="e">
        <v>#N/A</v>
      </c>
      <c r="AS76" t="e">
        <v>#N/A</v>
      </c>
      <c r="AT76" t="e">
        <v>#N/A</v>
      </c>
      <c r="AU76" t="e">
        <v>#N/A</v>
      </c>
      <c r="AV76" t="e">
        <v>#N/A</v>
      </c>
      <c r="AW76" t="e">
        <v>#N/A</v>
      </c>
      <c r="AX76" t="e">
        <v>#N/A</v>
      </c>
      <c r="AY76" t="e">
        <v>#N/A</v>
      </c>
    </row>
    <row r="77" spans="1:51">
      <c r="A77" t="s">
        <v>207</v>
      </c>
      <c r="B77">
        <f>SUM(B78:B80)</f>
        <v>2540</v>
      </c>
      <c r="C77">
        <f>SUM(C78:C80)</f>
        <v>2550</v>
      </c>
      <c r="D77" s="116">
        <f>(D78*$B78+D79*$B79+D80*$B80)/$B77</f>
        <v>2.4047244094488187</v>
      </c>
      <c r="E77" s="117">
        <f>(E78*$B78+E79*$B79+E80*$B80)/$B77</f>
        <v>24456.078740157482</v>
      </c>
      <c r="F77" s="116">
        <f>(F78*$B78+F79*$B79+F80*$B80)/$B77</f>
        <v>0</v>
      </c>
      <c r="G77">
        <f>SUM(G78:G80)</f>
        <v>525</v>
      </c>
      <c r="H77">
        <f>SUM(H78:H80)</f>
        <v>145</v>
      </c>
      <c r="I77">
        <f>SUM(I78:I80)</f>
        <v>240</v>
      </c>
      <c r="J77" s="116">
        <f>(J78*$B78+J79*$B79+J80*$B80)/$B77</f>
        <v>4.8637795275590552</v>
      </c>
      <c r="K77" s="116">
        <f>(K78*$B78+K79*$B79+K80*$B80)/$B77</f>
        <v>7.7708661417322835</v>
      </c>
      <c r="L77" s="116">
        <f>(L78*$B78+L79*$B79+L80*$B80)/$B77</f>
        <v>46.714566929133859</v>
      </c>
      <c r="M77" s="116">
        <f>(M78*$B78+M79*$B79+M80*$B80)/$B77</f>
        <v>31.30236220472441</v>
      </c>
      <c r="N77" s="116">
        <f>(N78*$B78+N79*$B79+N80*$B80)/$B77</f>
        <v>33.018110236220473</v>
      </c>
      <c r="T77" t="str">
        <f t="shared" si="1"/>
        <v>Cross Lake First Nation</v>
      </c>
      <c r="W77">
        <v>14315.228346456694</v>
      </c>
      <c r="X77">
        <v>13254.322834645669</v>
      </c>
      <c r="Y77">
        <v>15548.181102362205</v>
      </c>
      <c r="Z77">
        <v>5518.2992125984256</v>
      </c>
      <c r="AA77">
        <v>6651.212598425197</v>
      </c>
      <c r="AB77">
        <v>1015</v>
      </c>
      <c r="AC77">
        <v>1425</v>
      </c>
      <c r="AD77">
        <v>255</v>
      </c>
      <c r="AE77">
        <v>105</v>
      </c>
      <c r="AF77">
        <v>0.22199785556032731</v>
      </c>
      <c r="AG77">
        <v>0</v>
      </c>
      <c r="AH77">
        <v>0.66599356668098186</v>
      </c>
      <c r="AI77">
        <v>1.3319871333619637</v>
      </c>
      <c r="AJ77">
        <v>0</v>
      </c>
      <c r="AK77">
        <v>0.44399571112065461</v>
      </c>
      <c r="AL77">
        <v>0.99899035002147285</v>
      </c>
      <c r="AM77">
        <v>0.22199785556032731</v>
      </c>
      <c r="AN77">
        <v>0</v>
      </c>
      <c r="AO77">
        <v>0</v>
      </c>
      <c r="AP77">
        <v>0</v>
      </c>
      <c r="AQ77">
        <v>0</v>
      </c>
      <c r="AR77">
        <v>0</v>
      </c>
      <c r="AS77">
        <v>0</v>
      </c>
      <c r="AT77">
        <v>3.2189689056247457</v>
      </c>
      <c r="AU77">
        <v>2.1089796278231092</v>
      </c>
      <c r="AV77">
        <v>0</v>
      </c>
      <c r="AW77">
        <v>0.66599356668098186</v>
      </c>
      <c r="AX77">
        <v>0.22199785556032731</v>
      </c>
      <c r="AY77">
        <v>3.2189689056247457</v>
      </c>
    </row>
    <row r="78" spans="1:51">
      <c r="A78" t="s">
        <v>836</v>
      </c>
      <c r="B78">
        <v>1490</v>
      </c>
      <c r="C78">
        <v>1490</v>
      </c>
      <c r="D78">
        <v>2.2000000000000002</v>
      </c>
      <c r="E78">
        <v>24926</v>
      </c>
      <c r="F78">
        <v>0</v>
      </c>
      <c r="G78">
        <v>325</v>
      </c>
      <c r="H78">
        <v>100</v>
      </c>
      <c r="I78">
        <v>155</v>
      </c>
      <c r="J78">
        <v>4.5999999999999996</v>
      </c>
      <c r="K78">
        <v>6.2</v>
      </c>
      <c r="L78">
        <v>46.5</v>
      </c>
      <c r="M78">
        <v>29.7</v>
      </c>
      <c r="N78">
        <v>34.9</v>
      </c>
      <c r="T78">
        <f t="shared" si="1"/>
        <v>0</v>
      </c>
      <c r="W78">
        <v>15447</v>
      </c>
      <c r="X78">
        <v>14102</v>
      </c>
      <c r="Y78">
        <v>17087</v>
      </c>
      <c r="Z78">
        <v>4912</v>
      </c>
      <c r="AA78">
        <v>6512</v>
      </c>
      <c r="AB78">
        <v>565</v>
      </c>
      <c r="AC78">
        <v>865</v>
      </c>
      <c r="AD78">
        <v>165</v>
      </c>
      <c r="AE78">
        <v>65</v>
      </c>
      <c r="AF78" t="e">
        <v>#N/A</v>
      </c>
      <c r="AG78" t="e">
        <v>#N/A</v>
      </c>
      <c r="AH78" t="e">
        <v>#N/A</v>
      </c>
      <c r="AI78" t="e">
        <v>#N/A</v>
      </c>
      <c r="AJ78" t="e">
        <v>#N/A</v>
      </c>
      <c r="AK78" t="e">
        <v>#N/A</v>
      </c>
      <c r="AL78" t="e">
        <v>#N/A</v>
      </c>
      <c r="AM78" t="e">
        <v>#N/A</v>
      </c>
      <c r="AN78" t="e">
        <v>#N/A</v>
      </c>
      <c r="AO78" t="e">
        <v>#N/A</v>
      </c>
      <c r="AP78" t="e">
        <v>#N/A</v>
      </c>
      <c r="AQ78" t="e">
        <v>#N/A</v>
      </c>
      <c r="AR78" t="e">
        <v>#N/A</v>
      </c>
      <c r="AS78" t="e">
        <v>#N/A</v>
      </c>
      <c r="AT78" t="e">
        <v>#N/A</v>
      </c>
      <c r="AU78" t="e">
        <v>#N/A</v>
      </c>
      <c r="AV78" t="e">
        <v>#N/A</v>
      </c>
      <c r="AW78" t="e">
        <v>#N/A</v>
      </c>
      <c r="AX78" t="e">
        <v>#N/A</v>
      </c>
      <c r="AY78" t="e">
        <v>#N/A</v>
      </c>
    </row>
    <row r="79" spans="1:51">
      <c r="A79" t="s">
        <v>836</v>
      </c>
      <c r="B79">
        <v>500</v>
      </c>
      <c r="C79">
        <v>505</v>
      </c>
      <c r="D79">
        <v>2.8</v>
      </c>
      <c r="E79">
        <v>19736</v>
      </c>
      <c r="F79">
        <v>0</v>
      </c>
      <c r="G79">
        <v>100</v>
      </c>
      <c r="H79">
        <v>25</v>
      </c>
      <c r="I79">
        <v>35</v>
      </c>
      <c r="J79">
        <v>0</v>
      </c>
      <c r="K79">
        <v>10</v>
      </c>
      <c r="L79">
        <v>41.1</v>
      </c>
      <c r="M79">
        <v>28.6</v>
      </c>
      <c r="N79">
        <v>30.4</v>
      </c>
      <c r="T79">
        <f t="shared" si="1"/>
        <v>0</v>
      </c>
      <c r="W79">
        <v>12210</v>
      </c>
      <c r="X79">
        <v>10535</v>
      </c>
      <c r="Y79">
        <v>13936</v>
      </c>
      <c r="Z79">
        <v>3680</v>
      </c>
      <c r="AA79">
        <v>6480</v>
      </c>
      <c r="AB79">
        <v>210</v>
      </c>
      <c r="AC79">
        <v>255</v>
      </c>
      <c r="AD79">
        <v>30</v>
      </c>
      <c r="AE79">
        <v>20</v>
      </c>
      <c r="AF79" t="e">
        <v>#N/A</v>
      </c>
      <c r="AG79" t="e">
        <v>#N/A</v>
      </c>
      <c r="AH79" t="e">
        <v>#N/A</v>
      </c>
      <c r="AI79" t="e">
        <v>#N/A</v>
      </c>
      <c r="AJ79" t="e">
        <v>#N/A</v>
      </c>
      <c r="AK79" t="e">
        <v>#N/A</v>
      </c>
      <c r="AL79" t="e">
        <v>#N/A</v>
      </c>
      <c r="AM79" t="e">
        <v>#N/A</v>
      </c>
      <c r="AN79" t="e">
        <v>#N/A</v>
      </c>
      <c r="AO79" t="e">
        <v>#N/A</v>
      </c>
      <c r="AP79" t="e">
        <v>#N/A</v>
      </c>
      <c r="AQ79" t="e">
        <v>#N/A</v>
      </c>
      <c r="AR79" t="e">
        <v>#N/A</v>
      </c>
      <c r="AS79" t="e">
        <v>#N/A</v>
      </c>
      <c r="AT79" t="e">
        <v>#N/A</v>
      </c>
      <c r="AU79" t="e">
        <v>#N/A</v>
      </c>
      <c r="AV79" t="e">
        <v>#N/A</v>
      </c>
      <c r="AW79" t="e">
        <v>#N/A</v>
      </c>
      <c r="AX79" t="e">
        <v>#N/A</v>
      </c>
      <c r="AY79" t="e">
        <v>#N/A</v>
      </c>
    </row>
    <row r="80" spans="1:51">
      <c r="A80" t="s">
        <v>836</v>
      </c>
      <c r="B80">
        <v>550</v>
      </c>
      <c r="C80">
        <v>555</v>
      </c>
      <c r="D80">
        <v>2.6</v>
      </c>
      <c r="E80">
        <v>27474</v>
      </c>
      <c r="F80">
        <v>0</v>
      </c>
      <c r="G80">
        <v>100</v>
      </c>
      <c r="H80">
        <v>20</v>
      </c>
      <c r="I80">
        <v>50</v>
      </c>
      <c r="J80">
        <v>10</v>
      </c>
      <c r="K80">
        <v>10</v>
      </c>
      <c r="L80">
        <v>52.4</v>
      </c>
      <c r="M80">
        <v>38.1</v>
      </c>
      <c r="N80">
        <v>30.3</v>
      </c>
      <c r="T80">
        <f t="shared" si="1"/>
        <v>0</v>
      </c>
      <c r="W80">
        <v>13163</v>
      </c>
      <c r="X80">
        <v>13430</v>
      </c>
      <c r="Y80">
        <v>12845</v>
      </c>
      <c r="Z80">
        <v>8832</v>
      </c>
      <c r="AA80">
        <v>7184</v>
      </c>
      <c r="AB80">
        <v>240</v>
      </c>
      <c r="AC80">
        <v>305</v>
      </c>
      <c r="AD80">
        <v>60</v>
      </c>
      <c r="AE80">
        <v>20</v>
      </c>
      <c r="AF80" t="e">
        <v>#N/A</v>
      </c>
      <c r="AG80" t="e">
        <v>#N/A</v>
      </c>
      <c r="AH80" t="e">
        <v>#N/A</v>
      </c>
      <c r="AI80" t="e">
        <v>#N/A</v>
      </c>
      <c r="AJ80" t="e">
        <v>#N/A</v>
      </c>
      <c r="AK80" t="e">
        <v>#N/A</v>
      </c>
      <c r="AL80" t="e">
        <v>#N/A</v>
      </c>
      <c r="AM80" t="e">
        <v>#N/A</v>
      </c>
      <c r="AN80" t="e">
        <v>#N/A</v>
      </c>
      <c r="AO80" t="e">
        <v>#N/A</v>
      </c>
      <c r="AP80" t="e">
        <v>#N/A</v>
      </c>
      <c r="AQ80" t="e">
        <v>#N/A</v>
      </c>
      <c r="AR80" t="e">
        <v>#N/A</v>
      </c>
      <c r="AS80" t="e">
        <v>#N/A</v>
      </c>
      <c r="AT80" t="e">
        <v>#N/A</v>
      </c>
      <c r="AU80" t="e">
        <v>#N/A</v>
      </c>
      <c r="AV80" t="e">
        <v>#N/A</v>
      </c>
      <c r="AW80" t="e">
        <v>#N/A</v>
      </c>
      <c r="AX80" t="e">
        <v>#N/A</v>
      </c>
      <c r="AY80" t="e">
        <v>#N/A</v>
      </c>
    </row>
    <row r="81" spans="1:51">
      <c r="A81" t="s">
        <v>318</v>
      </c>
      <c r="B81">
        <v>410</v>
      </c>
      <c r="C81">
        <v>410</v>
      </c>
      <c r="D81">
        <v>0.6</v>
      </c>
      <c r="E81">
        <v>52939</v>
      </c>
      <c r="F81">
        <v>0</v>
      </c>
      <c r="G81">
        <v>215</v>
      </c>
      <c r="H81">
        <v>75</v>
      </c>
      <c r="I81">
        <v>15</v>
      </c>
      <c r="J81">
        <v>69.8</v>
      </c>
      <c r="K81">
        <v>30.2</v>
      </c>
      <c r="L81">
        <v>52.7</v>
      </c>
      <c r="M81">
        <v>52.7</v>
      </c>
      <c r="N81">
        <v>0</v>
      </c>
      <c r="T81">
        <f t="shared" si="1"/>
        <v>0</v>
      </c>
      <c r="W81">
        <v>23083</v>
      </c>
      <c r="X81">
        <v>30518</v>
      </c>
      <c r="Y81">
        <v>16774</v>
      </c>
      <c r="Z81">
        <v>23644</v>
      </c>
      <c r="AA81">
        <v>12717</v>
      </c>
      <c r="AB81">
        <v>40</v>
      </c>
      <c r="AC81">
        <v>250</v>
      </c>
      <c r="AD81">
        <v>115</v>
      </c>
      <c r="AE81">
        <v>120</v>
      </c>
      <c r="AF81">
        <v>4.4143419740265086</v>
      </c>
      <c r="AG81">
        <v>0</v>
      </c>
      <c r="AH81">
        <v>0</v>
      </c>
      <c r="AI81">
        <v>0</v>
      </c>
      <c r="AJ81">
        <v>2.0065190791029583</v>
      </c>
      <c r="AK81">
        <v>0.80260763164118332</v>
      </c>
      <c r="AL81">
        <v>2.0065190791029583</v>
      </c>
      <c r="AM81">
        <v>0</v>
      </c>
      <c r="AN81">
        <v>0</v>
      </c>
      <c r="AO81">
        <v>0</v>
      </c>
      <c r="AP81">
        <v>0</v>
      </c>
      <c r="AQ81">
        <v>1.2039114474617751</v>
      </c>
      <c r="AR81">
        <v>0</v>
      </c>
      <c r="AS81">
        <v>0.80260763164118332</v>
      </c>
      <c r="AT81">
        <v>1.2039114474617751</v>
      </c>
      <c r="AU81">
        <v>1.2039114474617751</v>
      </c>
      <c r="AV81">
        <v>0</v>
      </c>
      <c r="AW81">
        <v>0</v>
      </c>
      <c r="AX81">
        <v>0.80260763164118332</v>
      </c>
      <c r="AY81">
        <v>0.80260763164118332</v>
      </c>
    </row>
    <row r="82" spans="1:51">
      <c r="A82" t="s">
        <v>319</v>
      </c>
      <c r="T82">
        <f t="shared" si="1"/>
        <v>0</v>
      </c>
      <c r="AB82">
        <v>0</v>
      </c>
      <c r="AC82">
        <v>0</v>
      </c>
      <c r="AD82">
        <v>0</v>
      </c>
      <c r="AE82">
        <v>0</v>
      </c>
      <c r="AF82" t="e">
        <v>#N/A</v>
      </c>
      <c r="AG82" t="e">
        <v>#N/A</v>
      </c>
      <c r="AH82" t="e">
        <v>#N/A</v>
      </c>
      <c r="AI82" t="e">
        <v>#N/A</v>
      </c>
      <c r="AJ82" t="e">
        <v>#N/A</v>
      </c>
      <c r="AK82" t="e">
        <v>#N/A</v>
      </c>
      <c r="AL82" t="e">
        <v>#N/A</v>
      </c>
      <c r="AM82" t="e">
        <v>#N/A</v>
      </c>
      <c r="AN82" t="e">
        <v>#N/A</v>
      </c>
      <c r="AO82" t="e">
        <v>#N/A</v>
      </c>
      <c r="AP82" t="e">
        <v>#N/A</v>
      </c>
      <c r="AQ82" t="e">
        <v>#N/A</v>
      </c>
      <c r="AR82" t="e">
        <v>#N/A</v>
      </c>
      <c r="AS82" t="e">
        <v>#N/A</v>
      </c>
      <c r="AT82" t="e">
        <v>#N/A</v>
      </c>
      <c r="AU82" t="e">
        <v>#N/A</v>
      </c>
      <c r="AV82" t="e">
        <v>#N/A</v>
      </c>
      <c r="AW82" t="e">
        <v>#N/A</v>
      </c>
      <c r="AX82" t="e">
        <v>#N/A</v>
      </c>
      <c r="AY82" t="e">
        <v>#N/A</v>
      </c>
    </row>
    <row r="83" spans="1:51">
      <c r="A83" t="s">
        <v>208</v>
      </c>
      <c r="B83">
        <v>110</v>
      </c>
      <c r="C83">
        <v>105</v>
      </c>
      <c r="D83">
        <v>1.6</v>
      </c>
      <c r="E83">
        <v>24934</v>
      </c>
      <c r="F83">
        <v>0</v>
      </c>
      <c r="G83">
        <v>35</v>
      </c>
      <c r="H83">
        <v>10</v>
      </c>
      <c r="I83">
        <v>10</v>
      </c>
      <c r="J83">
        <v>28.6</v>
      </c>
      <c r="K83">
        <v>0</v>
      </c>
      <c r="L83">
        <v>40</v>
      </c>
      <c r="M83">
        <v>33.299999999999997</v>
      </c>
      <c r="N83">
        <v>0</v>
      </c>
      <c r="T83" t="str">
        <f t="shared" si="1"/>
        <v>Dakota Plains First Nation</v>
      </c>
      <c r="W83">
        <v>17550</v>
      </c>
      <c r="X83">
        <v>15829</v>
      </c>
      <c r="Y83">
        <v>20524</v>
      </c>
      <c r="Z83">
        <v>7504</v>
      </c>
      <c r="AA83">
        <v>12160</v>
      </c>
      <c r="AB83">
        <v>30</v>
      </c>
      <c r="AC83">
        <v>90</v>
      </c>
      <c r="AD83">
        <v>40</v>
      </c>
      <c r="AE83">
        <v>20</v>
      </c>
      <c r="AF83">
        <v>0</v>
      </c>
      <c r="AG83">
        <v>0</v>
      </c>
      <c r="AH83">
        <v>0</v>
      </c>
      <c r="AI83">
        <v>0</v>
      </c>
      <c r="AJ83">
        <v>0</v>
      </c>
      <c r="AK83">
        <v>0</v>
      </c>
      <c r="AL83">
        <v>0</v>
      </c>
      <c r="AM83">
        <v>6.2603395268012303</v>
      </c>
      <c r="AN83">
        <v>0</v>
      </c>
      <c r="AO83">
        <v>0</v>
      </c>
      <c r="AP83">
        <v>0</v>
      </c>
      <c r="AQ83">
        <v>0</v>
      </c>
      <c r="AR83">
        <v>0</v>
      </c>
      <c r="AS83">
        <v>0</v>
      </c>
      <c r="AT83">
        <v>0</v>
      </c>
      <c r="AU83">
        <v>6.2603395268012303</v>
      </c>
      <c r="AV83">
        <v>0</v>
      </c>
      <c r="AW83">
        <v>0</v>
      </c>
      <c r="AX83">
        <v>0</v>
      </c>
      <c r="AY83">
        <v>6.2603395268012303</v>
      </c>
    </row>
    <row r="84" spans="1:51">
      <c r="A84" t="s">
        <v>209</v>
      </c>
      <c r="B84">
        <v>0</v>
      </c>
      <c r="C84">
        <v>0</v>
      </c>
      <c r="G84">
        <v>0</v>
      </c>
      <c r="H84">
        <v>0</v>
      </c>
      <c r="I84">
        <v>0</v>
      </c>
      <c r="T84" t="str">
        <f t="shared" si="1"/>
        <v>Dakota Tipi First Nation</v>
      </c>
      <c r="W84">
        <v>0</v>
      </c>
      <c r="X84">
        <v>0</v>
      </c>
      <c r="Y84">
        <v>0</v>
      </c>
      <c r="Z84">
        <v>0</v>
      </c>
      <c r="AA84">
        <v>0</v>
      </c>
      <c r="AB84">
        <v>0</v>
      </c>
      <c r="AC84">
        <v>0</v>
      </c>
      <c r="AD84">
        <v>0</v>
      </c>
      <c r="AE84">
        <v>0</v>
      </c>
      <c r="AF84" t="e">
        <v>#VALUE!</v>
      </c>
      <c r="AG84" t="e">
        <v>#VALUE!</v>
      </c>
      <c r="AH84" t="e">
        <v>#VALUE!</v>
      </c>
      <c r="AI84" t="e">
        <v>#VALUE!</v>
      </c>
      <c r="AJ84" t="e">
        <v>#VALUE!</v>
      </c>
      <c r="AK84" t="e">
        <v>#VALUE!</v>
      </c>
      <c r="AL84" t="e">
        <v>#VALUE!</v>
      </c>
      <c r="AM84" t="e">
        <v>#VALUE!</v>
      </c>
      <c r="AN84" t="e">
        <v>#VALUE!</v>
      </c>
      <c r="AO84" t="e">
        <v>#VALUE!</v>
      </c>
      <c r="AP84" t="e">
        <v>#VALUE!</v>
      </c>
      <c r="AQ84" t="e">
        <v>#VALUE!</v>
      </c>
      <c r="AR84" t="e">
        <v>#VALUE!</v>
      </c>
      <c r="AS84" t="e">
        <v>#VALUE!</v>
      </c>
      <c r="AT84" t="e">
        <v>#VALUE!</v>
      </c>
      <c r="AU84" t="e">
        <v>#VALUE!</v>
      </c>
      <c r="AV84" t="e">
        <v>#VALUE!</v>
      </c>
      <c r="AW84" t="e">
        <v>#VALUE!</v>
      </c>
      <c r="AX84" t="e">
        <v>#VALUE!</v>
      </c>
      <c r="AY84" t="e">
        <v>#VALUE!</v>
      </c>
    </row>
    <row r="85" spans="1:51">
      <c r="A85" t="s">
        <v>210</v>
      </c>
      <c r="B85">
        <v>65</v>
      </c>
      <c r="T85">
        <f t="shared" si="1"/>
        <v>0</v>
      </c>
      <c r="AB85">
        <v>0</v>
      </c>
      <c r="AC85">
        <v>0</v>
      </c>
      <c r="AD85">
        <v>0</v>
      </c>
      <c r="AE85">
        <v>0</v>
      </c>
      <c r="AF85" t="e">
        <v>#N/A</v>
      </c>
      <c r="AG85" t="e">
        <v>#N/A</v>
      </c>
      <c r="AH85" t="e">
        <v>#N/A</v>
      </c>
      <c r="AI85" t="e">
        <v>#N/A</v>
      </c>
      <c r="AJ85" t="e">
        <v>#N/A</v>
      </c>
      <c r="AK85" t="e">
        <v>#N/A</v>
      </c>
      <c r="AL85" t="e">
        <v>#N/A</v>
      </c>
      <c r="AM85" t="e">
        <v>#N/A</v>
      </c>
      <c r="AN85" t="e">
        <v>#N/A</v>
      </c>
      <c r="AO85" t="e">
        <v>#N/A</v>
      </c>
      <c r="AP85" t="e">
        <v>#N/A</v>
      </c>
      <c r="AQ85" t="e">
        <v>#N/A</v>
      </c>
      <c r="AR85" t="e">
        <v>#N/A</v>
      </c>
      <c r="AS85" t="e">
        <v>#N/A</v>
      </c>
      <c r="AT85" t="e">
        <v>#N/A</v>
      </c>
      <c r="AU85" t="e">
        <v>#N/A</v>
      </c>
      <c r="AV85" t="e">
        <v>#N/A</v>
      </c>
      <c r="AW85" t="e">
        <v>#N/A</v>
      </c>
      <c r="AX85" t="e">
        <v>#N/A</v>
      </c>
      <c r="AY85" t="e">
        <v>#N/A</v>
      </c>
    </row>
    <row r="86" spans="1:51">
      <c r="A86" t="s">
        <v>639</v>
      </c>
      <c r="B86">
        <v>925</v>
      </c>
      <c r="C86">
        <v>840</v>
      </c>
      <c r="D86">
        <v>1.1000000000000001</v>
      </c>
      <c r="E86">
        <v>45381</v>
      </c>
      <c r="F86">
        <v>9.6</v>
      </c>
      <c r="G86">
        <v>300</v>
      </c>
      <c r="H86">
        <v>135</v>
      </c>
      <c r="I86">
        <v>40</v>
      </c>
      <c r="J86">
        <v>91.7</v>
      </c>
      <c r="K86">
        <v>8.3000000000000007</v>
      </c>
      <c r="L86">
        <v>69.099999999999994</v>
      </c>
      <c r="M86">
        <v>66.900000000000006</v>
      </c>
      <c r="N86">
        <v>3.2</v>
      </c>
      <c r="T86">
        <f t="shared" si="1"/>
        <v>0</v>
      </c>
      <c r="W86">
        <v>19739</v>
      </c>
      <c r="X86">
        <v>21062</v>
      </c>
      <c r="Y86">
        <v>18089</v>
      </c>
      <c r="Z86">
        <v>22526</v>
      </c>
      <c r="AA86">
        <v>13861</v>
      </c>
      <c r="AB86">
        <v>245</v>
      </c>
      <c r="AC86">
        <v>585</v>
      </c>
      <c r="AD86">
        <v>230</v>
      </c>
      <c r="AE86">
        <v>85</v>
      </c>
      <c r="AF86">
        <v>7.2364139691519593</v>
      </c>
      <c r="AG86">
        <v>0</v>
      </c>
      <c r="AH86">
        <v>0</v>
      </c>
      <c r="AI86">
        <v>1.3463095756561787</v>
      </c>
      <c r="AJ86">
        <v>0.50486609087106693</v>
      </c>
      <c r="AK86">
        <v>0.33657739391404468</v>
      </c>
      <c r="AL86">
        <v>0.50486609087106693</v>
      </c>
      <c r="AM86">
        <v>0</v>
      </c>
      <c r="AN86">
        <v>0</v>
      </c>
      <c r="AO86">
        <v>0.33657739391404468</v>
      </c>
      <c r="AP86">
        <v>0</v>
      </c>
      <c r="AQ86">
        <v>0.50486609087106693</v>
      </c>
      <c r="AR86">
        <v>0</v>
      </c>
      <c r="AS86">
        <v>0.50486609087106693</v>
      </c>
      <c r="AT86">
        <v>0.67315478782808935</v>
      </c>
      <c r="AU86">
        <v>1.8511756665272456</v>
      </c>
      <c r="AV86">
        <v>0.33657739391404468</v>
      </c>
      <c r="AW86">
        <v>1.0097321817421339</v>
      </c>
      <c r="AX86">
        <v>0.33657739391404468</v>
      </c>
      <c r="AY86">
        <v>0.33657739391404468</v>
      </c>
    </row>
    <row r="87" spans="1:51">
      <c r="A87" t="s">
        <v>320</v>
      </c>
      <c r="B87">
        <v>7965</v>
      </c>
      <c r="C87">
        <v>7825</v>
      </c>
      <c r="D87">
        <v>0.9</v>
      </c>
      <c r="E87">
        <v>49405</v>
      </c>
      <c r="F87">
        <v>13.5</v>
      </c>
      <c r="G87">
        <v>3700</v>
      </c>
      <c r="H87">
        <v>1345</v>
      </c>
      <c r="I87">
        <v>375</v>
      </c>
      <c r="J87">
        <v>69.7</v>
      </c>
      <c r="K87">
        <v>30.1</v>
      </c>
      <c r="L87">
        <v>55.2</v>
      </c>
      <c r="M87">
        <v>51.5</v>
      </c>
      <c r="N87">
        <v>6.7</v>
      </c>
      <c r="T87">
        <f t="shared" si="1"/>
        <v>0</v>
      </c>
      <c r="W87">
        <v>22756</v>
      </c>
      <c r="X87">
        <v>27172</v>
      </c>
      <c r="Y87">
        <v>18498</v>
      </c>
      <c r="Z87">
        <v>23016</v>
      </c>
      <c r="AA87">
        <v>15134</v>
      </c>
      <c r="AB87">
        <v>1340</v>
      </c>
      <c r="AC87">
        <v>4515</v>
      </c>
      <c r="AD87">
        <v>1790</v>
      </c>
      <c r="AE87">
        <v>2105</v>
      </c>
      <c r="AF87">
        <v>0.57649784182685271</v>
      </c>
      <c r="AG87">
        <v>4.2703543839026123E-2</v>
      </c>
      <c r="AH87">
        <v>0.10675885959756531</v>
      </c>
      <c r="AI87">
        <v>0.79001556102198334</v>
      </c>
      <c r="AJ87">
        <v>0.27757303495366986</v>
      </c>
      <c r="AK87">
        <v>0.55514606990733972</v>
      </c>
      <c r="AL87">
        <v>3.0105998406513419</v>
      </c>
      <c r="AM87">
        <v>0.55514606990733972</v>
      </c>
      <c r="AN87">
        <v>0.38433189455123512</v>
      </c>
      <c r="AO87">
        <v>0.27757303495366986</v>
      </c>
      <c r="AP87">
        <v>0.19216594727561756</v>
      </c>
      <c r="AQ87">
        <v>0.38433189455123512</v>
      </c>
      <c r="AR87">
        <v>0</v>
      </c>
      <c r="AS87">
        <v>0.53379429798782663</v>
      </c>
      <c r="AT87">
        <v>1.5800311220439667</v>
      </c>
      <c r="AU87">
        <v>2.5195090865025414</v>
      </c>
      <c r="AV87">
        <v>8.5407087678052246E-2</v>
      </c>
      <c r="AW87">
        <v>1.387865174768349</v>
      </c>
      <c r="AX87">
        <v>1.1316439117341923</v>
      </c>
      <c r="AY87">
        <v>0.93947796445857479</v>
      </c>
    </row>
    <row r="88" spans="1:51">
      <c r="A88" t="s">
        <v>731</v>
      </c>
      <c r="B88">
        <v>2275</v>
      </c>
      <c r="C88">
        <v>2275</v>
      </c>
      <c r="D88">
        <v>1</v>
      </c>
      <c r="E88">
        <v>55294</v>
      </c>
      <c r="F88">
        <v>5.9</v>
      </c>
      <c r="G88">
        <v>885</v>
      </c>
      <c r="H88">
        <v>370</v>
      </c>
      <c r="I88">
        <v>100</v>
      </c>
      <c r="J88">
        <v>90.4</v>
      </c>
      <c r="K88">
        <v>10.199999999999999</v>
      </c>
      <c r="L88">
        <v>74.5</v>
      </c>
      <c r="M88">
        <v>71.5</v>
      </c>
      <c r="N88">
        <v>3.9</v>
      </c>
      <c r="T88">
        <f t="shared" si="1"/>
        <v>0</v>
      </c>
      <c r="W88">
        <v>22773</v>
      </c>
      <c r="X88">
        <v>25377</v>
      </c>
      <c r="Y88">
        <v>19565</v>
      </c>
      <c r="Z88">
        <v>22147</v>
      </c>
      <c r="AA88">
        <v>15080</v>
      </c>
      <c r="AB88">
        <v>390</v>
      </c>
      <c r="AC88">
        <v>1595</v>
      </c>
      <c r="AD88">
        <v>715</v>
      </c>
      <c r="AE88">
        <v>275</v>
      </c>
      <c r="AF88">
        <v>4.0658788741680585</v>
      </c>
      <c r="AG88">
        <v>0.111393941758029</v>
      </c>
      <c r="AH88">
        <v>0.27848485439507253</v>
      </c>
      <c r="AI88">
        <v>1.2253333593383191</v>
      </c>
      <c r="AJ88">
        <v>0.3898787961531015</v>
      </c>
      <c r="AK88">
        <v>0.3898787961531015</v>
      </c>
      <c r="AL88">
        <v>1.2253333593383191</v>
      </c>
      <c r="AM88">
        <v>0.8354545631852176</v>
      </c>
      <c r="AN88">
        <v>0.27848485439507253</v>
      </c>
      <c r="AO88">
        <v>0.61266667966915955</v>
      </c>
      <c r="AP88">
        <v>0.16709091263704351</v>
      </c>
      <c r="AQ88">
        <v>0.33418182527408702</v>
      </c>
      <c r="AR88">
        <v>0</v>
      </c>
      <c r="AS88">
        <v>0.22278788351605799</v>
      </c>
      <c r="AT88">
        <v>0.8354545631852176</v>
      </c>
      <c r="AU88">
        <v>2.0050909516445223</v>
      </c>
      <c r="AV88">
        <v>0.16709091263704351</v>
      </c>
      <c r="AW88">
        <v>0.94684850494324657</v>
      </c>
      <c r="AX88">
        <v>0.89115153406423198</v>
      </c>
      <c r="AY88">
        <v>0.50127273791113058</v>
      </c>
    </row>
    <row r="89" spans="1:51">
      <c r="A89" t="s">
        <v>211</v>
      </c>
      <c r="B89">
        <v>10</v>
      </c>
      <c r="T89">
        <f t="shared" si="1"/>
        <v>0</v>
      </c>
      <c r="AB89">
        <v>0</v>
      </c>
      <c r="AC89">
        <v>0</v>
      </c>
      <c r="AD89">
        <v>0</v>
      </c>
      <c r="AE89">
        <v>0</v>
      </c>
      <c r="AF89" t="e">
        <v>#N/A</v>
      </c>
      <c r="AG89" t="e">
        <v>#N/A</v>
      </c>
      <c r="AH89" t="e">
        <v>#N/A</v>
      </c>
      <c r="AI89" t="e">
        <v>#N/A</v>
      </c>
      <c r="AJ89" t="e">
        <v>#N/A</v>
      </c>
      <c r="AK89" t="e">
        <v>#N/A</v>
      </c>
      <c r="AL89" t="e">
        <v>#N/A</v>
      </c>
      <c r="AM89" t="e">
        <v>#N/A</v>
      </c>
      <c r="AN89" t="e">
        <v>#N/A</v>
      </c>
      <c r="AO89" t="e">
        <v>#N/A</v>
      </c>
      <c r="AP89" t="e">
        <v>#N/A</v>
      </c>
      <c r="AQ89" t="e">
        <v>#N/A</v>
      </c>
      <c r="AR89" t="e">
        <v>#N/A</v>
      </c>
      <c r="AS89" t="e">
        <v>#N/A</v>
      </c>
      <c r="AT89" t="e">
        <v>#N/A</v>
      </c>
      <c r="AU89" t="e">
        <v>#N/A</v>
      </c>
      <c r="AV89" t="e">
        <v>#N/A</v>
      </c>
      <c r="AW89" t="e">
        <v>#N/A</v>
      </c>
      <c r="AX89" t="e">
        <v>#N/A</v>
      </c>
      <c r="AY89" t="e">
        <v>#N/A</v>
      </c>
    </row>
    <row r="90" spans="1:51">
      <c r="A90" t="s">
        <v>212</v>
      </c>
      <c r="B90">
        <v>90</v>
      </c>
      <c r="C90">
        <v>90</v>
      </c>
      <c r="D90">
        <v>1.6</v>
      </c>
      <c r="E90">
        <v>32236</v>
      </c>
      <c r="F90">
        <v>0</v>
      </c>
      <c r="G90">
        <v>30</v>
      </c>
      <c r="H90">
        <v>0</v>
      </c>
      <c r="I90">
        <v>10</v>
      </c>
      <c r="J90">
        <v>33.299999999999997</v>
      </c>
      <c r="K90">
        <v>0</v>
      </c>
      <c r="L90">
        <v>61.5</v>
      </c>
      <c r="M90">
        <v>46.2</v>
      </c>
      <c r="N90">
        <v>25</v>
      </c>
      <c r="T90" t="str">
        <f t="shared" si="1"/>
        <v>Dauphin River First Nation</v>
      </c>
      <c r="W90">
        <v>14471</v>
      </c>
      <c r="X90">
        <v>12806</v>
      </c>
      <c r="Y90">
        <v>16692</v>
      </c>
      <c r="Z90">
        <v>7184</v>
      </c>
      <c r="AA90">
        <v>15904</v>
      </c>
      <c r="AB90">
        <v>30</v>
      </c>
      <c r="AC90">
        <v>50</v>
      </c>
      <c r="AD90">
        <v>30</v>
      </c>
      <c r="AE90">
        <v>0</v>
      </c>
      <c r="AF90">
        <v>3.9127122042507687</v>
      </c>
      <c r="AG90">
        <v>0</v>
      </c>
      <c r="AH90">
        <v>0</v>
      </c>
      <c r="AI90">
        <v>0</v>
      </c>
      <c r="AJ90">
        <v>0</v>
      </c>
      <c r="AK90">
        <v>0</v>
      </c>
      <c r="AL90">
        <v>0</v>
      </c>
      <c r="AM90">
        <v>0</v>
      </c>
      <c r="AN90">
        <v>0</v>
      </c>
      <c r="AO90">
        <v>0</v>
      </c>
      <c r="AP90">
        <v>0</v>
      </c>
      <c r="AQ90">
        <v>0</v>
      </c>
      <c r="AR90">
        <v>0</v>
      </c>
      <c r="AS90">
        <v>0</v>
      </c>
      <c r="AT90">
        <v>3.9127122042507687</v>
      </c>
      <c r="AU90">
        <v>3.9127122042507687</v>
      </c>
      <c r="AV90">
        <v>0</v>
      </c>
      <c r="AW90">
        <v>0</v>
      </c>
      <c r="AX90">
        <v>0</v>
      </c>
      <c r="AY90">
        <v>3.9127122042507687</v>
      </c>
    </row>
    <row r="91" spans="1:51">
      <c r="A91" t="s">
        <v>213</v>
      </c>
      <c r="B91">
        <v>25</v>
      </c>
      <c r="T91">
        <f t="shared" ref="T91:T132" si="3">IFERROR(VLOOKUP(A91,$U$12:$U$74,1,0),0)</f>
        <v>0</v>
      </c>
      <c r="AB91">
        <v>0</v>
      </c>
      <c r="AC91">
        <v>0</v>
      </c>
      <c r="AD91">
        <v>0</v>
      </c>
      <c r="AE91">
        <v>0</v>
      </c>
      <c r="AF91" t="e">
        <v>#N/A</v>
      </c>
      <c r="AG91" t="e">
        <v>#N/A</v>
      </c>
      <c r="AH91" t="e">
        <v>#N/A</v>
      </c>
      <c r="AI91" t="e">
        <v>#N/A</v>
      </c>
      <c r="AJ91" t="e">
        <v>#N/A</v>
      </c>
      <c r="AK91" t="e">
        <v>#N/A</v>
      </c>
      <c r="AL91" t="e">
        <v>#N/A</v>
      </c>
      <c r="AM91" t="e">
        <v>#N/A</v>
      </c>
      <c r="AN91" t="e">
        <v>#N/A</v>
      </c>
      <c r="AO91" t="e">
        <v>#N/A</v>
      </c>
      <c r="AP91" t="e">
        <v>#N/A</v>
      </c>
      <c r="AQ91" t="e">
        <v>#N/A</v>
      </c>
      <c r="AR91" t="e">
        <v>#N/A</v>
      </c>
      <c r="AS91" t="e">
        <v>#N/A</v>
      </c>
      <c r="AT91" t="e">
        <v>#N/A</v>
      </c>
      <c r="AU91" t="e">
        <v>#N/A</v>
      </c>
      <c r="AV91" t="e">
        <v>#N/A</v>
      </c>
      <c r="AW91" t="e">
        <v>#N/A</v>
      </c>
      <c r="AX91" t="e">
        <v>#N/A</v>
      </c>
      <c r="AY91" t="e">
        <v>#N/A</v>
      </c>
    </row>
    <row r="92" spans="1:51">
      <c r="A92" t="s">
        <v>607</v>
      </c>
      <c r="B92">
        <v>3215</v>
      </c>
      <c r="C92">
        <v>2840</v>
      </c>
      <c r="D92">
        <v>1.5</v>
      </c>
      <c r="E92">
        <v>51467</v>
      </c>
      <c r="F92">
        <v>11.1</v>
      </c>
      <c r="G92">
        <v>915</v>
      </c>
      <c r="H92">
        <v>310</v>
      </c>
      <c r="I92">
        <v>115</v>
      </c>
      <c r="J92">
        <v>85.8</v>
      </c>
      <c r="K92">
        <v>14.2</v>
      </c>
      <c r="L92">
        <v>72.7</v>
      </c>
      <c r="M92">
        <v>70.400000000000006</v>
      </c>
      <c r="N92">
        <v>2.9</v>
      </c>
      <c r="T92">
        <f t="shared" si="3"/>
        <v>0</v>
      </c>
      <c r="W92">
        <v>21194</v>
      </c>
      <c r="X92">
        <v>25180</v>
      </c>
      <c r="Y92">
        <v>16021</v>
      </c>
      <c r="Z92">
        <v>23837</v>
      </c>
      <c r="AA92">
        <v>14421</v>
      </c>
      <c r="AB92">
        <v>810</v>
      </c>
      <c r="AC92">
        <v>2050</v>
      </c>
      <c r="AD92">
        <v>710</v>
      </c>
      <c r="AE92">
        <v>335</v>
      </c>
      <c r="AF92">
        <v>3.7777910937593631</v>
      </c>
      <c r="AG92">
        <v>0</v>
      </c>
      <c r="AH92">
        <v>0.13492111049140582</v>
      </c>
      <c r="AI92">
        <v>0.80952666294843489</v>
      </c>
      <c r="AJ92">
        <v>2.0687903608682228</v>
      </c>
      <c r="AK92">
        <v>0.31481592447994688</v>
      </c>
      <c r="AL92">
        <v>1.1243425874283817</v>
      </c>
      <c r="AM92">
        <v>0.76455295945129964</v>
      </c>
      <c r="AN92">
        <v>0</v>
      </c>
      <c r="AO92">
        <v>0.4497370349713527</v>
      </c>
      <c r="AP92">
        <v>0</v>
      </c>
      <c r="AQ92">
        <v>0.26984222098281163</v>
      </c>
      <c r="AR92">
        <v>0</v>
      </c>
      <c r="AS92">
        <v>0.49471073846848806</v>
      </c>
      <c r="AT92">
        <v>1.5291059189025993</v>
      </c>
      <c r="AU92">
        <v>1.8439218433825462</v>
      </c>
      <c r="AV92">
        <v>0.13492111049140582</v>
      </c>
      <c r="AW92">
        <v>0.76455295945129964</v>
      </c>
      <c r="AX92">
        <v>0.4497370349713527</v>
      </c>
      <c r="AY92">
        <v>0.53968444196562326</v>
      </c>
    </row>
    <row r="93" spans="1:51">
      <c r="A93" t="s">
        <v>321</v>
      </c>
      <c r="B93">
        <v>975</v>
      </c>
      <c r="C93">
        <v>975</v>
      </c>
      <c r="D93">
        <v>0.7</v>
      </c>
      <c r="E93">
        <v>50025</v>
      </c>
      <c r="F93">
        <v>0</v>
      </c>
      <c r="G93">
        <v>505</v>
      </c>
      <c r="H93">
        <v>180</v>
      </c>
      <c r="I93">
        <v>25</v>
      </c>
      <c r="J93">
        <v>76.2</v>
      </c>
      <c r="K93">
        <v>22.8</v>
      </c>
      <c r="L93">
        <v>56</v>
      </c>
      <c r="M93">
        <v>56</v>
      </c>
      <c r="N93">
        <v>0</v>
      </c>
      <c r="T93">
        <f t="shared" si="3"/>
        <v>0</v>
      </c>
      <c r="W93">
        <v>22503</v>
      </c>
      <c r="X93">
        <v>25980</v>
      </c>
      <c r="Y93">
        <v>18733</v>
      </c>
      <c r="Z93">
        <v>23212</v>
      </c>
      <c r="AA93">
        <v>15106</v>
      </c>
      <c r="AB93">
        <v>155</v>
      </c>
      <c r="AC93">
        <v>480</v>
      </c>
      <c r="AD93">
        <v>200</v>
      </c>
      <c r="AE93">
        <v>355</v>
      </c>
      <c r="AF93">
        <v>1.0097321817421339</v>
      </c>
      <c r="AG93">
        <v>0</v>
      </c>
      <c r="AH93">
        <v>0</v>
      </c>
      <c r="AI93">
        <v>0.50486609087106693</v>
      </c>
      <c r="AJ93">
        <v>0.67315478782808935</v>
      </c>
      <c r="AK93">
        <v>1.3463095756561787</v>
      </c>
      <c r="AL93">
        <v>2.0194643634842677</v>
      </c>
      <c r="AM93">
        <v>0</v>
      </c>
      <c r="AN93">
        <v>0.33657739391404468</v>
      </c>
      <c r="AO93">
        <v>0.84144348478511155</v>
      </c>
      <c r="AP93">
        <v>0</v>
      </c>
      <c r="AQ93">
        <v>0.67315478782808935</v>
      </c>
      <c r="AR93">
        <v>0</v>
      </c>
      <c r="AS93">
        <v>0.33657739391404468</v>
      </c>
      <c r="AT93">
        <v>0.84144348478511155</v>
      </c>
      <c r="AU93">
        <v>3.0291965452264016</v>
      </c>
      <c r="AV93">
        <v>0.33657739391404468</v>
      </c>
      <c r="AW93">
        <v>0.33657739391404468</v>
      </c>
      <c r="AX93">
        <v>1.6828869695702231</v>
      </c>
      <c r="AY93">
        <v>1.0097321817421339</v>
      </c>
    </row>
    <row r="94" spans="1:51">
      <c r="A94" t="s">
        <v>560</v>
      </c>
      <c r="T94">
        <f t="shared" si="3"/>
        <v>0</v>
      </c>
      <c r="AB94">
        <v>0</v>
      </c>
      <c r="AC94">
        <v>0</v>
      </c>
      <c r="AD94">
        <v>0</v>
      </c>
      <c r="AE94">
        <v>0</v>
      </c>
      <c r="AF94" t="e">
        <v>#N/A</v>
      </c>
      <c r="AG94" t="e">
        <v>#N/A</v>
      </c>
      <c r="AH94" t="e">
        <v>#N/A</v>
      </c>
      <c r="AI94" t="e">
        <v>#N/A</v>
      </c>
      <c r="AJ94" t="e">
        <v>#N/A</v>
      </c>
      <c r="AK94" t="e">
        <v>#N/A</v>
      </c>
      <c r="AL94" t="e">
        <v>#N/A</v>
      </c>
      <c r="AM94" t="e">
        <v>#N/A</v>
      </c>
      <c r="AN94" t="e">
        <v>#N/A</v>
      </c>
      <c r="AO94" t="e">
        <v>#N/A</v>
      </c>
      <c r="AP94" t="e">
        <v>#N/A</v>
      </c>
      <c r="AQ94" t="e">
        <v>#N/A</v>
      </c>
      <c r="AR94" t="e">
        <v>#N/A</v>
      </c>
      <c r="AS94" t="e">
        <v>#N/A</v>
      </c>
      <c r="AT94" t="e">
        <v>#N/A</v>
      </c>
      <c r="AU94" t="e">
        <v>#N/A</v>
      </c>
      <c r="AV94" t="e">
        <v>#N/A</v>
      </c>
      <c r="AW94" t="e">
        <v>#N/A</v>
      </c>
      <c r="AX94" t="e">
        <v>#N/A</v>
      </c>
      <c r="AY94" t="e">
        <v>#N/A</v>
      </c>
    </row>
    <row r="95" spans="1:51">
      <c r="A95" t="s">
        <v>732</v>
      </c>
      <c r="B95">
        <v>675</v>
      </c>
      <c r="C95">
        <v>640</v>
      </c>
      <c r="D95">
        <v>0.7</v>
      </c>
      <c r="E95">
        <v>47444</v>
      </c>
      <c r="F95">
        <v>0</v>
      </c>
      <c r="G95">
        <v>275</v>
      </c>
      <c r="H95">
        <v>80</v>
      </c>
      <c r="I95">
        <v>15</v>
      </c>
      <c r="J95">
        <v>81.8</v>
      </c>
      <c r="K95">
        <v>18.2</v>
      </c>
      <c r="L95">
        <v>61.3</v>
      </c>
      <c r="M95">
        <v>56.8</v>
      </c>
      <c r="N95">
        <v>7.4</v>
      </c>
      <c r="T95">
        <f t="shared" si="3"/>
        <v>0</v>
      </c>
      <c r="W95">
        <v>20344</v>
      </c>
      <c r="X95">
        <v>24621</v>
      </c>
      <c r="Y95">
        <v>14616</v>
      </c>
      <c r="Z95">
        <v>25045</v>
      </c>
      <c r="AA95">
        <v>12173</v>
      </c>
      <c r="AB95">
        <v>125</v>
      </c>
      <c r="AC95">
        <v>405</v>
      </c>
      <c r="AD95">
        <v>190</v>
      </c>
      <c r="AE95">
        <v>125</v>
      </c>
      <c r="AF95">
        <v>0</v>
      </c>
      <c r="AG95">
        <v>0</v>
      </c>
      <c r="AH95">
        <v>1.6111167899856107</v>
      </c>
      <c r="AI95">
        <v>0.69047862427954743</v>
      </c>
      <c r="AJ95">
        <v>0.46031908285303164</v>
      </c>
      <c r="AK95">
        <v>0</v>
      </c>
      <c r="AL95">
        <v>1.3809572485590949</v>
      </c>
      <c r="AM95">
        <v>0.46031908285303164</v>
      </c>
      <c r="AN95">
        <v>0</v>
      </c>
      <c r="AO95">
        <v>0.46031908285303164</v>
      </c>
      <c r="AP95">
        <v>0</v>
      </c>
      <c r="AQ95">
        <v>0</v>
      </c>
      <c r="AR95">
        <v>0</v>
      </c>
      <c r="AS95">
        <v>0.46031908285303164</v>
      </c>
      <c r="AT95">
        <v>0</v>
      </c>
      <c r="AU95">
        <v>0.92063816570606327</v>
      </c>
      <c r="AV95">
        <v>0.69047862427954743</v>
      </c>
      <c r="AW95">
        <v>4.3730312871038004</v>
      </c>
      <c r="AX95">
        <v>0</v>
      </c>
      <c r="AY95">
        <v>3.452393121397737</v>
      </c>
    </row>
    <row r="96" spans="1:51">
      <c r="A96" t="s">
        <v>733</v>
      </c>
      <c r="B96">
        <v>16340</v>
      </c>
      <c r="C96">
        <v>15980</v>
      </c>
      <c r="D96">
        <v>0.9</v>
      </c>
      <c r="E96">
        <v>52179</v>
      </c>
      <c r="F96">
        <v>9.1</v>
      </c>
      <c r="G96">
        <v>6710</v>
      </c>
      <c r="H96">
        <v>2295</v>
      </c>
      <c r="I96">
        <v>795</v>
      </c>
      <c r="J96">
        <v>84.2</v>
      </c>
      <c r="K96">
        <v>15.8</v>
      </c>
      <c r="L96">
        <v>58.7</v>
      </c>
      <c r="M96">
        <v>54.4</v>
      </c>
      <c r="N96">
        <v>7.3</v>
      </c>
      <c r="T96">
        <f t="shared" si="3"/>
        <v>0</v>
      </c>
      <c r="AB96">
        <v>0</v>
      </c>
      <c r="AC96">
        <v>0</v>
      </c>
      <c r="AD96">
        <v>0</v>
      </c>
      <c r="AE96">
        <v>0</v>
      </c>
      <c r="AF96" t="e">
        <v>#N/A</v>
      </c>
      <c r="AG96" t="e">
        <v>#N/A</v>
      </c>
      <c r="AH96" t="e">
        <v>#N/A</v>
      </c>
      <c r="AI96" t="e">
        <v>#N/A</v>
      </c>
      <c r="AJ96" t="e">
        <v>#N/A</v>
      </c>
      <c r="AK96" t="e">
        <v>#N/A</v>
      </c>
      <c r="AL96" t="e">
        <v>#N/A</v>
      </c>
      <c r="AM96" t="e">
        <v>#N/A</v>
      </c>
      <c r="AN96" t="e">
        <v>#N/A</v>
      </c>
      <c r="AO96" t="e">
        <v>#N/A</v>
      </c>
      <c r="AP96" t="e">
        <v>#N/A</v>
      </c>
      <c r="AQ96" t="e">
        <v>#N/A</v>
      </c>
      <c r="AR96" t="e">
        <v>#N/A</v>
      </c>
      <c r="AS96" t="e">
        <v>#N/A</v>
      </c>
      <c r="AT96" t="e">
        <v>#N/A</v>
      </c>
      <c r="AU96" t="e">
        <v>#N/A</v>
      </c>
      <c r="AV96" t="e">
        <v>#N/A</v>
      </c>
      <c r="AW96" t="e">
        <v>#N/A</v>
      </c>
      <c r="AX96" t="e">
        <v>#N/A</v>
      </c>
      <c r="AY96" t="e">
        <v>#N/A</v>
      </c>
    </row>
    <row r="97" spans="1:51">
      <c r="A97" t="s">
        <v>734</v>
      </c>
      <c r="B97">
        <v>9465</v>
      </c>
      <c r="C97">
        <v>8275</v>
      </c>
      <c r="D97">
        <v>1.3</v>
      </c>
      <c r="E97">
        <v>69630</v>
      </c>
      <c r="F97">
        <v>3.2</v>
      </c>
      <c r="G97">
        <v>2750</v>
      </c>
      <c r="H97">
        <v>880</v>
      </c>
      <c r="I97">
        <v>220</v>
      </c>
      <c r="J97">
        <v>92.9</v>
      </c>
      <c r="K97">
        <v>7.1</v>
      </c>
      <c r="L97">
        <v>76.900000000000006</v>
      </c>
      <c r="M97">
        <v>73.7</v>
      </c>
      <c r="N97">
        <v>4</v>
      </c>
      <c r="T97">
        <f t="shared" si="3"/>
        <v>0</v>
      </c>
      <c r="AB97">
        <v>0</v>
      </c>
      <c r="AC97">
        <v>0</v>
      </c>
      <c r="AD97">
        <v>0</v>
      </c>
      <c r="AE97">
        <v>0</v>
      </c>
      <c r="AF97" t="e">
        <v>#N/A</v>
      </c>
      <c r="AG97" t="e">
        <v>#N/A</v>
      </c>
      <c r="AH97" t="e">
        <v>#N/A</v>
      </c>
      <c r="AI97" t="e">
        <v>#N/A</v>
      </c>
      <c r="AJ97" t="e">
        <v>#N/A</v>
      </c>
      <c r="AK97" t="e">
        <v>#N/A</v>
      </c>
      <c r="AL97" t="e">
        <v>#N/A</v>
      </c>
      <c r="AM97" t="e">
        <v>#N/A</v>
      </c>
      <c r="AN97" t="e">
        <v>#N/A</v>
      </c>
      <c r="AO97" t="e">
        <v>#N/A</v>
      </c>
      <c r="AP97" t="e">
        <v>#N/A</v>
      </c>
      <c r="AQ97" t="e">
        <v>#N/A</v>
      </c>
      <c r="AR97" t="e">
        <v>#N/A</v>
      </c>
      <c r="AS97" t="e">
        <v>#N/A</v>
      </c>
      <c r="AT97" t="e">
        <v>#N/A</v>
      </c>
      <c r="AU97" t="e">
        <v>#N/A</v>
      </c>
      <c r="AV97" t="e">
        <v>#N/A</v>
      </c>
      <c r="AW97" t="e">
        <v>#N/A</v>
      </c>
      <c r="AX97" t="e">
        <v>#N/A</v>
      </c>
      <c r="AY97" t="e">
        <v>#N/A</v>
      </c>
    </row>
    <row r="98" spans="1:51">
      <c r="A98" t="s">
        <v>735</v>
      </c>
      <c r="B98">
        <v>612165</v>
      </c>
      <c r="C98">
        <v>609150</v>
      </c>
      <c r="D98">
        <v>1.1000000000000001</v>
      </c>
      <c r="E98">
        <v>63688</v>
      </c>
      <c r="F98">
        <v>15.4</v>
      </c>
      <c r="G98">
        <v>253390</v>
      </c>
      <c r="H98">
        <v>72535</v>
      </c>
      <c r="I98">
        <v>23815</v>
      </c>
      <c r="J98">
        <v>63.7</v>
      </c>
      <c r="K98">
        <v>36.299999999999997</v>
      </c>
      <c r="L98">
        <v>68.099999999999994</v>
      </c>
      <c r="M98">
        <v>64.2</v>
      </c>
      <c r="N98">
        <v>5.7</v>
      </c>
      <c r="T98">
        <f t="shared" si="3"/>
        <v>0</v>
      </c>
      <c r="AB98">
        <v>0</v>
      </c>
      <c r="AC98">
        <v>0</v>
      </c>
      <c r="AD98">
        <v>0</v>
      </c>
      <c r="AE98">
        <v>0</v>
      </c>
      <c r="AF98" t="e">
        <v>#N/A</v>
      </c>
      <c r="AG98" t="e">
        <v>#N/A</v>
      </c>
      <c r="AH98" t="e">
        <v>#N/A</v>
      </c>
      <c r="AI98" t="e">
        <v>#N/A</v>
      </c>
      <c r="AJ98" t="e">
        <v>#N/A</v>
      </c>
      <c r="AK98" t="e">
        <v>#N/A</v>
      </c>
      <c r="AL98" t="e">
        <v>#N/A</v>
      </c>
      <c r="AM98" t="e">
        <v>#N/A</v>
      </c>
      <c r="AN98" t="e">
        <v>#N/A</v>
      </c>
      <c r="AO98" t="e">
        <v>#N/A</v>
      </c>
      <c r="AP98" t="e">
        <v>#N/A</v>
      </c>
      <c r="AQ98" t="e">
        <v>#N/A</v>
      </c>
      <c r="AR98" t="e">
        <v>#N/A</v>
      </c>
      <c r="AS98" t="e">
        <v>#N/A</v>
      </c>
      <c r="AT98" t="e">
        <v>#N/A</v>
      </c>
      <c r="AU98" t="e">
        <v>#N/A</v>
      </c>
      <c r="AV98" t="e">
        <v>#N/A</v>
      </c>
      <c r="AW98" t="e">
        <v>#N/A</v>
      </c>
      <c r="AX98" t="e">
        <v>#N/A</v>
      </c>
      <c r="AY98" t="e">
        <v>#N/A</v>
      </c>
    </row>
    <row r="99" spans="1:51">
      <c r="A99" t="s">
        <v>736</v>
      </c>
      <c r="B99">
        <v>19135</v>
      </c>
      <c r="C99">
        <v>18850</v>
      </c>
      <c r="D99">
        <v>1.1000000000000001</v>
      </c>
      <c r="E99">
        <v>61027</v>
      </c>
      <c r="F99">
        <v>6.5</v>
      </c>
      <c r="G99">
        <v>6960</v>
      </c>
      <c r="H99">
        <v>2255</v>
      </c>
      <c r="I99">
        <v>755</v>
      </c>
      <c r="J99">
        <v>89.6</v>
      </c>
      <c r="K99">
        <v>10.3</v>
      </c>
      <c r="L99">
        <v>73.400000000000006</v>
      </c>
      <c r="M99">
        <v>70.900000000000006</v>
      </c>
      <c r="N99">
        <v>3.4</v>
      </c>
      <c r="T99">
        <f t="shared" si="3"/>
        <v>0</v>
      </c>
      <c r="AB99">
        <v>0</v>
      </c>
      <c r="AC99">
        <v>0</v>
      </c>
      <c r="AD99">
        <v>0</v>
      </c>
      <c r="AE99">
        <v>0</v>
      </c>
      <c r="AF99" t="e">
        <v>#N/A</v>
      </c>
      <c r="AG99" t="e">
        <v>#N/A</v>
      </c>
      <c r="AH99" t="e">
        <v>#N/A</v>
      </c>
      <c r="AI99" t="e">
        <v>#N/A</v>
      </c>
      <c r="AJ99" t="e">
        <v>#N/A</v>
      </c>
      <c r="AK99" t="e">
        <v>#N/A</v>
      </c>
      <c r="AL99" t="e">
        <v>#N/A</v>
      </c>
      <c r="AM99" t="e">
        <v>#N/A</v>
      </c>
      <c r="AN99" t="e">
        <v>#N/A</v>
      </c>
      <c r="AO99" t="e">
        <v>#N/A</v>
      </c>
      <c r="AP99" t="e">
        <v>#N/A</v>
      </c>
      <c r="AQ99" t="e">
        <v>#N/A</v>
      </c>
      <c r="AR99" t="e">
        <v>#N/A</v>
      </c>
      <c r="AS99" t="e">
        <v>#N/A</v>
      </c>
      <c r="AT99" t="e">
        <v>#N/A</v>
      </c>
      <c r="AU99" t="e">
        <v>#N/A</v>
      </c>
      <c r="AV99" t="e">
        <v>#N/A</v>
      </c>
      <c r="AW99" t="e">
        <v>#N/A</v>
      </c>
      <c r="AX99" t="e">
        <v>#N/A</v>
      </c>
      <c r="AY99" t="e">
        <v>#N/A</v>
      </c>
    </row>
    <row r="100" spans="1:51">
      <c r="A100" t="s">
        <v>737</v>
      </c>
      <c r="B100">
        <v>41425</v>
      </c>
      <c r="C100">
        <v>41155</v>
      </c>
      <c r="D100">
        <v>1.2</v>
      </c>
      <c r="E100">
        <v>72463</v>
      </c>
      <c r="F100">
        <v>5.5</v>
      </c>
      <c r="G100">
        <v>15010</v>
      </c>
      <c r="H100">
        <v>4565</v>
      </c>
      <c r="I100">
        <v>1615</v>
      </c>
      <c r="J100">
        <v>88</v>
      </c>
      <c r="K100">
        <v>11.2</v>
      </c>
      <c r="L100">
        <v>71.2</v>
      </c>
      <c r="M100">
        <v>67.7</v>
      </c>
      <c r="N100">
        <v>4.8</v>
      </c>
      <c r="T100">
        <f t="shared" si="3"/>
        <v>0</v>
      </c>
      <c r="AB100">
        <v>0</v>
      </c>
      <c r="AC100">
        <v>0</v>
      </c>
      <c r="AD100">
        <v>0</v>
      </c>
      <c r="AE100">
        <v>0</v>
      </c>
      <c r="AF100" t="e">
        <v>#N/A</v>
      </c>
      <c r="AG100" t="e">
        <v>#N/A</v>
      </c>
      <c r="AH100" t="e">
        <v>#N/A</v>
      </c>
      <c r="AI100" t="e">
        <v>#N/A</v>
      </c>
      <c r="AJ100" t="e">
        <v>#N/A</v>
      </c>
      <c r="AK100" t="e">
        <v>#N/A</v>
      </c>
      <c r="AL100" t="e">
        <v>#N/A</v>
      </c>
      <c r="AM100" t="e">
        <v>#N/A</v>
      </c>
      <c r="AN100" t="e">
        <v>#N/A</v>
      </c>
      <c r="AO100" t="e">
        <v>#N/A</v>
      </c>
      <c r="AP100" t="e">
        <v>#N/A</v>
      </c>
      <c r="AQ100" t="e">
        <v>#N/A</v>
      </c>
      <c r="AR100" t="e">
        <v>#N/A</v>
      </c>
      <c r="AS100" t="e">
        <v>#N/A</v>
      </c>
      <c r="AT100" t="e">
        <v>#N/A</v>
      </c>
      <c r="AU100" t="e">
        <v>#N/A</v>
      </c>
      <c r="AV100" t="e">
        <v>#N/A</v>
      </c>
      <c r="AW100" t="e">
        <v>#N/A</v>
      </c>
      <c r="AX100" t="e">
        <v>#N/A</v>
      </c>
      <c r="AY100" t="e">
        <v>#N/A</v>
      </c>
    </row>
    <row r="101" spans="1:51">
      <c r="A101" t="s">
        <v>738</v>
      </c>
      <c r="B101">
        <v>16910</v>
      </c>
      <c r="C101">
        <v>16110</v>
      </c>
      <c r="D101">
        <v>1.2</v>
      </c>
      <c r="E101">
        <v>63003</v>
      </c>
      <c r="F101">
        <v>5.3</v>
      </c>
      <c r="G101">
        <v>5980</v>
      </c>
      <c r="H101">
        <v>1890</v>
      </c>
      <c r="I101">
        <v>600</v>
      </c>
      <c r="J101">
        <v>85.4</v>
      </c>
      <c r="K101">
        <v>14.6</v>
      </c>
      <c r="L101">
        <v>71.5</v>
      </c>
      <c r="M101">
        <v>68.3</v>
      </c>
      <c r="N101">
        <v>4.5</v>
      </c>
      <c r="T101">
        <f t="shared" si="3"/>
        <v>0</v>
      </c>
      <c r="AB101">
        <v>0</v>
      </c>
      <c r="AC101">
        <v>0</v>
      </c>
      <c r="AD101">
        <v>0</v>
      </c>
      <c r="AE101">
        <v>0</v>
      </c>
      <c r="AF101" t="e">
        <v>#N/A</v>
      </c>
      <c r="AG101" t="e">
        <v>#N/A</v>
      </c>
      <c r="AH101" t="e">
        <v>#N/A</v>
      </c>
      <c r="AI101" t="e">
        <v>#N/A</v>
      </c>
      <c r="AJ101" t="e">
        <v>#N/A</v>
      </c>
      <c r="AK101" t="e">
        <v>#N/A</v>
      </c>
      <c r="AL101" t="e">
        <v>#N/A</v>
      </c>
      <c r="AM101" t="e">
        <v>#N/A</v>
      </c>
      <c r="AN101" t="e">
        <v>#N/A</v>
      </c>
      <c r="AO101" t="e">
        <v>#N/A</v>
      </c>
      <c r="AP101" t="e">
        <v>#N/A</v>
      </c>
      <c r="AQ101" t="e">
        <v>#N/A</v>
      </c>
      <c r="AR101" t="e">
        <v>#N/A</v>
      </c>
      <c r="AS101" t="e">
        <v>#N/A</v>
      </c>
      <c r="AT101" t="e">
        <v>#N/A</v>
      </c>
      <c r="AU101" t="e">
        <v>#N/A</v>
      </c>
      <c r="AV101" t="e">
        <v>#N/A</v>
      </c>
      <c r="AW101" t="e">
        <v>#N/A</v>
      </c>
      <c r="AX101" t="e">
        <v>#N/A</v>
      </c>
      <c r="AY101" t="e">
        <v>#N/A</v>
      </c>
    </row>
    <row r="102" spans="1:51">
      <c r="A102" t="s">
        <v>739</v>
      </c>
      <c r="B102">
        <v>21580</v>
      </c>
      <c r="C102">
        <v>20960</v>
      </c>
      <c r="D102">
        <v>1</v>
      </c>
      <c r="E102">
        <v>46538</v>
      </c>
      <c r="F102">
        <v>10.4</v>
      </c>
      <c r="G102">
        <v>8910</v>
      </c>
      <c r="H102">
        <v>3050</v>
      </c>
      <c r="I102">
        <v>1120</v>
      </c>
      <c r="J102">
        <v>79</v>
      </c>
      <c r="K102">
        <v>17.600000000000001</v>
      </c>
      <c r="L102">
        <v>63</v>
      </c>
      <c r="M102">
        <v>60.5</v>
      </c>
      <c r="N102">
        <v>4</v>
      </c>
      <c r="T102">
        <f t="shared" si="3"/>
        <v>0</v>
      </c>
      <c r="AB102">
        <v>0</v>
      </c>
      <c r="AC102">
        <v>0</v>
      </c>
      <c r="AD102">
        <v>0</v>
      </c>
      <c r="AE102">
        <v>0</v>
      </c>
      <c r="AF102" t="e">
        <v>#N/A</v>
      </c>
      <c r="AG102" t="e">
        <v>#N/A</v>
      </c>
      <c r="AH102" t="e">
        <v>#N/A</v>
      </c>
      <c r="AI102" t="e">
        <v>#N/A</v>
      </c>
      <c r="AJ102" t="e">
        <v>#N/A</v>
      </c>
      <c r="AK102" t="e">
        <v>#N/A</v>
      </c>
      <c r="AL102" t="e">
        <v>#N/A</v>
      </c>
      <c r="AM102" t="e">
        <v>#N/A</v>
      </c>
      <c r="AN102" t="e">
        <v>#N/A</v>
      </c>
      <c r="AO102" t="e">
        <v>#N/A</v>
      </c>
      <c r="AP102" t="e">
        <v>#N/A</v>
      </c>
      <c r="AQ102" t="e">
        <v>#N/A</v>
      </c>
      <c r="AR102" t="e">
        <v>#N/A</v>
      </c>
      <c r="AS102" t="e">
        <v>#N/A</v>
      </c>
      <c r="AT102" t="e">
        <v>#N/A</v>
      </c>
      <c r="AU102" t="e">
        <v>#N/A</v>
      </c>
      <c r="AV102" t="e">
        <v>#N/A</v>
      </c>
      <c r="AW102" t="e">
        <v>#N/A</v>
      </c>
      <c r="AX102" t="e">
        <v>#N/A</v>
      </c>
      <c r="AY102" t="e">
        <v>#N/A</v>
      </c>
    </row>
    <row r="103" spans="1:51">
      <c r="A103" t="s">
        <v>740</v>
      </c>
      <c r="B103">
        <v>10190</v>
      </c>
      <c r="C103">
        <v>10185</v>
      </c>
      <c r="D103">
        <v>1.2</v>
      </c>
      <c r="E103">
        <v>44069</v>
      </c>
      <c r="F103">
        <v>13.9</v>
      </c>
      <c r="G103">
        <v>4155</v>
      </c>
      <c r="H103">
        <v>1535</v>
      </c>
      <c r="I103">
        <v>730</v>
      </c>
      <c r="J103">
        <v>75</v>
      </c>
      <c r="K103">
        <v>15.8</v>
      </c>
      <c r="L103">
        <v>61.8</v>
      </c>
      <c r="M103">
        <v>57.6</v>
      </c>
      <c r="N103">
        <v>6.7</v>
      </c>
      <c r="T103">
        <f t="shared" si="3"/>
        <v>0</v>
      </c>
      <c r="AB103">
        <v>0</v>
      </c>
      <c r="AC103">
        <v>0</v>
      </c>
      <c r="AD103">
        <v>0</v>
      </c>
      <c r="AE103">
        <v>0</v>
      </c>
      <c r="AF103" t="e">
        <v>#N/A</v>
      </c>
      <c r="AG103" t="e">
        <v>#N/A</v>
      </c>
      <c r="AH103" t="e">
        <v>#N/A</v>
      </c>
      <c r="AI103" t="e">
        <v>#N/A</v>
      </c>
      <c r="AJ103" t="e">
        <v>#N/A</v>
      </c>
      <c r="AK103" t="e">
        <v>#N/A</v>
      </c>
      <c r="AL103" t="e">
        <v>#N/A</v>
      </c>
      <c r="AM103" t="e">
        <v>#N/A</v>
      </c>
      <c r="AN103" t="e">
        <v>#N/A</v>
      </c>
      <c r="AO103" t="e">
        <v>#N/A</v>
      </c>
      <c r="AP103" t="e">
        <v>#N/A</v>
      </c>
      <c r="AQ103" t="e">
        <v>#N/A</v>
      </c>
      <c r="AR103" t="e">
        <v>#N/A</v>
      </c>
      <c r="AS103" t="e">
        <v>#N/A</v>
      </c>
      <c r="AT103" t="e">
        <v>#N/A</v>
      </c>
      <c r="AU103" t="e">
        <v>#N/A</v>
      </c>
      <c r="AV103" t="e">
        <v>#N/A</v>
      </c>
      <c r="AW103" t="e">
        <v>#N/A</v>
      </c>
      <c r="AX103" t="e">
        <v>#N/A</v>
      </c>
      <c r="AY103" t="e">
        <v>#N/A</v>
      </c>
    </row>
    <row r="104" spans="1:51">
      <c r="A104" t="s">
        <v>741</v>
      </c>
      <c r="B104">
        <v>22530</v>
      </c>
      <c r="C104">
        <v>22380</v>
      </c>
      <c r="D104">
        <v>1</v>
      </c>
      <c r="E104">
        <v>45263</v>
      </c>
      <c r="F104">
        <v>13.8</v>
      </c>
      <c r="G104">
        <v>9645</v>
      </c>
      <c r="H104">
        <v>3740</v>
      </c>
      <c r="I104">
        <v>1335</v>
      </c>
      <c r="J104">
        <v>76.3</v>
      </c>
      <c r="K104">
        <v>21.3</v>
      </c>
      <c r="L104">
        <v>60.6</v>
      </c>
      <c r="M104">
        <v>56.7</v>
      </c>
      <c r="N104">
        <v>6.3</v>
      </c>
      <c r="T104">
        <f t="shared" si="3"/>
        <v>0</v>
      </c>
      <c r="AB104">
        <v>0</v>
      </c>
      <c r="AC104">
        <v>0</v>
      </c>
      <c r="AD104">
        <v>0</v>
      </c>
      <c r="AE104">
        <v>0</v>
      </c>
      <c r="AF104" t="e">
        <v>#N/A</v>
      </c>
      <c r="AG104" t="e">
        <v>#N/A</v>
      </c>
      <c r="AH104" t="e">
        <v>#N/A</v>
      </c>
      <c r="AI104" t="e">
        <v>#N/A</v>
      </c>
      <c r="AJ104" t="e">
        <v>#N/A</v>
      </c>
      <c r="AK104" t="e">
        <v>#N/A</v>
      </c>
      <c r="AL104" t="e">
        <v>#N/A</v>
      </c>
      <c r="AM104" t="e">
        <v>#N/A</v>
      </c>
      <c r="AN104" t="e">
        <v>#N/A</v>
      </c>
      <c r="AO104" t="e">
        <v>#N/A</v>
      </c>
      <c r="AP104" t="e">
        <v>#N/A</v>
      </c>
      <c r="AQ104" t="e">
        <v>#N/A</v>
      </c>
      <c r="AR104" t="e">
        <v>#N/A</v>
      </c>
      <c r="AS104" t="e">
        <v>#N/A</v>
      </c>
      <c r="AT104" t="e">
        <v>#N/A</v>
      </c>
      <c r="AU104" t="e">
        <v>#N/A</v>
      </c>
      <c r="AV104" t="e">
        <v>#N/A</v>
      </c>
      <c r="AW104" t="e">
        <v>#N/A</v>
      </c>
      <c r="AX104" t="e">
        <v>#N/A</v>
      </c>
      <c r="AY104" t="e">
        <v>#N/A</v>
      </c>
    </row>
    <row r="105" spans="1:51">
      <c r="A105" t="s">
        <v>686</v>
      </c>
      <c r="B105">
        <v>70</v>
      </c>
      <c r="C105">
        <v>70</v>
      </c>
      <c r="D105">
        <v>0</v>
      </c>
      <c r="E105">
        <v>0</v>
      </c>
      <c r="F105">
        <v>0</v>
      </c>
      <c r="G105">
        <v>25</v>
      </c>
      <c r="H105">
        <v>15</v>
      </c>
      <c r="I105">
        <v>10</v>
      </c>
      <c r="J105">
        <v>40</v>
      </c>
      <c r="K105">
        <v>40</v>
      </c>
      <c r="L105">
        <v>90</v>
      </c>
      <c r="M105">
        <v>90</v>
      </c>
      <c r="N105">
        <v>0</v>
      </c>
      <c r="T105">
        <f t="shared" si="3"/>
        <v>0</v>
      </c>
      <c r="W105">
        <v>27604</v>
      </c>
      <c r="X105">
        <v>31598</v>
      </c>
      <c r="Y105">
        <v>0</v>
      </c>
      <c r="Z105">
        <v>32948</v>
      </c>
      <c r="AA105">
        <v>0</v>
      </c>
      <c r="AB105">
        <v>15</v>
      </c>
      <c r="AC105">
        <v>50</v>
      </c>
      <c r="AD105">
        <v>10</v>
      </c>
      <c r="AE105">
        <v>0</v>
      </c>
      <c r="AF105">
        <v>3.4779664037784608</v>
      </c>
      <c r="AG105">
        <v>0</v>
      </c>
      <c r="AH105">
        <v>0</v>
      </c>
      <c r="AI105">
        <v>0</v>
      </c>
      <c r="AJ105">
        <v>0</v>
      </c>
      <c r="AK105">
        <v>0</v>
      </c>
      <c r="AL105">
        <v>0</v>
      </c>
      <c r="AM105">
        <v>0</v>
      </c>
      <c r="AN105">
        <v>0</v>
      </c>
      <c r="AO105">
        <v>0</v>
      </c>
      <c r="AP105">
        <v>3.4779664037784608</v>
      </c>
      <c r="AQ105">
        <v>0</v>
      </c>
      <c r="AR105">
        <v>0</v>
      </c>
      <c r="AS105">
        <v>0</v>
      </c>
      <c r="AT105">
        <v>3.4779664037784608</v>
      </c>
      <c r="AU105">
        <v>0</v>
      </c>
      <c r="AV105">
        <v>0</v>
      </c>
      <c r="AW105">
        <v>0</v>
      </c>
      <c r="AX105">
        <v>3.4779664037784608</v>
      </c>
      <c r="AY105">
        <v>5.2169496056676916</v>
      </c>
    </row>
    <row r="106" spans="1:51">
      <c r="A106" t="s">
        <v>742</v>
      </c>
      <c r="B106">
        <v>22335</v>
      </c>
      <c r="C106">
        <v>22040</v>
      </c>
      <c r="D106">
        <v>1.1000000000000001</v>
      </c>
      <c r="E106">
        <v>45327</v>
      </c>
      <c r="F106">
        <v>12</v>
      </c>
      <c r="G106">
        <v>8845</v>
      </c>
      <c r="H106">
        <v>3055</v>
      </c>
      <c r="I106">
        <v>1330</v>
      </c>
      <c r="J106">
        <v>80.599999999999994</v>
      </c>
      <c r="K106">
        <v>15</v>
      </c>
      <c r="L106">
        <v>60.7</v>
      </c>
      <c r="M106">
        <v>54.9</v>
      </c>
      <c r="N106">
        <v>9.5</v>
      </c>
      <c r="T106">
        <f t="shared" si="3"/>
        <v>0</v>
      </c>
      <c r="AB106">
        <v>0</v>
      </c>
      <c r="AC106">
        <v>0</v>
      </c>
      <c r="AD106">
        <v>0</v>
      </c>
      <c r="AE106">
        <v>0</v>
      </c>
      <c r="AF106" t="e">
        <v>#N/A</v>
      </c>
      <c r="AG106" t="e">
        <v>#N/A</v>
      </c>
      <c r="AH106" t="e">
        <v>#N/A</v>
      </c>
      <c r="AI106" t="e">
        <v>#N/A</v>
      </c>
      <c r="AJ106" t="e">
        <v>#N/A</v>
      </c>
      <c r="AK106" t="e">
        <v>#N/A</v>
      </c>
      <c r="AL106" t="e">
        <v>#N/A</v>
      </c>
      <c r="AM106" t="e">
        <v>#N/A</v>
      </c>
      <c r="AN106" t="e">
        <v>#N/A</v>
      </c>
      <c r="AO106" t="e">
        <v>#N/A</v>
      </c>
      <c r="AP106" t="e">
        <v>#N/A</v>
      </c>
      <c r="AQ106" t="e">
        <v>#N/A</v>
      </c>
      <c r="AR106" t="e">
        <v>#N/A</v>
      </c>
      <c r="AS106" t="e">
        <v>#N/A</v>
      </c>
      <c r="AT106" t="e">
        <v>#N/A</v>
      </c>
      <c r="AU106" t="e">
        <v>#N/A</v>
      </c>
      <c r="AV106" t="e">
        <v>#N/A</v>
      </c>
      <c r="AW106" t="e">
        <v>#N/A</v>
      </c>
      <c r="AX106" t="e">
        <v>#N/A</v>
      </c>
      <c r="AY106" t="e">
        <v>#N/A</v>
      </c>
    </row>
    <row r="107" spans="1:51">
      <c r="A107" t="s">
        <v>693</v>
      </c>
      <c r="B107">
        <v>45</v>
      </c>
      <c r="C107">
        <v>45</v>
      </c>
      <c r="D107">
        <v>0.7</v>
      </c>
      <c r="E107">
        <v>45366</v>
      </c>
      <c r="F107">
        <v>0</v>
      </c>
      <c r="G107">
        <v>20</v>
      </c>
      <c r="H107">
        <v>0</v>
      </c>
      <c r="I107">
        <v>10</v>
      </c>
      <c r="J107">
        <v>125</v>
      </c>
      <c r="K107">
        <v>0</v>
      </c>
      <c r="L107">
        <v>22.2</v>
      </c>
      <c r="M107">
        <v>22.2</v>
      </c>
      <c r="N107">
        <v>0</v>
      </c>
      <c r="T107">
        <f t="shared" si="3"/>
        <v>0</v>
      </c>
      <c r="W107">
        <v>19238</v>
      </c>
      <c r="X107">
        <v>0</v>
      </c>
      <c r="Y107">
        <v>20985</v>
      </c>
      <c r="Z107">
        <v>27392</v>
      </c>
      <c r="AA107">
        <v>12000</v>
      </c>
      <c r="AB107">
        <v>0</v>
      </c>
      <c r="AC107">
        <v>20</v>
      </c>
      <c r="AD107">
        <v>20</v>
      </c>
      <c r="AE107">
        <v>10</v>
      </c>
      <c r="AF107">
        <v>0</v>
      </c>
      <c r="AG107">
        <v>0</v>
      </c>
      <c r="AH107">
        <v>0</v>
      </c>
      <c r="AI107">
        <v>0</v>
      </c>
      <c r="AJ107">
        <v>0</v>
      </c>
      <c r="AK107">
        <v>0</v>
      </c>
      <c r="AL107">
        <v>10.433899211335383</v>
      </c>
      <c r="AM107">
        <v>0</v>
      </c>
      <c r="AN107">
        <v>0</v>
      </c>
      <c r="AO107">
        <v>0</v>
      </c>
      <c r="AP107">
        <v>0</v>
      </c>
      <c r="AQ107">
        <v>0</v>
      </c>
      <c r="AR107">
        <v>0</v>
      </c>
      <c r="AS107">
        <v>0</v>
      </c>
      <c r="AT107">
        <v>0</v>
      </c>
      <c r="AU107">
        <v>0</v>
      </c>
      <c r="AV107">
        <v>0</v>
      </c>
      <c r="AW107">
        <v>10.433899211335383</v>
      </c>
      <c r="AX107">
        <v>0</v>
      </c>
      <c r="AY107">
        <v>0</v>
      </c>
    </row>
    <row r="108" spans="1:51">
      <c r="A108" t="s">
        <v>694</v>
      </c>
      <c r="B108">
        <v>0</v>
      </c>
      <c r="C108">
        <v>0</v>
      </c>
      <c r="G108">
        <v>0</v>
      </c>
      <c r="H108">
        <v>0</v>
      </c>
      <c r="I108">
        <v>0</v>
      </c>
      <c r="T108">
        <f t="shared" si="3"/>
        <v>0</v>
      </c>
      <c r="W108">
        <v>0</v>
      </c>
      <c r="X108">
        <v>0</v>
      </c>
      <c r="Y108">
        <v>0</v>
      </c>
      <c r="Z108">
        <v>0</v>
      </c>
      <c r="AA108">
        <v>0</v>
      </c>
      <c r="AB108">
        <v>0</v>
      </c>
      <c r="AC108">
        <v>0</v>
      </c>
      <c r="AD108">
        <v>0</v>
      </c>
      <c r="AE108">
        <v>0</v>
      </c>
      <c r="AF108" t="e">
        <v>#VALUE!</v>
      </c>
      <c r="AG108" t="e">
        <v>#VALUE!</v>
      </c>
      <c r="AH108" t="e">
        <v>#VALUE!</v>
      </c>
      <c r="AI108" t="e">
        <v>#VALUE!</v>
      </c>
      <c r="AJ108" t="e">
        <v>#VALUE!</v>
      </c>
      <c r="AK108" t="e">
        <v>#VALUE!</v>
      </c>
      <c r="AL108" t="e">
        <v>#VALUE!</v>
      </c>
      <c r="AM108" t="e">
        <v>#VALUE!</v>
      </c>
      <c r="AN108" t="e">
        <v>#VALUE!</v>
      </c>
      <c r="AO108" t="e">
        <v>#VALUE!</v>
      </c>
      <c r="AP108" t="e">
        <v>#VALUE!</v>
      </c>
      <c r="AQ108" t="e">
        <v>#VALUE!</v>
      </c>
      <c r="AR108" t="e">
        <v>#VALUE!</v>
      </c>
      <c r="AS108" t="e">
        <v>#VALUE!</v>
      </c>
      <c r="AT108" t="e">
        <v>#VALUE!</v>
      </c>
      <c r="AU108" t="e">
        <v>#VALUE!</v>
      </c>
      <c r="AV108" t="e">
        <v>#VALUE!</v>
      </c>
      <c r="AW108" t="e">
        <v>#VALUE!</v>
      </c>
      <c r="AX108" t="e">
        <v>#VALUE!</v>
      </c>
      <c r="AY108" t="e">
        <v>#VALUE!</v>
      </c>
    </row>
    <row r="109" spans="1:51">
      <c r="A109" t="s">
        <v>743</v>
      </c>
      <c r="B109">
        <v>15700</v>
      </c>
      <c r="C109">
        <v>15685</v>
      </c>
      <c r="D109">
        <v>1.9</v>
      </c>
      <c r="E109">
        <v>28140</v>
      </c>
      <c r="F109">
        <v>40.200000000000003</v>
      </c>
      <c r="G109">
        <v>4365</v>
      </c>
      <c r="H109">
        <v>1395</v>
      </c>
      <c r="I109">
        <v>1820</v>
      </c>
      <c r="J109">
        <v>29.1</v>
      </c>
      <c r="K109">
        <v>14</v>
      </c>
      <c r="L109">
        <v>49.6</v>
      </c>
      <c r="M109">
        <v>36.1</v>
      </c>
      <c r="N109">
        <v>27.2</v>
      </c>
      <c r="T109">
        <f t="shared" si="3"/>
        <v>0</v>
      </c>
      <c r="AB109">
        <v>0</v>
      </c>
      <c r="AC109">
        <v>0</v>
      </c>
      <c r="AD109">
        <v>0</v>
      </c>
      <c r="AE109">
        <v>0</v>
      </c>
      <c r="AF109" t="e">
        <v>#N/A</v>
      </c>
      <c r="AG109" t="e">
        <v>#N/A</v>
      </c>
      <c r="AH109" t="e">
        <v>#N/A</v>
      </c>
      <c r="AI109" t="e">
        <v>#N/A</v>
      </c>
      <c r="AJ109" t="e">
        <v>#N/A</v>
      </c>
      <c r="AK109" t="e">
        <v>#N/A</v>
      </c>
      <c r="AL109" t="e">
        <v>#N/A</v>
      </c>
      <c r="AM109" t="e">
        <v>#N/A</v>
      </c>
      <c r="AN109" t="e">
        <v>#N/A</v>
      </c>
      <c r="AO109" t="e">
        <v>#N/A</v>
      </c>
      <c r="AP109" t="e">
        <v>#N/A</v>
      </c>
      <c r="AQ109" t="e">
        <v>#N/A</v>
      </c>
      <c r="AR109" t="e">
        <v>#N/A</v>
      </c>
      <c r="AS109" t="e">
        <v>#N/A</v>
      </c>
      <c r="AT109" t="e">
        <v>#N/A</v>
      </c>
      <c r="AU109" t="e">
        <v>#N/A</v>
      </c>
      <c r="AV109" t="e">
        <v>#N/A</v>
      </c>
      <c r="AW109" t="e">
        <v>#N/A</v>
      </c>
      <c r="AX109" t="e">
        <v>#N/A</v>
      </c>
      <c r="AY109" t="e">
        <v>#N/A</v>
      </c>
    </row>
    <row r="110" spans="1:51">
      <c r="A110" t="s">
        <v>695</v>
      </c>
      <c r="B110">
        <v>3210</v>
      </c>
      <c r="C110">
        <v>3200</v>
      </c>
      <c r="D110">
        <v>1.6</v>
      </c>
      <c r="E110">
        <v>31915</v>
      </c>
      <c r="F110">
        <v>40.200000000000003</v>
      </c>
      <c r="G110">
        <v>1080</v>
      </c>
      <c r="H110">
        <v>325</v>
      </c>
      <c r="I110">
        <v>310</v>
      </c>
      <c r="J110">
        <v>62</v>
      </c>
      <c r="K110">
        <v>37.5</v>
      </c>
      <c r="L110">
        <v>52.9</v>
      </c>
      <c r="M110">
        <v>40.200000000000003</v>
      </c>
      <c r="N110">
        <v>24.3</v>
      </c>
      <c r="T110">
        <f t="shared" si="3"/>
        <v>0</v>
      </c>
      <c r="W110">
        <v>17150</v>
      </c>
      <c r="X110">
        <v>18979</v>
      </c>
      <c r="Y110">
        <v>14810</v>
      </c>
      <c r="Z110">
        <v>13151</v>
      </c>
      <c r="AA110">
        <v>11619</v>
      </c>
      <c r="AB110">
        <v>1025</v>
      </c>
      <c r="AC110">
        <v>1870</v>
      </c>
      <c r="AD110">
        <v>630</v>
      </c>
      <c r="AE110">
        <v>300</v>
      </c>
      <c r="AF110">
        <v>3.7425942823268223</v>
      </c>
      <c r="AG110">
        <v>1.0887547003132574</v>
      </c>
      <c r="AH110">
        <v>0.27218867507831435</v>
      </c>
      <c r="AI110">
        <v>0.61242451892620731</v>
      </c>
      <c r="AJ110">
        <v>0.47633018138705013</v>
      </c>
      <c r="AK110">
        <v>0</v>
      </c>
      <c r="AL110">
        <v>0.47633018138705013</v>
      </c>
      <c r="AM110">
        <v>0.74851885646536453</v>
      </c>
      <c r="AN110">
        <v>0</v>
      </c>
      <c r="AO110">
        <v>0</v>
      </c>
      <c r="AP110">
        <v>0</v>
      </c>
      <c r="AQ110">
        <v>0.13609433753915717</v>
      </c>
      <c r="AR110">
        <v>0</v>
      </c>
      <c r="AS110">
        <v>0.13609433753915717</v>
      </c>
      <c r="AT110">
        <v>2.5857924132439862</v>
      </c>
      <c r="AU110">
        <v>1.2928962066219931</v>
      </c>
      <c r="AV110">
        <v>0.13609433753915717</v>
      </c>
      <c r="AW110">
        <v>1.0887547003132574</v>
      </c>
      <c r="AX110">
        <v>0.68047168769578581</v>
      </c>
      <c r="AY110">
        <v>1.4289905441611503</v>
      </c>
    </row>
    <row r="111" spans="1:51">
      <c r="A111" t="s">
        <v>744</v>
      </c>
      <c r="B111">
        <v>50475</v>
      </c>
      <c r="C111">
        <v>49900</v>
      </c>
      <c r="D111">
        <v>1.4</v>
      </c>
      <c r="E111">
        <v>55117</v>
      </c>
      <c r="F111">
        <v>8.1</v>
      </c>
      <c r="G111">
        <v>16685</v>
      </c>
      <c r="H111">
        <v>4930</v>
      </c>
      <c r="I111">
        <v>1715</v>
      </c>
      <c r="J111">
        <v>81.5</v>
      </c>
      <c r="K111">
        <v>17.600000000000001</v>
      </c>
      <c r="L111">
        <v>72.3</v>
      </c>
      <c r="M111">
        <v>69.5</v>
      </c>
      <c r="N111">
        <v>3.9</v>
      </c>
      <c r="T111">
        <f t="shared" si="3"/>
        <v>0</v>
      </c>
      <c r="AB111">
        <v>0</v>
      </c>
      <c r="AC111">
        <v>0</v>
      </c>
      <c r="AD111">
        <v>0</v>
      </c>
      <c r="AE111">
        <v>0</v>
      </c>
      <c r="AF111" t="e">
        <v>#N/A</v>
      </c>
      <c r="AG111" t="e">
        <v>#N/A</v>
      </c>
      <c r="AH111" t="e">
        <v>#N/A</v>
      </c>
      <c r="AI111" t="e">
        <v>#N/A</v>
      </c>
      <c r="AJ111" t="e">
        <v>#N/A</v>
      </c>
      <c r="AK111" t="e">
        <v>#N/A</v>
      </c>
      <c r="AL111" t="e">
        <v>#N/A</v>
      </c>
      <c r="AM111" t="e">
        <v>#N/A</v>
      </c>
      <c r="AN111" t="e">
        <v>#N/A</v>
      </c>
      <c r="AO111" t="e">
        <v>#N/A</v>
      </c>
      <c r="AP111" t="e">
        <v>#N/A</v>
      </c>
      <c r="AQ111" t="e">
        <v>#N/A</v>
      </c>
      <c r="AR111" t="e">
        <v>#N/A</v>
      </c>
      <c r="AS111" t="e">
        <v>#N/A</v>
      </c>
      <c r="AT111" t="e">
        <v>#N/A</v>
      </c>
      <c r="AU111" t="e">
        <v>#N/A</v>
      </c>
      <c r="AV111" t="e">
        <v>#N/A</v>
      </c>
      <c r="AW111" t="e">
        <v>#N/A</v>
      </c>
      <c r="AX111" t="e">
        <v>#N/A</v>
      </c>
      <c r="AY111" t="e">
        <v>#N/A</v>
      </c>
    </row>
    <row r="112" spans="1:51">
      <c r="A112" t="s">
        <v>745</v>
      </c>
      <c r="B112">
        <v>10860</v>
      </c>
      <c r="C112">
        <v>10840</v>
      </c>
      <c r="D112">
        <v>1.1000000000000001</v>
      </c>
      <c r="E112">
        <v>47982</v>
      </c>
      <c r="F112">
        <v>13</v>
      </c>
      <c r="G112">
        <v>4530</v>
      </c>
      <c r="H112">
        <v>1395</v>
      </c>
      <c r="I112">
        <v>645</v>
      </c>
      <c r="J112">
        <v>76.8</v>
      </c>
      <c r="K112">
        <v>23.2</v>
      </c>
      <c r="L112">
        <v>64.3</v>
      </c>
      <c r="M112">
        <v>60</v>
      </c>
      <c r="N112">
        <v>6.6</v>
      </c>
      <c r="T112">
        <f t="shared" si="3"/>
        <v>0</v>
      </c>
      <c r="AB112">
        <v>0</v>
      </c>
      <c r="AC112">
        <v>0</v>
      </c>
      <c r="AD112">
        <v>0</v>
      </c>
      <c r="AE112">
        <v>0</v>
      </c>
      <c r="AF112" t="e">
        <v>#N/A</v>
      </c>
      <c r="AG112" t="e">
        <v>#N/A</v>
      </c>
      <c r="AH112" t="e">
        <v>#N/A</v>
      </c>
      <c r="AI112" t="e">
        <v>#N/A</v>
      </c>
      <c r="AJ112" t="e">
        <v>#N/A</v>
      </c>
      <c r="AK112" t="e">
        <v>#N/A</v>
      </c>
      <c r="AL112" t="e">
        <v>#N/A</v>
      </c>
      <c r="AM112" t="e">
        <v>#N/A</v>
      </c>
      <c r="AN112" t="e">
        <v>#N/A</v>
      </c>
      <c r="AO112" t="e">
        <v>#N/A</v>
      </c>
      <c r="AP112" t="e">
        <v>#N/A</v>
      </c>
      <c r="AQ112" t="e">
        <v>#N/A</v>
      </c>
      <c r="AR112" t="e">
        <v>#N/A</v>
      </c>
      <c r="AS112" t="e">
        <v>#N/A</v>
      </c>
      <c r="AT112" t="e">
        <v>#N/A</v>
      </c>
      <c r="AU112" t="e">
        <v>#N/A</v>
      </c>
      <c r="AV112" t="e">
        <v>#N/A</v>
      </c>
      <c r="AW112" t="e">
        <v>#N/A</v>
      </c>
      <c r="AX112" t="e">
        <v>#N/A</v>
      </c>
      <c r="AY112" t="e">
        <v>#N/A</v>
      </c>
    </row>
    <row r="113" spans="1:51">
      <c r="A113" t="s">
        <v>700</v>
      </c>
      <c r="B113">
        <v>0</v>
      </c>
      <c r="C113">
        <v>0</v>
      </c>
      <c r="G113">
        <v>0</v>
      </c>
      <c r="H113">
        <v>0</v>
      </c>
      <c r="I113">
        <v>0</v>
      </c>
      <c r="T113">
        <f t="shared" si="3"/>
        <v>0</v>
      </c>
      <c r="W113">
        <v>0</v>
      </c>
      <c r="X113">
        <v>0</v>
      </c>
      <c r="Y113">
        <v>0</v>
      </c>
      <c r="Z113">
        <v>0</v>
      </c>
      <c r="AA113">
        <v>0</v>
      </c>
      <c r="AB113">
        <v>0</v>
      </c>
      <c r="AC113">
        <v>0</v>
      </c>
      <c r="AD113">
        <v>0</v>
      </c>
      <c r="AE113">
        <v>0</v>
      </c>
      <c r="AF113" t="e">
        <v>#VALUE!</v>
      </c>
      <c r="AG113" t="e">
        <v>#VALUE!</v>
      </c>
      <c r="AH113" t="e">
        <v>#VALUE!</v>
      </c>
      <c r="AI113" t="e">
        <v>#VALUE!</v>
      </c>
      <c r="AJ113" t="e">
        <v>#VALUE!</v>
      </c>
      <c r="AK113" t="e">
        <v>#VALUE!</v>
      </c>
      <c r="AL113" t="e">
        <v>#VALUE!</v>
      </c>
      <c r="AM113" t="e">
        <v>#VALUE!</v>
      </c>
      <c r="AN113" t="e">
        <v>#VALUE!</v>
      </c>
      <c r="AO113" t="e">
        <v>#VALUE!</v>
      </c>
      <c r="AP113" t="e">
        <v>#VALUE!</v>
      </c>
      <c r="AQ113" t="e">
        <v>#VALUE!</v>
      </c>
      <c r="AR113" t="e">
        <v>#VALUE!</v>
      </c>
      <c r="AS113" t="e">
        <v>#VALUE!</v>
      </c>
      <c r="AT113" t="e">
        <v>#VALUE!</v>
      </c>
      <c r="AU113" t="e">
        <v>#VALUE!</v>
      </c>
      <c r="AV113" t="e">
        <v>#VALUE!</v>
      </c>
      <c r="AW113" t="e">
        <v>#VALUE!</v>
      </c>
      <c r="AX113" t="e">
        <v>#VALUE!</v>
      </c>
      <c r="AY113" t="e">
        <v>#VALUE!</v>
      </c>
    </row>
    <row r="114" spans="1:51">
      <c r="A114" t="s">
        <v>699</v>
      </c>
      <c r="B114">
        <v>35</v>
      </c>
      <c r="C114">
        <v>40</v>
      </c>
      <c r="D114">
        <v>0</v>
      </c>
      <c r="F114">
        <v>0</v>
      </c>
      <c r="G114">
        <v>20</v>
      </c>
      <c r="H114">
        <v>0</v>
      </c>
      <c r="I114">
        <v>0</v>
      </c>
      <c r="J114">
        <v>100</v>
      </c>
      <c r="K114">
        <v>50</v>
      </c>
      <c r="L114">
        <v>25</v>
      </c>
      <c r="M114">
        <v>25</v>
      </c>
      <c r="N114">
        <v>0</v>
      </c>
      <c r="T114">
        <f t="shared" si="3"/>
        <v>0</v>
      </c>
      <c r="W114">
        <v>0</v>
      </c>
      <c r="X114">
        <v>0</v>
      </c>
      <c r="Y114">
        <v>0</v>
      </c>
      <c r="Z114">
        <v>0</v>
      </c>
      <c r="AA114">
        <v>0</v>
      </c>
      <c r="AB114">
        <v>0</v>
      </c>
      <c r="AC114">
        <v>10</v>
      </c>
      <c r="AD114">
        <v>10</v>
      </c>
      <c r="AE114">
        <v>10</v>
      </c>
      <c r="AF114" t="e">
        <v>#DIV/0!</v>
      </c>
      <c r="AG114" t="e">
        <v>#DIV/0!</v>
      </c>
      <c r="AH114" t="e">
        <v>#DIV/0!</v>
      </c>
      <c r="AI114" t="e">
        <v>#DIV/0!</v>
      </c>
      <c r="AJ114" t="e">
        <v>#DIV/0!</v>
      </c>
      <c r="AK114" t="e">
        <v>#DIV/0!</v>
      </c>
      <c r="AL114" t="e">
        <v>#DIV/0!</v>
      </c>
      <c r="AM114" t="e">
        <v>#DIV/0!</v>
      </c>
      <c r="AN114" t="e">
        <v>#DIV/0!</v>
      </c>
      <c r="AO114" t="e">
        <v>#DIV/0!</v>
      </c>
      <c r="AP114" t="e">
        <v>#DIV/0!</v>
      </c>
      <c r="AQ114" t="e">
        <v>#DIV/0!</v>
      </c>
      <c r="AR114" t="e">
        <v>#DIV/0!</v>
      </c>
      <c r="AS114" t="e">
        <v>#DIV/0!</v>
      </c>
      <c r="AT114" t="e">
        <v>#DIV/0!</v>
      </c>
      <c r="AU114" t="e">
        <v>#DIV/0!</v>
      </c>
      <c r="AV114" t="e">
        <v>#DIV/0!</v>
      </c>
      <c r="AW114" t="e">
        <v>#DIV/0!</v>
      </c>
      <c r="AX114" t="e">
        <v>#DIV/0!</v>
      </c>
      <c r="AY114" t="e">
        <v>#DIV/0!</v>
      </c>
    </row>
    <row r="115" spans="1:51">
      <c r="A115" t="s">
        <v>746</v>
      </c>
      <c r="B115">
        <v>22380</v>
      </c>
      <c r="C115">
        <v>22325</v>
      </c>
      <c r="D115">
        <v>1.4</v>
      </c>
      <c r="E115">
        <v>57418</v>
      </c>
      <c r="F115">
        <v>11.6</v>
      </c>
      <c r="G115">
        <v>8090</v>
      </c>
      <c r="H115">
        <v>3250</v>
      </c>
      <c r="I115">
        <v>1315</v>
      </c>
      <c r="J115">
        <v>63</v>
      </c>
      <c r="K115">
        <v>28.2</v>
      </c>
      <c r="L115">
        <v>65.400000000000006</v>
      </c>
      <c r="M115">
        <v>57.5</v>
      </c>
      <c r="N115">
        <v>12.1</v>
      </c>
      <c r="T115">
        <f t="shared" si="3"/>
        <v>0</v>
      </c>
      <c r="AB115">
        <v>0</v>
      </c>
      <c r="AC115">
        <v>0</v>
      </c>
      <c r="AD115">
        <v>0</v>
      </c>
      <c r="AE115">
        <v>0</v>
      </c>
      <c r="AF115" t="e">
        <v>#N/A</v>
      </c>
      <c r="AG115" t="e">
        <v>#N/A</v>
      </c>
      <c r="AH115" t="e">
        <v>#N/A</v>
      </c>
      <c r="AI115" t="e">
        <v>#N/A</v>
      </c>
      <c r="AJ115" t="e">
        <v>#N/A</v>
      </c>
      <c r="AK115" t="e">
        <v>#N/A</v>
      </c>
      <c r="AL115" t="e">
        <v>#N/A</v>
      </c>
      <c r="AM115" t="e">
        <v>#N/A</v>
      </c>
      <c r="AN115" t="e">
        <v>#N/A</v>
      </c>
      <c r="AO115" t="e">
        <v>#N/A</v>
      </c>
      <c r="AP115" t="e">
        <v>#N/A</v>
      </c>
      <c r="AQ115" t="e">
        <v>#N/A</v>
      </c>
      <c r="AR115" t="e">
        <v>#N/A</v>
      </c>
      <c r="AS115" t="e">
        <v>#N/A</v>
      </c>
      <c r="AT115" t="e">
        <v>#N/A</v>
      </c>
      <c r="AU115" t="e">
        <v>#N/A</v>
      </c>
      <c r="AV115" t="e">
        <v>#N/A</v>
      </c>
      <c r="AW115" t="e">
        <v>#N/A</v>
      </c>
      <c r="AX115" t="e">
        <v>#N/A</v>
      </c>
      <c r="AY115" t="e">
        <v>#N/A</v>
      </c>
    </row>
    <row r="116" spans="1:51">
      <c r="A116" t="s">
        <v>703</v>
      </c>
      <c r="B116">
        <v>1980</v>
      </c>
      <c r="C116">
        <v>1980</v>
      </c>
      <c r="D116">
        <v>1.1000000000000001</v>
      </c>
      <c r="E116">
        <v>64426</v>
      </c>
      <c r="F116">
        <v>14.3</v>
      </c>
      <c r="G116">
        <v>725</v>
      </c>
      <c r="H116">
        <v>240</v>
      </c>
      <c r="I116">
        <v>125</v>
      </c>
      <c r="J116">
        <v>79.3</v>
      </c>
      <c r="K116">
        <v>20.7</v>
      </c>
      <c r="L116">
        <v>58</v>
      </c>
      <c r="M116">
        <v>50.5</v>
      </c>
      <c r="N116">
        <v>12.4</v>
      </c>
      <c r="T116">
        <f t="shared" si="3"/>
        <v>0</v>
      </c>
      <c r="W116">
        <v>34877</v>
      </c>
      <c r="X116">
        <v>42676</v>
      </c>
      <c r="Y116">
        <v>23572</v>
      </c>
      <c r="Z116">
        <v>35172</v>
      </c>
      <c r="AA116">
        <v>16059</v>
      </c>
      <c r="AB116">
        <v>465</v>
      </c>
      <c r="AC116">
        <v>1335</v>
      </c>
      <c r="AD116">
        <v>655</v>
      </c>
      <c r="AE116">
        <v>170</v>
      </c>
      <c r="AF116">
        <v>1.2379202454126728</v>
      </c>
      <c r="AG116">
        <v>0.35369149868933503</v>
      </c>
      <c r="AH116">
        <v>0</v>
      </c>
      <c r="AI116">
        <v>0.5305372480340026</v>
      </c>
      <c r="AJ116">
        <v>2.1221489921360104</v>
      </c>
      <c r="AK116">
        <v>0.17684574934466751</v>
      </c>
      <c r="AL116">
        <v>2.2105718668083441</v>
      </c>
      <c r="AM116">
        <v>1.0610744960680052</v>
      </c>
      <c r="AN116">
        <v>0.35369149868933503</v>
      </c>
      <c r="AO116">
        <v>0.35369149868933503</v>
      </c>
      <c r="AP116">
        <v>0.17684574934466751</v>
      </c>
      <c r="AQ116">
        <v>0.44211437336166881</v>
      </c>
      <c r="AR116">
        <v>0</v>
      </c>
      <c r="AS116">
        <v>0.2652686240170013</v>
      </c>
      <c r="AT116">
        <v>1.7684574934466752</v>
      </c>
      <c r="AU116">
        <v>1.5916117441020077</v>
      </c>
      <c r="AV116">
        <v>0.17684574934466751</v>
      </c>
      <c r="AW116">
        <v>0.5305372480340026</v>
      </c>
      <c r="AX116">
        <v>0.35369149868933503</v>
      </c>
      <c r="AY116">
        <v>1.5916117441020077</v>
      </c>
    </row>
    <row r="117" spans="1:51">
      <c r="A117" t="s">
        <v>747</v>
      </c>
      <c r="B117">
        <v>34980</v>
      </c>
      <c r="C117">
        <v>34950</v>
      </c>
      <c r="D117">
        <v>1.9</v>
      </c>
      <c r="E117">
        <v>46145</v>
      </c>
      <c r="F117">
        <v>19.3</v>
      </c>
      <c r="G117">
        <v>9780</v>
      </c>
      <c r="H117">
        <v>3505</v>
      </c>
      <c r="I117">
        <v>2405</v>
      </c>
      <c r="J117">
        <v>33.5</v>
      </c>
      <c r="K117">
        <v>27.7</v>
      </c>
      <c r="L117">
        <v>61.5</v>
      </c>
      <c r="M117">
        <v>50.7</v>
      </c>
      <c r="N117">
        <v>17.7</v>
      </c>
      <c r="T117">
        <f t="shared" si="3"/>
        <v>0</v>
      </c>
      <c r="AB117">
        <v>0</v>
      </c>
      <c r="AC117">
        <v>0</v>
      </c>
      <c r="AD117">
        <v>0</v>
      </c>
      <c r="AE117">
        <v>0</v>
      </c>
      <c r="AF117" t="e">
        <v>#N/A</v>
      </c>
      <c r="AG117" t="e">
        <v>#N/A</v>
      </c>
      <c r="AH117" t="e">
        <v>#N/A</v>
      </c>
      <c r="AI117" t="e">
        <v>#N/A</v>
      </c>
      <c r="AJ117" t="e">
        <v>#N/A</v>
      </c>
      <c r="AK117" t="e">
        <v>#N/A</v>
      </c>
      <c r="AL117" t="e">
        <v>#N/A</v>
      </c>
      <c r="AM117" t="e">
        <v>#N/A</v>
      </c>
      <c r="AN117" t="e">
        <v>#N/A</v>
      </c>
      <c r="AO117" t="e">
        <v>#N/A</v>
      </c>
      <c r="AP117" t="e">
        <v>#N/A</v>
      </c>
      <c r="AQ117" t="e">
        <v>#N/A</v>
      </c>
      <c r="AR117" t="e">
        <v>#N/A</v>
      </c>
      <c r="AS117" t="e">
        <v>#N/A</v>
      </c>
      <c r="AT117" t="e">
        <v>#N/A</v>
      </c>
      <c r="AU117" t="e">
        <v>#N/A</v>
      </c>
      <c r="AV117" t="e">
        <v>#N/A</v>
      </c>
      <c r="AW117" t="e">
        <v>#N/A</v>
      </c>
      <c r="AX117" t="e">
        <v>#N/A</v>
      </c>
      <c r="AY117" t="e">
        <v>#N/A</v>
      </c>
    </row>
    <row r="118" spans="1:51">
      <c r="A118" t="s">
        <v>705</v>
      </c>
      <c r="B118">
        <v>2085</v>
      </c>
      <c r="C118">
        <v>2075</v>
      </c>
      <c r="D118">
        <v>1.4</v>
      </c>
      <c r="E118">
        <v>48134</v>
      </c>
      <c r="F118">
        <v>25</v>
      </c>
      <c r="G118">
        <v>710</v>
      </c>
      <c r="H118">
        <v>285</v>
      </c>
      <c r="I118">
        <v>175</v>
      </c>
      <c r="J118">
        <v>52.1</v>
      </c>
      <c r="K118">
        <v>47.9</v>
      </c>
      <c r="L118">
        <v>61.5</v>
      </c>
      <c r="M118">
        <v>51</v>
      </c>
      <c r="N118">
        <v>16.899999999999999</v>
      </c>
      <c r="T118">
        <f t="shared" si="3"/>
        <v>0</v>
      </c>
      <c r="W118">
        <v>27393</v>
      </c>
      <c r="X118">
        <v>32323</v>
      </c>
      <c r="Y118">
        <v>21717</v>
      </c>
      <c r="Z118">
        <v>22458</v>
      </c>
      <c r="AA118">
        <v>13971</v>
      </c>
      <c r="AB118">
        <v>640</v>
      </c>
      <c r="AC118">
        <v>1320</v>
      </c>
      <c r="AD118">
        <v>425</v>
      </c>
      <c r="AE118">
        <v>120</v>
      </c>
      <c r="AF118">
        <v>1.3263431200850062</v>
      </c>
      <c r="AG118">
        <v>0.70738299737867005</v>
      </c>
      <c r="AH118">
        <v>0.44211437336166881</v>
      </c>
      <c r="AI118">
        <v>0.70738299737867005</v>
      </c>
      <c r="AJ118">
        <v>0.2652686240170013</v>
      </c>
      <c r="AK118">
        <v>0.17684574934466751</v>
      </c>
      <c r="AL118">
        <v>1.4147659947573401</v>
      </c>
      <c r="AM118">
        <v>0.88422874672333762</v>
      </c>
      <c r="AN118">
        <v>0.17684574934466751</v>
      </c>
      <c r="AO118">
        <v>0</v>
      </c>
      <c r="AP118">
        <v>0.17684574934466751</v>
      </c>
      <c r="AQ118">
        <v>0.17684574934466751</v>
      </c>
      <c r="AR118">
        <v>0</v>
      </c>
      <c r="AS118">
        <v>0.2652686240170013</v>
      </c>
      <c r="AT118">
        <v>2.8295319895146802</v>
      </c>
      <c r="AU118">
        <v>1.4147659947573401</v>
      </c>
      <c r="AV118">
        <v>0.17684574934466751</v>
      </c>
      <c r="AW118">
        <v>1.0610744960680052</v>
      </c>
      <c r="AX118">
        <v>0.61896012270633638</v>
      </c>
      <c r="AY118">
        <v>2.2105718668083441</v>
      </c>
    </row>
    <row r="119" spans="1:51">
      <c r="A119" t="s">
        <v>748</v>
      </c>
      <c r="B119">
        <v>8970</v>
      </c>
      <c r="C119">
        <v>8960</v>
      </c>
      <c r="D119">
        <v>1.9</v>
      </c>
      <c r="E119">
        <v>48315</v>
      </c>
      <c r="F119">
        <v>14.5</v>
      </c>
      <c r="G119">
        <v>2590</v>
      </c>
      <c r="H119">
        <v>905</v>
      </c>
      <c r="I119">
        <v>680</v>
      </c>
      <c r="J119">
        <v>30.5</v>
      </c>
      <c r="K119">
        <v>46.3</v>
      </c>
      <c r="L119">
        <v>58.8</v>
      </c>
      <c r="M119">
        <v>49.4</v>
      </c>
      <c r="N119">
        <v>16</v>
      </c>
      <c r="T119">
        <f t="shared" si="3"/>
        <v>0</v>
      </c>
      <c r="AB119">
        <v>0</v>
      </c>
      <c r="AC119">
        <v>0</v>
      </c>
      <c r="AD119">
        <v>0</v>
      </c>
      <c r="AE119">
        <v>0</v>
      </c>
      <c r="AF119" t="e">
        <v>#N/A</v>
      </c>
      <c r="AG119" t="e">
        <v>#N/A</v>
      </c>
      <c r="AH119" t="e">
        <v>#N/A</v>
      </c>
      <c r="AI119" t="e">
        <v>#N/A</v>
      </c>
      <c r="AJ119" t="e">
        <v>#N/A</v>
      </c>
      <c r="AK119" t="e">
        <v>#N/A</v>
      </c>
      <c r="AL119" t="e">
        <v>#N/A</v>
      </c>
      <c r="AM119" t="e">
        <v>#N/A</v>
      </c>
      <c r="AN119" t="e">
        <v>#N/A</v>
      </c>
      <c r="AO119" t="e">
        <v>#N/A</v>
      </c>
      <c r="AP119" t="e">
        <v>#N/A</v>
      </c>
      <c r="AQ119" t="e">
        <v>#N/A</v>
      </c>
      <c r="AR119" t="e">
        <v>#N/A</v>
      </c>
      <c r="AS119" t="e">
        <v>#N/A</v>
      </c>
      <c r="AT119" t="e">
        <v>#N/A</v>
      </c>
      <c r="AU119" t="e">
        <v>#N/A</v>
      </c>
      <c r="AV119" t="e">
        <v>#N/A</v>
      </c>
      <c r="AW119" t="e">
        <v>#N/A</v>
      </c>
      <c r="AX119" t="e">
        <v>#N/A</v>
      </c>
      <c r="AY119" t="e">
        <v>#N/A</v>
      </c>
    </row>
    <row r="120" spans="1:51">
      <c r="A120" t="s">
        <v>711</v>
      </c>
      <c r="B120">
        <v>230</v>
      </c>
      <c r="C120">
        <v>230</v>
      </c>
      <c r="D120">
        <v>2.4</v>
      </c>
      <c r="E120">
        <v>28213</v>
      </c>
      <c r="F120">
        <v>0</v>
      </c>
      <c r="G120">
        <v>50</v>
      </c>
      <c r="H120">
        <v>10</v>
      </c>
      <c r="I120">
        <v>30</v>
      </c>
      <c r="J120">
        <v>20</v>
      </c>
      <c r="K120">
        <v>70</v>
      </c>
      <c r="L120">
        <v>42.9</v>
      </c>
      <c r="M120">
        <v>35.700000000000003</v>
      </c>
      <c r="N120">
        <v>16.7</v>
      </c>
      <c r="T120">
        <f t="shared" si="3"/>
        <v>0</v>
      </c>
      <c r="W120">
        <v>16241</v>
      </c>
      <c r="X120">
        <v>16918</v>
      </c>
      <c r="Y120">
        <v>15261</v>
      </c>
      <c r="Z120">
        <v>10720</v>
      </c>
      <c r="AA120">
        <v>11616</v>
      </c>
      <c r="AB120">
        <v>90</v>
      </c>
      <c r="AC120">
        <v>125</v>
      </c>
      <c r="AD120">
        <v>30</v>
      </c>
      <c r="AE120">
        <v>10</v>
      </c>
      <c r="AF120">
        <v>0</v>
      </c>
      <c r="AG120">
        <v>0</v>
      </c>
      <c r="AH120">
        <v>0</v>
      </c>
      <c r="AI120">
        <v>0</v>
      </c>
      <c r="AJ120">
        <v>0</v>
      </c>
      <c r="AK120">
        <v>0</v>
      </c>
      <c r="AL120">
        <v>2.6084748028338458</v>
      </c>
      <c r="AM120">
        <v>2.6084748028338458</v>
      </c>
      <c r="AN120">
        <v>0</v>
      </c>
      <c r="AO120">
        <v>0</v>
      </c>
      <c r="AP120">
        <v>0</v>
      </c>
      <c r="AQ120">
        <v>0</v>
      </c>
      <c r="AR120">
        <v>0</v>
      </c>
      <c r="AS120">
        <v>0</v>
      </c>
      <c r="AT120">
        <v>6.521187007084615</v>
      </c>
      <c r="AU120">
        <v>0</v>
      </c>
      <c r="AV120">
        <v>0</v>
      </c>
      <c r="AW120">
        <v>0</v>
      </c>
      <c r="AX120">
        <v>0</v>
      </c>
      <c r="AY120">
        <v>3.9127122042507687</v>
      </c>
    </row>
    <row r="121" spans="1:51">
      <c r="A121" t="s">
        <v>749</v>
      </c>
      <c r="B121">
        <v>41735</v>
      </c>
      <c r="C121">
        <v>41090</v>
      </c>
      <c r="D121">
        <v>1.4</v>
      </c>
      <c r="E121">
        <v>52868</v>
      </c>
      <c r="F121">
        <v>9.9</v>
      </c>
      <c r="G121">
        <v>14750</v>
      </c>
      <c r="H121">
        <v>4245</v>
      </c>
      <c r="I121">
        <v>1380</v>
      </c>
      <c r="J121">
        <v>79</v>
      </c>
      <c r="K121">
        <v>21</v>
      </c>
      <c r="L121">
        <v>69.3</v>
      </c>
      <c r="M121">
        <v>66.7</v>
      </c>
      <c r="N121">
        <v>3.7</v>
      </c>
      <c r="T121">
        <f t="shared" si="3"/>
        <v>0</v>
      </c>
      <c r="AB121">
        <v>0</v>
      </c>
      <c r="AC121">
        <v>0</v>
      </c>
      <c r="AD121">
        <v>0</v>
      </c>
      <c r="AE121">
        <v>0</v>
      </c>
      <c r="AF121" t="e">
        <v>#N/A</v>
      </c>
      <c r="AG121" t="e">
        <v>#N/A</v>
      </c>
      <c r="AH121" t="e">
        <v>#N/A</v>
      </c>
      <c r="AI121" t="e">
        <v>#N/A</v>
      </c>
      <c r="AJ121" t="e">
        <v>#N/A</v>
      </c>
      <c r="AK121" t="e">
        <v>#N/A</v>
      </c>
      <c r="AL121" t="e">
        <v>#N/A</v>
      </c>
      <c r="AM121" t="e">
        <v>#N/A</v>
      </c>
      <c r="AN121" t="e">
        <v>#N/A</v>
      </c>
      <c r="AO121" t="e">
        <v>#N/A</v>
      </c>
      <c r="AP121" t="e">
        <v>#N/A</v>
      </c>
      <c r="AQ121" t="e">
        <v>#N/A</v>
      </c>
      <c r="AR121" t="e">
        <v>#N/A</v>
      </c>
      <c r="AS121" t="e">
        <v>#N/A</v>
      </c>
      <c r="AT121" t="e">
        <v>#N/A</v>
      </c>
      <c r="AU121" t="e">
        <v>#N/A</v>
      </c>
      <c r="AV121" t="e">
        <v>#N/A</v>
      </c>
      <c r="AW121" t="e">
        <v>#N/A</v>
      </c>
      <c r="AX121" t="e">
        <v>#N/A</v>
      </c>
      <c r="AY121" t="e">
        <v>#N/A</v>
      </c>
    </row>
    <row r="122" spans="1:51">
      <c r="A122" t="s">
        <v>750</v>
      </c>
      <c r="B122">
        <v>9815</v>
      </c>
      <c r="C122">
        <v>9020</v>
      </c>
      <c r="D122">
        <v>1.2</v>
      </c>
      <c r="E122">
        <v>44673</v>
      </c>
      <c r="F122">
        <v>10.5</v>
      </c>
      <c r="G122">
        <v>3570</v>
      </c>
      <c r="H122">
        <v>1180</v>
      </c>
      <c r="I122">
        <v>425</v>
      </c>
      <c r="J122">
        <v>81.900000000000006</v>
      </c>
      <c r="K122">
        <v>14.8</v>
      </c>
      <c r="L122">
        <v>67.900000000000006</v>
      </c>
      <c r="M122">
        <v>65.900000000000006</v>
      </c>
      <c r="N122">
        <v>2.9</v>
      </c>
      <c r="T122">
        <f t="shared" si="3"/>
        <v>0</v>
      </c>
      <c r="AB122">
        <v>0</v>
      </c>
      <c r="AC122">
        <v>0</v>
      </c>
      <c r="AD122">
        <v>0</v>
      </c>
      <c r="AE122">
        <v>0</v>
      </c>
      <c r="AF122" t="e">
        <v>#N/A</v>
      </c>
      <c r="AG122" t="e">
        <v>#N/A</v>
      </c>
      <c r="AH122" t="e">
        <v>#N/A</v>
      </c>
      <c r="AI122" t="e">
        <v>#N/A</v>
      </c>
      <c r="AJ122" t="e">
        <v>#N/A</v>
      </c>
      <c r="AK122" t="e">
        <v>#N/A</v>
      </c>
      <c r="AL122" t="e">
        <v>#N/A</v>
      </c>
      <c r="AM122" t="e">
        <v>#N/A</v>
      </c>
      <c r="AN122" t="e">
        <v>#N/A</v>
      </c>
      <c r="AO122" t="e">
        <v>#N/A</v>
      </c>
      <c r="AP122" t="e">
        <v>#N/A</v>
      </c>
      <c r="AQ122" t="e">
        <v>#N/A</v>
      </c>
      <c r="AR122" t="e">
        <v>#N/A</v>
      </c>
      <c r="AS122" t="e">
        <v>#N/A</v>
      </c>
      <c r="AT122" t="e">
        <v>#N/A</v>
      </c>
      <c r="AU122" t="e">
        <v>#N/A</v>
      </c>
      <c r="AV122" t="e">
        <v>#N/A</v>
      </c>
      <c r="AW122" t="e">
        <v>#N/A</v>
      </c>
      <c r="AX122" t="e">
        <v>#N/A</v>
      </c>
      <c r="AY122" t="e">
        <v>#N/A</v>
      </c>
    </row>
    <row r="123" spans="1:51">
      <c r="A123" t="s">
        <v>751</v>
      </c>
      <c r="B123">
        <v>13620</v>
      </c>
      <c r="C123">
        <v>13215</v>
      </c>
      <c r="D123">
        <v>1</v>
      </c>
      <c r="E123">
        <v>48513</v>
      </c>
      <c r="F123">
        <v>9.4</v>
      </c>
      <c r="G123">
        <v>5595</v>
      </c>
      <c r="H123">
        <v>1910</v>
      </c>
      <c r="I123">
        <v>610</v>
      </c>
      <c r="J123">
        <v>82.3</v>
      </c>
      <c r="K123">
        <v>17.7</v>
      </c>
      <c r="L123">
        <v>67.8</v>
      </c>
      <c r="M123">
        <v>65.5</v>
      </c>
      <c r="N123">
        <v>3.3</v>
      </c>
      <c r="T123">
        <f t="shared" si="3"/>
        <v>0</v>
      </c>
      <c r="AB123">
        <v>0</v>
      </c>
      <c r="AC123">
        <v>0</v>
      </c>
      <c r="AD123">
        <v>0</v>
      </c>
      <c r="AE123">
        <v>0</v>
      </c>
      <c r="AF123" t="e">
        <v>#N/A</v>
      </c>
      <c r="AG123" t="e">
        <v>#N/A</v>
      </c>
      <c r="AH123" t="e">
        <v>#N/A</v>
      </c>
      <c r="AI123" t="e">
        <v>#N/A</v>
      </c>
      <c r="AJ123" t="e">
        <v>#N/A</v>
      </c>
      <c r="AK123" t="e">
        <v>#N/A</v>
      </c>
      <c r="AL123" t="e">
        <v>#N/A</v>
      </c>
      <c r="AM123" t="e">
        <v>#N/A</v>
      </c>
      <c r="AN123" t="e">
        <v>#N/A</v>
      </c>
      <c r="AO123" t="e">
        <v>#N/A</v>
      </c>
      <c r="AP123" t="e">
        <v>#N/A</v>
      </c>
      <c r="AQ123" t="e">
        <v>#N/A</v>
      </c>
      <c r="AR123" t="e">
        <v>#N/A</v>
      </c>
      <c r="AS123" t="e">
        <v>#N/A</v>
      </c>
      <c r="AT123" t="e">
        <v>#N/A</v>
      </c>
      <c r="AU123" t="e">
        <v>#N/A</v>
      </c>
      <c r="AV123" t="e">
        <v>#N/A</v>
      </c>
      <c r="AW123" t="e">
        <v>#N/A</v>
      </c>
      <c r="AX123" t="e">
        <v>#N/A</v>
      </c>
      <c r="AY123" t="e">
        <v>#N/A</v>
      </c>
    </row>
    <row r="124" spans="1:51">
      <c r="A124" t="s">
        <v>752</v>
      </c>
      <c r="B124">
        <v>9915</v>
      </c>
      <c r="C124">
        <v>9775</v>
      </c>
      <c r="D124">
        <v>1.1000000000000001</v>
      </c>
      <c r="E124">
        <v>46251</v>
      </c>
      <c r="F124">
        <v>10.9</v>
      </c>
      <c r="G124">
        <v>3880</v>
      </c>
      <c r="H124">
        <v>1365</v>
      </c>
      <c r="I124">
        <v>565</v>
      </c>
      <c r="J124">
        <v>74.099999999999994</v>
      </c>
      <c r="K124">
        <v>16.2</v>
      </c>
      <c r="L124">
        <v>65.599999999999994</v>
      </c>
      <c r="M124">
        <v>62.3</v>
      </c>
      <c r="N124">
        <v>4.9000000000000004</v>
      </c>
      <c r="T124">
        <f t="shared" si="3"/>
        <v>0</v>
      </c>
      <c r="AB124">
        <v>0</v>
      </c>
      <c r="AC124">
        <v>0</v>
      </c>
      <c r="AD124">
        <v>0</v>
      </c>
      <c r="AE124">
        <v>0</v>
      </c>
      <c r="AF124" t="e">
        <v>#N/A</v>
      </c>
      <c r="AG124" t="e">
        <v>#N/A</v>
      </c>
      <c r="AH124" t="e">
        <v>#N/A</v>
      </c>
      <c r="AI124" t="e">
        <v>#N/A</v>
      </c>
      <c r="AJ124" t="e">
        <v>#N/A</v>
      </c>
      <c r="AK124" t="e">
        <v>#N/A</v>
      </c>
      <c r="AL124" t="e">
        <v>#N/A</v>
      </c>
      <c r="AM124" t="e">
        <v>#N/A</v>
      </c>
      <c r="AN124" t="e">
        <v>#N/A</v>
      </c>
      <c r="AO124" t="e">
        <v>#N/A</v>
      </c>
      <c r="AP124" t="e">
        <v>#N/A</v>
      </c>
      <c r="AQ124" t="e">
        <v>#N/A</v>
      </c>
      <c r="AR124" t="e">
        <v>#N/A</v>
      </c>
      <c r="AS124" t="e">
        <v>#N/A</v>
      </c>
      <c r="AT124" t="e">
        <v>#N/A</v>
      </c>
      <c r="AU124" t="e">
        <v>#N/A</v>
      </c>
      <c r="AV124" t="e">
        <v>#N/A</v>
      </c>
      <c r="AW124" t="e">
        <v>#N/A</v>
      </c>
      <c r="AX124" t="e">
        <v>#N/A</v>
      </c>
      <c r="AY124" t="e">
        <v>#N/A</v>
      </c>
    </row>
    <row r="125" spans="1:51">
      <c r="A125" t="s">
        <v>753</v>
      </c>
      <c r="B125">
        <v>56215</v>
      </c>
      <c r="C125">
        <v>55165</v>
      </c>
      <c r="D125">
        <v>1.1000000000000001</v>
      </c>
      <c r="E125">
        <v>56272</v>
      </c>
      <c r="F125">
        <v>12.8</v>
      </c>
      <c r="G125">
        <v>23105</v>
      </c>
      <c r="H125">
        <v>7240</v>
      </c>
      <c r="I125">
        <v>1935</v>
      </c>
      <c r="J125">
        <v>66.599999999999994</v>
      </c>
      <c r="K125">
        <v>33.4</v>
      </c>
      <c r="L125">
        <v>69</v>
      </c>
      <c r="M125">
        <v>65.599999999999994</v>
      </c>
      <c r="N125">
        <v>5</v>
      </c>
      <c r="T125">
        <f t="shared" si="3"/>
        <v>0</v>
      </c>
      <c r="AB125">
        <v>0</v>
      </c>
      <c r="AC125">
        <v>0</v>
      </c>
      <c r="AD125">
        <v>0</v>
      </c>
      <c r="AE125">
        <v>0</v>
      </c>
      <c r="AF125" t="e">
        <v>#N/A</v>
      </c>
      <c r="AG125" t="e">
        <v>#N/A</v>
      </c>
      <c r="AH125" t="e">
        <v>#N/A</v>
      </c>
      <c r="AI125" t="e">
        <v>#N/A</v>
      </c>
      <c r="AJ125" t="e">
        <v>#N/A</v>
      </c>
      <c r="AK125" t="e">
        <v>#N/A</v>
      </c>
      <c r="AL125" t="e">
        <v>#N/A</v>
      </c>
      <c r="AM125" t="e">
        <v>#N/A</v>
      </c>
      <c r="AN125" t="e">
        <v>#N/A</v>
      </c>
      <c r="AO125" t="e">
        <v>#N/A</v>
      </c>
      <c r="AP125" t="e">
        <v>#N/A</v>
      </c>
      <c r="AQ125" t="e">
        <v>#N/A</v>
      </c>
      <c r="AR125" t="e">
        <v>#N/A</v>
      </c>
      <c r="AS125" t="e">
        <v>#N/A</v>
      </c>
      <c r="AT125" t="e">
        <v>#N/A</v>
      </c>
      <c r="AU125" t="e">
        <v>#N/A</v>
      </c>
      <c r="AV125" t="e">
        <v>#N/A</v>
      </c>
      <c r="AW125" t="e">
        <v>#N/A</v>
      </c>
      <c r="AX125" t="e">
        <v>#N/A</v>
      </c>
      <c r="AY125" t="e">
        <v>#N/A</v>
      </c>
    </row>
    <row r="126" spans="1:51">
      <c r="A126" t="s">
        <v>754</v>
      </c>
      <c r="B126">
        <v>14430</v>
      </c>
      <c r="C126">
        <v>13250</v>
      </c>
      <c r="D126">
        <v>1.3</v>
      </c>
      <c r="E126">
        <v>43101</v>
      </c>
      <c r="F126">
        <v>10.9</v>
      </c>
      <c r="G126">
        <v>4785</v>
      </c>
      <c r="H126">
        <v>1605</v>
      </c>
      <c r="I126">
        <v>885</v>
      </c>
      <c r="J126">
        <v>75.900000000000006</v>
      </c>
      <c r="K126">
        <v>14.6</v>
      </c>
      <c r="L126">
        <v>58.2</v>
      </c>
      <c r="M126">
        <v>55.7</v>
      </c>
      <c r="N126">
        <v>4.4000000000000004</v>
      </c>
      <c r="T126">
        <f t="shared" si="3"/>
        <v>0</v>
      </c>
      <c r="AB126">
        <v>0</v>
      </c>
      <c r="AC126">
        <v>0</v>
      </c>
      <c r="AD126">
        <v>0</v>
      </c>
      <c r="AE126">
        <v>0</v>
      </c>
      <c r="AF126" t="e">
        <v>#N/A</v>
      </c>
      <c r="AG126" t="e">
        <v>#N/A</v>
      </c>
      <c r="AH126" t="e">
        <v>#N/A</v>
      </c>
      <c r="AI126" t="e">
        <v>#N/A</v>
      </c>
      <c r="AJ126" t="e">
        <v>#N/A</v>
      </c>
      <c r="AK126" t="e">
        <v>#N/A</v>
      </c>
      <c r="AL126" t="e">
        <v>#N/A</v>
      </c>
      <c r="AM126" t="e">
        <v>#N/A</v>
      </c>
      <c r="AN126" t="e">
        <v>#N/A</v>
      </c>
      <c r="AO126" t="e">
        <v>#N/A</v>
      </c>
      <c r="AP126" t="e">
        <v>#N/A</v>
      </c>
      <c r="AQ126" t="e">
        <v>#N/A</v>
      </c>
      <c r="AR126" t="e">
        <v>#N/A</v>
      </c>
      <c r="AS126" t="e">
        <v>#N/A</v>
      </c>
      <c r="AT126" t="e">
        <v>#N/A</v>
      </c>
      <c r="AU126" t="e">
        <v>#N/A</v>
      </c>
      <c r="AV126" t="e">
        <v>#N/A</v>
      </c>
      <c r="AW126" t="e">
        <v>#N/A</v>
      </c>
      <c r="AX126" t="e">
        <v>#N/A</v>
      </c>
      <c r="AY126" t="e">
        <v>#N/A</v>
      </c>
    </row>
    <row r="127" spans="1:51">
      <c r="A127" t="s">
        <v>755</v>
      </c>
      <c r="B127">
        <v>22520</v>
      </c>
      <c r="C127">
        <v>21350</v>
      </c>
      <c r="D127">
        <v>1.2</v>
      </c>
      <c r="E127">
        <v>51722</v>
      </c>
      <c r="F127">
        <v>13.2</v>
      </c>
      <c r="G127">
        <v>8455</v>
      </c>
      <c r="H127">
        <v>2710</v>
      </c>
      <c r="I127">
        <v>1175</v>
      </c>
      <c r="J127">
        <v>70.900000000000006</v>
      </c>
      <c r="K127">
        <v>26.6</v>
      </c>
      <c r="L127">
        <v>65.8</v>
      </c>
      <c r="M127">
        <v>62.5</v>
      </c>
      <c r="N127">
        <v>5.0999999999999996</v>
      </c>
      <c r="T127">
        <f t="shared" si="3"/>
        <v>0</v>
      </c>
      <c r="AB127">
        <v>0</v>
      </c>
      <c r="AC127">
        <v>0</v>
      </c>
      <c r="AD127">
        <v>0</v>
      </c>
      <c r="AE127">
        <v>0</v>
      </c>
      <c r="AF127" t="e">
        <v>#N/A</v>
      </c>
      <c r="AG127" t="e">
        <v>#N/A</v>
      </c>
      <c r="AH127" t="e">
        <v>#N/A</v>
      </c>
      <c r="AI127" t="e">
        <v>#N/A</v>
      </c>
      <c r="AJ127" t="e">
        <v>#N/A</v>
      </c>
      <c r="AK127" t="e">
        <v>#N/A</v>
      </c>
      <c r="AL127" t="e">
        <v>#N/A</v>
      </c>
      <c r="AM127" t="e">
        <v>#N/A</v>
      </c>
      <c r="AN127" t="e">
        <v>#N/A</v>
      </c>
      <c r="AO127" t="e">
        <v>#N/A</v>
      </c>
      <c r="AP127" t="e">
        <v>#N/A</v>
      </c>
      <c r="AQ127" t="e">
        <v>#N/A</v>
      </c>
      <c r="AR127" t="e">
        <v>#N/A</v>
      </c>
      <c r="AS127" t="e">
        <v>#N/A</v>
      </c>
      <c r="AT127" t="e">
        <v>#N/A</v>
      </c>
      <c r="AU127" t="e">
        <v>#N/A</v>
      </c>
      <c r="AV127" t="e">
        <v>#N/A</v>
      </c>
      <c r="AW127" t="e">
        <v>#N/A</v>
      </c>
      <c r="AX127" t="e">
        <v>#N/A</v>
      </c>
      <c r="AY127" t="e">
        <v>#N/A</v>
      </c>
    </row>
    <row r="128" spans="1:51">
      <c r="A128" t="s">
        <v>323</v>
      </c>
      <c r="T128">
        <f t="shared" si="3"/>
        <v>0</v>
      </c>
      <c r="AB128">
        <v>0</v>
      </c>
      <c r="AC128">
        <v>0</v>
      </c>
      <c r="AD128">
        <v>0</v>
      </c>
      <c r="AE128">
        <v>0</v>
      </c>
      <c r="AF128" t="e">
        <v>#N/A</v>
      </c>
      <c r="AG128" t="e">
        <v>#N/A</v>
      </c>
      <c r="AH128" t="e">
        <v>#N/A</v>
      </c>
      <c r="AI128" t="e">
        <v>#N/A</v>
      </c>
      <c r="AJ128" t="e">
        <v>#N/A</v>
      </c>
      <c r="AK128" t="e">
        <v>#N/A</v>
      </c>
      <c r="AL128" t="e">
        <v>#N/A</v>
      </c>
      <c r="AM128" t="e">
        <v>#N/A</v>
      </c>
      <c r="AN128" t="e">
        <v>#N/A</v>
      </c>
      <c r="AO128" t="e">
        <v>#N/A</v>
      </c>
      <c r="AP128" t="e">
        <v>#N/A</v>
      </c>
      <c r="AQ128" t="e">
        <v>#N/A</v>
      </c>
      <c r="AR128" t="e">
        <v>#N/A</v>
      </c>
      <c r="AS128" t="e">
        <v>#N/A</v>
      </c>
      <c r="AT128" t="e">
        <v>#N/A</v>
      </c>
      <c r="AU128" t="e">
        <v>#N/A</v>
      </c>
      <c r="AV128" t="e">
        <v>#N/A</v>
      </c>
      <c r="AW128" t="e">
        <v>#N/A</v>
      </c>
      <c r="AX128" t="e">
        <v>#N/A</v>
      </c>
      <c r="AY128" t="e">
        <v>#N/A</v>
      </c>
    </row>
    <row r="129" spans="1:51">
      <c r="A129" t="s">
        <v>322</v>
      </c>
      <c r="T129">
        <f t="shared" si="3"/>
        <v>0</v>
      </c>
      <c r="AB129">
        <v>0</v>
      </c>
      <c r="AC129">
        <v>0</v>
      </c>
      <c r="AD129">
        <v>0</v>
      </c>
      <c r="AE129">
        <v>0</v>
      </c>
      <c r="AF129" t="e">
        <v>#N/A</v>
      </c>
      <c r="AG129" t="e">
        <v>#N/A</v>
      </c>
      <c r="AH129" t="e">
        <v>#N/A</v>
      </c>
      <c r="AI129" t="e">
        <v>#N/A</v>
      </c>
      <c r="AJ129" t="e">
        <v>#N/A</v>
      </c>
      <c r="AK129" t="e">
        <v>#N/A</v>
      </c>
      <c r="AL129" t="e">
        <v>#N/A</v>
      </c>
      <c r="AM129" t="e">
        <v>#N/A</v>
      </c>
      <c r="AN129" t="e">
        <v>#N/A</v>
      </c>
      <c r="AO129" t="e">
        <v>#N/A</v>
      </c>
      <c r="AP129" t="e">
        <v>#N/A</v>
      </c>
      <c r="AQ129" t="e">
        <v>#N/A</v>
      </c>
      <c r="AR129" t="e">
        <v>#N/A</v>
      </c>
      <c r="AS129" t="e">
        <v>#N/A</v>
      </c>
      <c r="AT129" t="e">
        <v>#N/A</v>
      </c>
      <c r="AU129" t="e">
        <v>#N/A</v>
      </c>
      <c r="AV129" t="e">
        <v>#N/A</v>
      </c>
      <c r="AW129" t="e">
        <v>#N/A</v>
      </c>
      <c r="AX129" t="e">
        <v>#N/A</v>
      </c>
      <c r="AY129" t="e">
        <v>#N/A</v>
      </c>
    </row>
    <row r="130" spans="1:51">
      <c r="A130" t="s">
        <v>324</v>
      </c>
      <c r="B130">
        <v>454</v>
      </c>
      <c r="T130">
        <f t="shared" si="3"/>
        <v>0</v>
      </c>
      <c r="AB130">
        <v>0</v>
      </c>
      <c r="AC130">
        <v>0</v>
      </c>
      <c r="AD130">
        <v>0</v>
      </c>
      <c r="AE130">
        <v>0</v>
      </c>
      <c r="AF130" t="e">
        <v>#N/A</v>
      </c>
      <c r="AG130" t="e">
        <v>#N/A</v>
      </c>
      <c r="AH130" t="e">
        <v>#N/A</v>
      </c>
      <c r="AI130" t="e">
        <v>#N/A</v>
      </c>
      <c r="AJ130" t="e">
        <v>#N/A</v>
      </c>
      <c r="AK130" t="e">
        <v>#N/A</v>
      </c>
      <c r="AL130" t="e">
        <v>#N/A</v>
      </c>
      <c r="AM130" t="e">
        <v>#N/A</v>
      </c>
      <c r="AN130" t="e">
        <v>#N/A</v>
      </c>
      <c r="AO130" t="e">
        <v>#N/A</v>
      </c>
      <c r="AP130" t="e">
        <v>#N/A</v>
      </c>
      <c r="AQ130" t="e">
        <v>#N/A</v>
      </c>
      <c r="AR130" t="e">
        <v>#N/A</v>
      </c>
      <c r="AS130" t="e">
        <v>#N/A</v>
      </c>
      <c r="AT130" t="e">
        <v>#N/A</v>
      </c>
      <c r="AU130" t="e">
        <v>#N/A</v>
      </c>
      <c r="AV130" t="e">
        <v>#N/A</v>
      </c>
      <c r="AW130" t="e">
        <v>#N/A</v>
      </c>
      <c r="AX130" t="e">
        <v>#N/A</v>
      </c>
      <c r="AY130" t="e">
        <v>#N/A</v>
      </c>
    </row>
    <row r="131" spans="1:51">
      <c r="A131" t="s">
        <v>615</v>
      </c>
      <c r="B131">
        <v>2400</v>
      </c>
      <c r="C131">
        <v>2275</v>
      </c>
      <c r="D131">
        <v>1.6</v>
      </c>
      <c r="E131">
        <v>63795</v>
      </c>
      <c r="F131">
        <v>8.1999999999999993</v>
      </c>
      <c r="G131">
        <v>725</v>
      </c>
      <c r="H131">
        <v>310</v>
      </c>
      <c r="I131">
        <v>85</v>
      </c>
      <c r="J131">
        <v>89.7</v>
      </c>
      <c r="K131">
        <v>10.3</v>
      </c>
      <c r="L131">
        <v>82.7</v>
      </c>
      <c r="M131">
        <v>80.2</v>
      </c>
      <c r="N131">
        <v>3</v>
      </c>
      <c r="T131">
        <f t="shared" si="3"/>
        <v>0</v>
      </c>
      <c r="W131">
        <v>22031</v>
      </c>
      <c r="X131">
        <v>24311</v>
      </c>
      <c r="Y131">
        <v>19233</v>
      </c>
      <c r="Z131">
        <v>21944</v>
      </c>
      <c r="AA131">
        <v>15784</v>
      </c>
      <c r="AB131">
        <v>605</v>
      </c>
      <c r="AC131">
        <v>1570</v>
      </c>
      <c r="AD131">
        <v>535</v>
      </c>
      <c r="AE131">
        <v>210</v>
      </c>
      <c r="AF131">
        <v>6.5564366665823695</v>
      </c>
      <c r="AG131">
        <v>0</v>
      </c>
      <c r="AH131">
        <v>0</v>
      </c>
      <c r="AI131">
        <v>0.3172469354797921</v>
      </c>
      <c r="AJ131">
        <v>0.58161938171295213</v>
      </c>
      <c r="AK131">
        <v>0.63449387095958421</v>
      </c>
      <c r="AL131">
        <v>1.6391091666455924</v>
      </c>
      <c r="AM131">
        <v>0.68736836020621617</v>
      </c>
      <c r="AN131">
        <v>0</v>
      </c>
      <c r="AO131">
        <v>0.21149795698652804</v>
      </c>
      <c r="AP131">
        <v>0.10574897849326402</v>
      </c>
      <c r="AQ131">
        <v>0.42299591397305608</v>
      </c>
      <c r="AR131">
        <v>0.10574897849326402</v>
      </c>
      <c r="AS131">
        <v>0.37012142472642412</v>
      </c>
      <c r="AT131">
        <v>0.84599182794611216</v>
      </c>
      <c r="AU131">
        <v>1.4276112096590643</v>
      </c>
      <c r="AV131">
        <v>0.21149795698652804</v>
      </c>
      <c r="AW131">
        <v>0.42299591397305608</v>
      </c>
      <c r="AX131">
        <v>0.68736836020621617</v>
      </c>
      <c r="AY131">
        <v>0.37012142472642412</v>
      </c>
    </row>
    <row r="132" spans="1:51">
      <c r="A132" t="s">
        <v>325</v>
      </c>
      <c r="T132">
        <f t="shared" si="3"/>
        <v>0</v>
      </c>
      <c r="AB132">
        <v>0</v>
      </c>
      <c r="AC132">
        <v>0</v>
      </c>
      <c r="AD132">
        <v>0</v>
      </c>
      <c r="AE132">
        <v>0</v>
      </c>
      <c r="AF132" t="e">
        <v>#N/A</v>
      </c>
      <c r="AG132" t="e">
        <v>#N/A</v>
      </c>
      <c r="AH132" t="e">
        <v>#N/A</v>
      </c>
      <c r="AI132" t="e">
        <v>#N/A</v>
      </c>
      <c r="AJ132" t="e">
        <v>#N/A</v>
      </c>
      <c r="AK132" t="e">
        <v>#N/A</v>
      </c>
      <c r="AL132" t="e">
        <v>#N/A</v>
      </c>
      <c r="AM132" t="e">
        <v>#N/A</v>
      </c>
      <c r="AN132" t="e">
        <v>#N/A</v>
      </c>
      <c r="AO132" t="e">
        <v>#N/A</v>
      </c>
      <c r="AP132" t="e">
        <v>#N/A</v>
      </c>
      <c r="AQ132" t="e">
        <v>#N/A</v>
      </c>
      <c r="AR132" t="e">
        <v>#N/A</v>
      </c>
      <c r="AS132" t="e">
        <v>#N/A</v>
      </c>
      <c r="AT132" t="e">
        <v>#N/A</v>
      </c>
      <c r="AU132" t="e">
        <v>#N/A</v>
      </c>
      <c r="AV132" t="e">
        <v>#N/A</v>
      </c>
      <c r="AW132" t="e">
        <v>#N/A</v>
      </c>
      <c r="AX132" t="e">
        <v>#N/A</v>
      </c>
      <c r="AY132" t="e">
        <v>#N/A</v>
      </c>
    </row>
    <row r="133" spans="1:51">
      <c r="A133" t="s">
        <v>658</v>
      </c>
      <c r="B133">
        <v>490</v>
      </c>
      <c r="C133">
        <v>485</v>
      </c>
      <c r="D133">
        <v>0.5</v>
      </c>
      <c r="E133">
        <v>58040</v>
      </c>
      <c r="F133">
        <v>0</v>
      </c>
      <c r="G133">
        <v>240</v>
      </c>
      <c r="H133">
        <v>90</v>
      </c>
      <c r="I133">
        <v>30</v>
      </c>
      <c r="J133">
        <v>93.8</v>
      </c>
      <c r="K133">
        <v>8.3000000000000007</v>
      </c>
      <c r="L133">
        <v>50.6</v>
      </c>
      <c r="M133">
        <v>47.1</v>
      </c>
      <c r="N133">
        <v>9.3000000000000007</v>
      </c>
      <c r="T133">
        <f t="shared" ref="T133:T195" si="4">IFERROR(VLOOKUP(A133,$U$12:$U$74,1,0),0)</f>
        <v>0</v>
      </c>
      <c r="W133">
        <v>27143</v>
      </c>
      <c r="X133">
        <v>32274</v>
      </c>
      <c r="Y133">
        <v>19903</v>
      </c>
      <c r="Z133">
        <v>30594</v>
      </c>
      <c r="AA133">
        <v>17008</v>
      </c>
      <c r="AB133">
        <v>55</v>
      </c>
      <c r="AC133">
        <v>270</v>
      </c>
      <c r="AD133">
        <v>175</v>
      </c>
      <c r="AE133">
        <v>115</v>
      </c>
      <c r="AF133">
        <v>0</v>
      </c>
      <c r="AG133">
        <v>0</v>
      </c>
      <c r="AH133">
        <v>0</v>
      </c>
      <c r="AI133">
        <v>2.1838393698143825</v>
      </c>
      <c r="AJ133">
        <v>0</v>
      </c>
      <c r="AK133">
        <v>1.0919196849071913</v>
      </c>
      <c r="AL133">
        <v>1.4558929132095884</v>
      </c>
      <c r="AM133">
        <v>0.72794645660479418</v>
      </c>
      <c r="AN133">
        <v>1.4558929132095884</v>
      </c>
      <c r="AO133">
        <v>0</v>
      </c>
      <c r="AP133">
        <v>0</v>
      </c>
      <c r="AQ133">
        <v>1.0919196849071913</v>
      </c>
      <c r="AR133">
        <v>0</v>
      </c>
      <c r="AS133">
        <v>0.72794645660479418</v>
      </c>
      <c r="AT133">
        <v>1.0919196849071913</v>
      </c>
      <c r="AU133">
        <v>1.8198661415119854</v>
      </c>
      <c r="AV133">
        <v>0</v>
      </c>
      <c r="AW133">
        <v>1.4558929132095884</v>
      </c>
      <c r="AX133">
        <v>1.4558929132095884</v>
      </c>
      <c r="AY133">
        <v>0</v>
      </c>
    </row>
    <row r="134" spans="1:51">
      <c r="A134" t="s">
        <v>326</v>
      </c>
      <c r="T134">
        <f>IFERROR(VLOOKUP(A134,$U$12:$U$74,1,0),0)</f>
        <v>0</v>
      </c>
      <c r="AB134">
        <v>0</v>
      </c>
      <c r="AC134">
        <v>0</v>
      </c>
      <c r="AD134">
        <v>0</v>
      </c>
      <c r="AE134">
        <v>0</v>
      </c>
      <c r="AF134" t="e">
        <v>#N/A</v>
      </c>
      <c r="AG134" t="e">
        <v>#N/A</v>
      </c>
      <c r="AH134" t="e">
        <v>#N/A</v>
      </c>
      <c r="AI134" t="e">
        <v>#N/A</v>
      </c>
      <c r="AJ134" t="e">
        <v>#N/A</v>
      </c>
      <c r="AK134" t="e">
        <v>#N/A</v>
      </c>
      <c r="AL134" t="e">
        <v>#N/A</v>
      </c>
      <c r="AM134" t="e">
        <v>#N/A</v>
      </c>
      <c r="AN134" t="e">
        <v>#N/A</v>
      </c>
      <c r="AO134" t="e">
        <v>#N/A</v>
      </c>
      <c r="AP134" t="e">
        <v>#N/A</v>
      </c>
      <c r="AQ134" t="e">
        <v>#N/A</v>
      </c>
      <c r="AR134" t="e">
        <v>#N/A</v>
      </c>
      <c r="AS134" t="e">
        <v>#N/A</v>
      </c>
      <c r="AT134" t="e">
        <v>#N/A</v>
      </c>
      <c r="AU134" t="e">
        <v>#N/A</v>
      </c>
      <c r="AV134" t="e">
        <v>#N/A</v>
      </c>
      <c r="AW134" t="e">
        <v>#N/A</v>
      </c>
      <c r="AX134" t="e">
        <v>#N/A</v>
      </c>
      <c r="AY134" t="e">
        <v>#N/A</v>
      </c>
    </row>
    <row r="135" spans="1:51">
      <c r="A135" t="s">
        <v>656</v>
      </c>
      <c r="B135">
        <v>7680</v>
      </c>
      <c r="C135">
        <v>7680</v>
      </c>
      <c r="D135">
        <v>1.3</v>
      </c>
      <c r="E135">
        <v>96686</v>
      </c>
      <c r="F135">
        <v>4.2</v>
      </c>
      <c r="G135">
        <v>2475</v>
      </c>
      <c r="H135">
        <v>550</v>
      </c>
      <c r="I135">
        <v>115</v>
      </c>
      <c r="J135">
        <v>96.4</v>
      </c>
      <c r="K135">
        <v>3.4</v>
      </c>
      <c r="L135">
        <v>75.5</v>
      </c>
      <c r="M135">
        <v>74.599999999999994</v>
      </c>
      <c r="N135">
        <v>1.2</v>
      </c>
      <c r="T135">
        <f>IFERROR(VLOOKUP(A135,$U$12:$U$74,1,0),0)</f>
        <v>0</v>
      </c>
      <c r="W135">
        <v>39814</v>
      </c>
      <c r="X135">
        <v>48407</v>
      </c>
      <c r="Y135">
        <v>30146</v>
      </c>
      <c r="Z135">
        <v>40070</v>
      </c>
      <c r="AA135">
        <v>24695</v>
      </c>
      <c r="AB135">
        <v>1670</v>
      </c>
      <c r="AC135">
        <v>5360</v>
      </c>
      <c r="AD135">
        <v>2310</v>
      </c>
      <c r="AE135">
        <v>630</v>
      </c>
      <c r="AF135">
        <v>0.10353372977069289</v>
      </c>
      <c r="AG135">
        <v>6.9022486513795264E-2</v>
      </c>
      <c r="AH135">
        <v>0.20706745954138578</v>
      </c>
      <c r="AI135">
        <v>0.94905918956468482</v>
      </c>
      <c r="AJ135">
        <v>1.7083065412164327</v>
      </c>
      <c r="AK135">
        <v>1.1561266491060704</v>
      </c>
      <c r="AL135">
        <v>1.7600734061017791</v>
      </c>
      <c r="AM135">
        <v>1.2078935139914171</v>
      </c>
      <c r="AN135">
        <v>0.25883432442673227</v>
      </c>
      <c r="AO135">
        <v>0.69022486513795256</v>
      </c>
      <c r="AP135">
        <v>0.34511243256897628</v>
      </c>
      <c r="AQ135">
        <v>0.60394675699570854</v>
      </c>
      <c r="AR135">
        <v>3.4511243256897632E-2</v>
      </c>
      <c r="AS135">
        <v>0.4486461623396692</v>
      </c>
      <c r="AT135">
        <v>1.2251491356198658</v>
      </c>
      <c r="AU135">
        <v>1.8981183791293696</v>
      </c>
      <c r="AV135">
        <v>0.29334556768362985</v>
      </c>
      <c r="AW135">
        <v>0.65571362188105498</v>
      </c>
      <c r="AX135">
        <v>0.79375859490864542</v>
      </c>
      <c r="AY135">
        <v>1.1733822707345194</v>
      </c>
    </row>
    <row r="136" spans="1:51">
      <c r="A136" t="s">
        <v>327</v>
      </c>
      <c r="B136">
        <v>80</v>
      </c>
      <c r="T136">
        <f t="shared" si="4"/>
        <v>0</v>
      </c>
      <c r="AB136">
        <v>0</v>
      </c>
      <c r="AC136">
        <v>0</v>
      </c>
      <c r="AD136">
        <v>0</v>
      </c>
      <c r="AE136">
        <v>0</v>
      </c>
      <c r="AF136" t="e">
        <v>#N/A</v>
      </c>
      <c r="AG136" t="e">
        <v>#N/A</v>
      </c>
      <c r="AH136" t="e">
        <v>#N/A</v>
      </c>
      <c r="AI136" t="e">
        <v>#N/A</v>
      </c>
      <c r="AJ136" t="e">
        <v>#N/A</v>
      </c>
      <c r="AK136" t="e">
        <v>#N/A</v>
      </c>
      <c r="AL136" t="e">
        <v>#N/A</v>
      </c>
      <c r="AM136" t="e">
        <v>#N/A</v>
      </c>
      <c r="AN136" t="e">
        <v>#N/A</v>
      </c>
      <c r="AO136" t="e">
        <v>#N/A</v>
      </c>
      <c r="AP136" t="e">
        <v>#N/A</v>
      </c>
      <c r="AQ136" t="e">
        <v>#N/A</v>
      </c>
      <c r="AR136" t="e">
        <v>#N/A</v>
      </c>
      <c r="AS136" t="e">
        <v>#N/A</v>
      </c>
      <c r="AT136" t="e">
        <v>#N/A</v>
      </c>
      <c r="AU136" t="e">
        <v>#N/A</v>
      </c>
      <c r="AV136" t="e">
        <v>#N/A</v>
      </c>
      <c r="AW136" t="e">
        <v>#N/A</v>
      </c>
      <c r="AX136" t="e">
        <v>#N/A</v>
      </c>
      <c r="AY136" t="e">
        <v>#N/A</v>
      </c>
    </row>
    <row r="137" spans="1:51">
      <c r="A137" t="s">
        <v>214</v>
      </c>
      <c r="B137">
        <v>990</v>
      </c>
      <c r="C137">
        <v>990</v>
      </c>
      <c r="D137">
        <v>2.1</v>
      </c>
      <c r="E137">
        <v>20185</v>
      </c>
      <c r="F137">
        <v>0</v>
      </c>
      <c r="G137">
        <v>250</v>
      </c>
      <c r="H137">
        <v>95</v>
      </c>
      <c r="I137">
        <v>85</v>
      </c>
      <c r="J137">
        <v>4</v>
      </c>
      <c r="K137">
        <v>4</v>
      </c>
      <c r="L137">
        <v>35.700000000000003</v>
      </c>
      <c r="M137">
        <v>26.1</v>
      </c>
      <c r="N137">
        <v>24.4</v>
      </c>
      <c r="T137" t="str">
        <f t="shared" si="4"/>
        <v>Ebb and Flow First Nation</v>
      </c>
      <c r="W137">
        <v>17087</v>
      </c>
      <c r="X137">
        <v>19317</v>
      </c>
      <c r="Y137">
        <v>14833</v>
      </c>
      <c r="Z137">
        <v>5296</v>
      </c>
      <c r="AA137">
        <v>6352</v>
      </c>
      <c r="AB137">
        <v>410</v>
      </c>
      <c r="AC137">
        <v>560</v>
      </c>
      <c r="AD137">
        <v>100</v>
      </c>
      <c r="AE137">
        <v>20</v>
      </c>
      <c r="AF137">
        <v>1.1451840597807128</v>
      </c>
      <c r="AG137">
        <v>0</v>
      </c>
      <c r="AH137">
        <v>0</v>
      </c>
      <c r="AI137">
        <v>0.76345603985380861</v>
      </c>
      <c r="AJ137">
        <v>0</v>
      </c>
      <c r="AK137">
        <v>0</v>
      </c>
      <c r="AL137">
        <v>0</v>
      </c>
      <c r="AM137">
        <v>0.76345603985380861</v>
      </c>
      <c r="AN137">
        <v>0</v>
      </c>
      <c r="AO137">
        <v>0</v>
      </c>
      <c r="AP137">
        <v>0</v>
      </c>
      <c r="AQ137">
        <v>0</v>
      </c>
      <c r="AR137">
        <v>0</v>
      </c>
      <c r="AS137">
        <v>0</v>
      </c>
      <c r="AT137">
        <v>3.0538241594152344</v>
      </c>
      <c r="AU137">
        <v>3.0538241594152344</v>
      </c>
      <c r="AV137">
        <v>0.76345603985380861</v>
      </c>
      <c r="AW137">
        <v>0</v>
      </c>
      <c r="AX137">
        <v>0</v>
      </c>
      <c r="AY137">
        <v>2.2903681195614256</v>
      </c>
    </row>
    <row r="138" spans="1:51">
      <c r="A138" t="s">
        <v>624</v>
      </c>
      <c r="B138">
        <v>680</v>
      </c>
      <c r="C138">
        <v>680</v>
      </c>
      <c r="D138">
        <v>1.2</v>
      </c>
      <c r="E138">
        <v>38757</v>
      </c>
      <c r="F138">
        <v>13.9</v>
      </c>
      <c r="G138">
        <v>280</v>
      </c>
      <c r="H138">
        <v>90</v>
      </c>
      <c r="I138">
        <v>50</v>
      </c>
      <c r="J138">
        <v>89.3</v>
      </c>
      <c r="K138">
        <v>10.7</v>
      </c>
      <c r="L138">
        <v>69.900000000000006</v>
      </c>
      <c r="M138">
        <v>68</v>
      </c>
      <c r="N138">
        <v>4.2</v>
      </c>
      <c r="T138">
        <f t="shared" si="4"/>
        <v>0</v>
      </c>
      <c r="W138">
        <v>13562</v>
      </c>
      <c r="X138">
        <v>16427</v>
      </c>
      <c r="Y138">
        <v>10075</v>
      </c>
      <c r="Z138">
        <v>17762</v>
      </c>
      <c r="AA138">
        <v>11371</v>
      </c>
      <c r="AB138">
        <v>160</v>
      </c>
      <c r="AC138">
        <v>390</v>
      </c>
      <c r="AD138">
        <v>170</v>
      </c>
      <c r="AE138">
        <v>125</v>
      </c>
      <c r="AF138">
        <v>7.5038316245905152</v>
      </c>
      <c r="AG138">
        <v>1.0719759463700735</v>
      </c>
      <c r="AH138">
        <v>0</v>
      </c>
      <c r="AI138">
        <v>0.85758075709605885</v>
      </c>
      <c r="AJ138">
        <v>0</v>
      </c>
      <c r="AK138">
        <v>0.42879037854802943</v>
      </c>
      <c r="AL138">
        <v>0.42879037854802943</v>
      </c>
      <c r="AM138">
        <v>0</v>
      </c>
      <c r="AN138">
        <v>0</v>
      </c>
      <c r="AO138">
        <v>0.42879037854802943</v>
      </c>
      <c r="AP138">
        <v>0</v>
      </c>
      <c r="AQ138">
        <v>0.42879037854802943</v>
      </c>
      <c r="AR138">
        <v>0</v>
      </c>
      <c r="AS138">
        <v>0.64318556782204417</v>
      </c>
      <c r="AT138">
        <v>1.2863711356440883</v>
      </c>
      <c r="AU138">
        <v>0.85758075709605885</v>
      </c>
      <c r="AV138">
        <v>0</v>
      </c>
      <c r="AW138">
        <v>0.42879037854802943</v>
      </c>
      <c r="AX138">
        <v>0.42879037854802943</v>
      </c>
      <c r="AY138">
        <v>0</v>
      </c>
    </row>
    <row r="139" spans="1:51">
      <c r="A139" t="s">
        <v>329</v>
      </c>
      <c r="T139">
        <f>IFERROR(VLOOKUP(A139,$U$12:$U$74,1,0),0)</f>
        <v>0</v>
      </c>
      <c r="AB139">
        <v>0</v>
      </c>
      <c r="AC139">
        <v>0</v>
      </c>
      <c r="AD139">
        <v>0</v>
      </c>
      <c r="AE139">
        <v>0</v>
      </c>
      <c r="AF139" t="e">
        <v>#N/A</v>
      </c>
      <c r="AG139" t="e">
        <v>#N/A</v>
      </c>
      <c r="AH139" t="e">
        <v>#N/A</v>
      </c>
      <c r="AI139" t="e">
        <v>#N/A</v>
      </c>
      <c r="AJ139" t="e">
        <v>#N/A</v>
      </c>
      <c r="AK139" t="e">
        <v>#N/A</v>
      </c>
      <c r="AL139" t="e">
        <v>#N/A</v>
      </c>
      <c r="AM139" t="e">
        <v>#N/A</v>
      </c>
      <c r="AN139" t="e">
        <v>#N/A</v>
      </c>
      <c r="AO139" t="e">
        <v>#N/A</v>
      </c>
      <c r="AP139" t="e">
        <v>#N/A</v>
      </c>
      <c r="AQ139" t="e">
        <v>#N/A</v>
      </c>
      <c r="AR139" t="e">
        <v>#N/A</v>
      </c>
      <c r="AS139" t="e">
        <v>#N/A</v>
      </c>
      <c r="AT139" t="e">
        <v>#N/A</v>
      </c>
      <c r="AU139" t="e">
        <v>#N/A</v>
      </c>
      <c r="AV139" t="e">
        <v>#N/A</v>
      </c>
      <c r="AW139" t="e">
        <v>#N/A</v>
      </c>
      <c r="AX139" t="e">
        <v>#N/A</v>
      </c>
      <c r="AY139" t="e">
        <v>#N/A</v>
      </c>
    </row>
    <row r="140" spans="1:51">
      <c r="A140" t="s">
        <v>328</v>
      </c>
      <c r="T140">
        <f>IFERROR(VLOOKUP(A140,$U$12:$U$74,1,0),0)</f>
        <v>0</v>
      </c>
      <c r="AB140">
        <v>0</v>
      </c>
      <c r="AC140">
        <v>0</v>
      </c>
      <c r="AD140">
        <v>0</v>
      </c>
      <c r="AE140">
        <v>0</v>
      </c>
      <c r="AF140" t="e">
        <v>#N/A</v>
      </c>
      <c r="AG140" t="e">
        <v>#N/A</v>
      </c>
      <c r="AH140" t="e">
        <v>#N/A</v>
      </c>
      <c r="AI140" t="e">
        <v>#N/A</v>
      </c>
      <c r="AJ140" t="e">
        <v>#N/A</v>
      </c>
      <c r="AK140" t="e">
        <v>#N/A</v>
      </c>
      <c r="AL140" t="e">
        <v>#N/A</v>
      </c>
      <c r="AM140" t="e">
        <v>#N/A</v>
      </c>
      <c r="AN140" t="e">
        <v>#N/A</v>
      </c>
      <c r="AO140" t="e">
        <v>#N/A</v>
      </c>
      <c r="AP140" t="e">
        <v>#N/A</v>
      </c>
      <c r="AQ140" t="e">
        <v>#N/A</v>
      </c>
      <c r="AR140" t="e">
        <v>#N/A</v>
      </c>
      <c r="AS140" t="e">
        <v>#N/A</v>
      </c>
      <c r="AT140" t="e">
        <v>#N/A</v>
      </c>
      <c r="AU140" t="e">
        <v>#N/A</v>
      </c>
      <c r="AV140" t="e">
        <v>#N/A</v>
      </c>
      <c r="AW140" t="e">
        <v>#N/A</v>
      </c>
      <c r="AX140" t="e">
        <v>#N/A</v>
      </c>
      <c r="AY140" t="e">
        <v>#N/A</v>
      </c>
    </row>
    <row r="141" spans="1:51">
      <c r="A141" t="s">
        <v>330</v>
      </c>
      <c r="B141">
        <v>450</v>
      </c>
      <c r="C141">
        <v>445</v>
      </c>
      <c r="D141">
        <v>0.6</v>
      </c>
      <c r="E141">
        <v>37807</v>
      </c>
      <c r="F141">
        <v>0</v>
      </c>
      <c r="G141">
        <v>215</v>
      </c>
      <c r="H141">
        <v>100</v>
      </c>
      <c r="I141">
        <v>40</v>
      </c>
      <c r="J141">
        <v>86</v>
      </c>
      <c r="K141">
        <v>14</v>
      </c>
      <c r="L141">
        <v>44.6</v>
      </c>
      <c r="M141">
        <v>40.5</v>
      </c>
      <c r="N141">
        <v>12.1</v>
      </c>
      <c r="T141">
        <f t="shared" si="4"/>
        <v>0</v>
      </c>
      <c r="W141">
        <v>19878</v>
      </c>
      <c r="X141">
        <v>19994</v>
      </c>
      <c r="Y141">
        <v>19685</v>
      </c>
      <c r="Z141">
        <v>16252</v>
      </c>
      <c r="AA141">
        <v>16794</v>
      </c>
      <c r="AB141">
        <v>75</v>
      </c>
      <c r="AC141">
        <v>230</v>
      </c>
      <c r="AD141">
        <v>100</v>
      </c>
      <c r="AE141">
        <v>135</v>
      </c>
      <c r="AF141">
        <v>1.4228044379093705</v>
      </c>
      <c r="AG141">
        <v>0</v>
      </c>
      <c r="AH141">
        <v>0</v>
      </c>
      <c r="AI141">
        <v>2.845608875818741</v>
      </c>
      <c r="AJ141">
        <v>0</v>
      </c>
      <c r="AK141">
        <v>0.94853629193958033</v>
      </c>
      <c r="AL141">
        <v>0.94853629193958033</v>
      </c>
      <c r="AM141">
        <v>2.3713407298489511</v>
      </c>
      <c r="AN141">
        <v>0</v>
      </c>
      <c r="AO141">
        <v>0.94853629193958033</v>
      </c>
      <c r="AP141">
        <v>0</v>
      </c>
      <c r="AQ141">
        <v>0.94853629193958033</v>
      </c>
      <c r="AR141">
        <v>0</v>
      </c>
      <c r="AS141">
        <v>0</v>
      </c>
      <c r="AT141">
        <v>0.94853629193958033</v>
      </c>
      <c r="AU141">
        <v>1.4228044379093705</v>
      </c>
      <c r="AV141">
        <v>0</v>
      </c>
      <c r="AW141">
        <v>1.4228044379093705</v>
      </c>
      <c r="AX141">
        <v>0.94853629193958033</v>
      </c>
      <c r="AY141">
        <v>0.94853629193958033</v>
      </c>
    </row>
    <row r="142" spans="1:51">
      <c r="A142" t="s">
        <v>669</v>
      </c>
      <c r="B142">
        <v>510</v>
      </c>
      <c r="C142">
        <v>510</v>
      </c>
      <c r="D142">
        <v>1.6</v>
      </c>
      <c r="E142">
        <v>52466</v>
      </c>
      <c r="F142">
        <v>10</v>
      </c>
      <c r="G142">
        <v>155</v>
      </c>
      <c r="H142">
        <v>65</v>
      </c>
      <c r="I142">
        <v>45</v>
      </c>
      <c r="J142">
        <v>90.3</v>
      </c>
      <c r="K142">
        <v>6.5</v>
      </c>
      <c r="L142">
        <v>75.3</v>
      </c>
      <c r="M142">
        <v>64.400000000000006</v>
      </c>
      <c r="N142">
        <v>14.5</v>
      </c>
      <c r="T142">
        <f t="shared" si="4"/>
        <v>0</v>
      </c>
      <c r="W142">
        <v>20638</v>
      </c>
      <c r="X142">
        <v>24664</v>
      </c>
      <c r="Y142">
        <v>15525</v>
      </c>
      <c r="Z142">
        <v>22922</v>
      </c>
      <c r="AA142">
        <v>14477</v>
      </c>
      <c r="AB142">
        <v>140</v>
      </c>
      <c r="AC142">
        <v>285</v>
      </c>
      <c r="AD142">
        <v>80</v>
      </c>
      <c r="AE142">
        <v>75</v>
      </c>
      <c r="AF142">
        <v>7.9677048522924734</v>
      </c>
      <c r="AG142">
        <v>0.56912177516374818</v>
      </c>
      <c r="AH142">
        <v>0</v>
      </c>
      <c r="AI142">
        <v>0.85368266274562221</v>
      </c>
      <c r="AJ142">
        <v>1.1382435503274964</v>
      </c>
      <c r="AK142">
        <v>0</v>
      </c>
      <c r="AL142">
        <v>0</v>
      </c>
      <c r="AM142">
        <v>0.56912177516374818</v>
      </c>
      <c r="AN142">
        <v>0</v>
      </c>
      <c r="AO142">
        <v>0.56912177516374818</v>
      </c>
      <c r="AP142">
        <v>0</v>
      </c>
      <c r="AQ142">
        <v>0.56912177516374818</v>
      </c>
      <c r="AR142">
        <v>0</v>
      </c>
      <c r="AS142">
        <v>0</v>
      </c>
      <c r="AT142">
        <v>0.56912177516374818</v>
      </c>
      <c r="AU142">
        <v>0.85368266274562221</v>
      </c>
      <c r="AV142">
        <v>0</v>
      </c>
      <c r="AW142">
        <v>0.56912177516374818</v>
      </c>
      <c r="AX142">
        <v>0.56912177516374818</v>
      </c>
      <c r="AY142">
        <v>0</v>
      </c>
    </row>
    <row r="143" spans="1:51">
      <c r="A143" t="s">
        <v>331</v>
      </c>
      <c r="T143">
        <f t="shared" si="4"/>
        <v>0</v>
      </c>
      <c r="AB143">
        <v>0</v>
      </c>
      <c r="AC143">
        <v>0</v>
      </c>
      <c r="AD143">
        <v>0</v>
      </c>
      <c r="AE143">
        <v>0</v>
      </c>
      <c r="AF143" t="e">
        <v>#N/A</v>
      </c>
      <c r="AG143" t="e">
        <v>#N/A</v>
      </c>
      <c r="AH143" t="e">
        <v>#N/A</v>
      </c>
      <c r="AI143" t="e">
        <v>#N/A</v>
      </c>
      <c r="AJ143" t="e">
        <v>#N/A</v>
      </c>
      <c r="AK143" t="e">
        <v>#N/A</v>
      </c>
      <c r="AL143" t="e">
        <v>#N/A</v>
      </c>
      <c r="AM143" t="e">
        <v>#N/A</v>
      </c>
      <c r="AN143" t="e">
        <v>#N/A</v>
      </c>
      <c r="AO143" t="e">
        <v>#N/A</v>
      </c>
      <c r="AP143" t="e">
        <v>#N/A</v>
      </c>
      <c r="AQ143" t="e">
        <v>#N/A</v>
      </c>
      <c r="AR143" t="e">
        <v>#N/A</v>
      </c>
      <c r="AS143" t="e">
        <v>#N/A</v>
      </c>
      <c r="AT143" t="e">
        <v>#N/A</v>
      </c>
      <c r="AU143" t="e">
        <v>#N/A</v>
      </c>
      <c r="AV143" t="e">
        <v>#N/A</v>
      </c>
      <c r="AW143" t="e">
        <v>#N/A</v>
      </c>
      <c r="AX143" t="e">
        <v>#N/A</v>
      </c>
      <c r="AY143" t="e">
        <v>#N/A</v>
      </c>
    </row>
    <row r="144" spans="1:51">
      <c r="A144" t="s">
        <v>332</v>
      </c>
      <c r="T144">
        <f t="shared" si="4"/>
        <v>0</v>
      </c>
      <c r="AB144">
        <v>0</v>
      </c>
      <c r="AC144">
        <v>0</v>
      </c>
      <c r="AD144">
        <v>0</v>
      </c>
      <c r="AE144">
        <v>0</v>
      </c>
      <c r="AF144" t="e">
        <v>#N/A</v>
      </c>
      <c r="AG144" t="e">
        <v>#N/A</v>
      </c>
      <c r="AH144" t="e">
        <v>#N/A</v>
      </c>
      <c r="AI144" t="e">
        <v>#N/A</v>
      </c>
      <c r="AJ144" t="e">
        <v>#N/A</v>
      </c>
      <c r="AK144" t="e">
        <v>#N/A</v>
      </c>
      <c r="AL144" t="e">
        <v>#N/A</v>
      </c>
      <c r="AM144" t="e">
        <v>#N/A</v>
      </c>
      <c r="AN144" t="e">
        <v>#N/A</v>
      </c>
      <c r="AO144" t="e">
        <v>#N/A</v>
      </c>
      <c r="AP144" t="e">
        <v>#N/A</v>
      </c>
      <c r="AQ144" t="e">
        <v>#N/A</v>
      </c>
      <c r="AR144" t="e">
        <v>#N/A</v>
      </c>
      <c r="AS144" t="e">
        <v>#N/A</v>
      </c>
      <c r="AT144" t="e">
        <v>#N/A</v>
      </c>
      <c r="AU144" t="e">
        <v>#N/A</v>
      </c>
      <c r="AV144" t="e">
        <v>#N/A</v>
      </c>
      <c r="AW144" t="e">
        <v>#N/A</v>
      </c>
      <c r="AX144" t="e">
        <v>#N/A</v>
      </c>
      <c r="AY144" t="e">
        <v>#N/A</v>
      </c>
    </row>
    <row r="145" spans="1:51">
      <c r="A145" t="s">
        <v>333</v>
      </c>
      <c r="T145">
        <f t="shared" si="4"/>
        <v>0</v>
      </c>
      <c r="AB145">
        <v>0</v>
      </c>
      <c r="AC145">
        <v>0</v>
      </c>
      <c r="AD145">
        <v>0</v>
      </c>
      <c r="AE145">
        <v>0</v>
      </c>
      <c r="AF145" t="e">
        <v>#N/A</v>
      </c>
      <c r="AG145" t="e">
        <v>#N/A</v>
      </c>
      <c r="AH145" t="e">
        <v>#N/A</v>
      </c>
      <c r="AI145" t="e">
        <v>#N/A</v>
      </c>
      <c r="AJ145" t="e">
        <v>#N/A</v>
      </c>
      <c r="AK145" t="e">
        <v>#N/A</v>
      </c>
      <c r="AL145" t="e">
        <v>#N/A</v>
      </c>
      <c r="AM145" t="e">
        <v>#N/A</v>
      </c>
      <c r="AN145" t="e">
        <v>#N/A</v>
      </c>
      <c r="AO145" t="e">
        <v>#N/A</v>
      </c>
      <c r="AP145" t="e">
        <v>#N/A</v>
      </c>
      <c r="AQ145" t="e">
        <v>#N/A</v>
      </c>
      <c r="AR145" t="e">
        <v>#N/A</v>
      </c>
      <c r="AS145" t="e">
        <v>#N/A</v>
      </c>
      <c r="AT145" t="e">
        <v>#N/A</v>
      </c>
      <c r="AU145" t="e">
        <v>#N/A</v>
      </c>
      <c r="AV145" t="e">
        <v>#N/A</v>
      </c>
      <c r="AW145" t="e">
        <v>#N/A</v>
      </c>
      <c r="AX145" t="e">
        <v>#N/A</v>
      </c>
      <c r="AY145" t="e">
        <v>#N/A</v>
      </c>
    </row>
    <row r="146" spans="1:51">
      <c r="A146" t="s">
        <v>638</v>
      </c>
      <c r="B146">
        <v>1335</v>
      </c>
      <c r="C146">
        <v>1280</v>
      </c>
      <c r="D146">
        <v>1.2</v>
      </c>
      <c r="E146">
        <v>58811</v>
      </c>
      <c r="F146">
        <v>0</v>
      </c>
      <c r="G146">
        <v>435</v>
      </c>
      <c r="H146">
        <v>185</v>
      </c>
      <c r="I146">
        <v>50</v>
      </c>
      <c r="J146">
        <v>89.7</v>
      </c>
      <c r="K146">
        <v>10.3</v>
      </c>
      <c r="L146">
        <v>80.599999999999994</v>
      </c>
      <c r="M146">
        <v>78.599999999999994</v>
      </c>
      <c r="N146">
        <v>2.4</v>
      </c>
      <c r="T146">
        <f t="shared" si="4"/>
        <v>0</v>
      </c>
      <c r="W146">
        <v>23049</v>
      </c>
      <c r="X146">
        <v>24192</v>
      </c>
      <c r="Y146">
        <v>21586</v>
      </c>
      <c r="Z146">
        <v>27550</v>
      </c>
      <c r="AA146">
        <v>18948</v>
      </c>
      <c r="AB146">
        <v>310</v>
      </c>
      <c r="AC146">
        <v>855</v>
      </c>
      <c r="AD146">
        <v>325</v>
      </c>
      <c r="AE146">
        <v>175</v>
      </c>
      <c r="AF146">
        <v>4.0787060553401959</v>
      </c>
      <c r="AG146">
        <v>0</v>
      </c>
      <c r="AH146">
        <v>0</v>
      </c>
      <c r="AI146">
        <v>0.47426814596979017</v>
      </c>
      <c r="AJ146">
        <v>0.7588290335516642</v>
      </c>
      <c r="AK146">
        <v>0.47426814596979017</v>
      </c>
      <c r="AL146">
        <v>1.4228044379093705</v>
      </c>
      <c r="AM146">
        <v>1.0433899211335382</v>
      </c>
      <c r="AN146">
        <v>0.28456088758187409</v>
      </c>
      <c r="AO146">
        <v>0.18970725838791605</v>
      </c>
      <c r="AP146">
        <v>0.18970725838791605</v>
      </c>
      <c r="AQ146">
        <v>0.56912177516374818</v>
      </c>
      <c r="AR146">
        <v>0</v>
      </c>
      <c r="AS146">
        <v>0.28456088758187409</v>
      </c>
      <c r="AT146">
        <v>1.6125116962972865</v>
      </c>
      <c r="AU146">
        <v>1.2330971795214543</v>
      </c>
      <c r="AV146">
        <v>0.47426814596979017</v>
      </c>
      <c r="AW146">
        <v>0.85368266274562221</v>
      </c>
      <c r="AX146">
        <v>0.56912177516374818</v>
      </c>
      <c r="AY146">
        <v>0.94853629193958033</v>
      </c>
    </row>
    <row r="147" spans="1:51">
      <c r="A147" t="s">
        <v>334</v>
      </c>
      <c r="B147">
        <v>640</v>
      </c>
      <c r="C147">
        <v>635</v>
      </c>
      <c r="D147">
        <v>0.8</v>
      </c>
      <c r="E147">
        <v>57673</v>
      </c>
      <c r="F147">
        <v>0</v>
      </c>
      <c r="G147">
        <v>305</v>
      </c>
      <c r="H147">
        <v>105</v>
      </c>
      <c r="I147">
        <v>20</v>
      </c>
      <c r="J147">
        <v>77</v>
      </c>
      <c r="K147">
        <v>23</v>
      </c>
      <c r="L147">
        <v>53.3</v>
      </c>
      <c r="M147">
        <v>52.3</v>
      </c>
      <c r="N147">
        <v>0</v>
      </c>
      <c r="T147">
        <f t="shared" si="4"/>
        <v>0</v>
      </c>
      <c r="W147">
        <v>24448</v>
      </c>
      <c r="X147">
        <v>28852</v>
      </c>
      <c r="Y147">
        <v>19733</v>
      </c>
      <c r="Z147">
        <v>27175</v>
      </c>
      <c r="AA147">
        <v>15245</v>
      </c>
      <c r="AB147">
        <v>90</v>
      </c>
      <c r="AC147">
        <v>365</v>
      </c>
      <c r="AD147">
        <v>150</v>
      </c>
      <c r="AE147">
        <v>170</v>
      </c>
      <c r="AF147">
        <v>1.3728814751757084</v>
      </c>
      <c r="AG147">
        <v>0</v>
      </c>
      <c r="AH147">
        <v>0</v>
      </c>
      <c r="AI147">
        <v>0.54915259007028328</v>
      </c>
      <c r="AJ147">
        <v>0.82372888510542497</v>
      </c>
      <c r="AK147">
        <v>0</v>
      </c>
      <c r="AL147">
        <v>1.0983051801405666</v>
      </c>
      <c r="AM147">
        <v>3.0203392453865581</v>
      </c>
      <c r="AN147">
        <v>0</v>
      </c>
      <c r="AO147">
        <v>0.54915259007028328</v>
      </c>
      <c r="AP147">
        <v>0</v>
      </c>
      <c r="AQ147">
        <v>0</v>
      </c>
      <c r="AR147">
        <v>0</v>
      </c>
      <c r="AS147">
        <v>0</v>
      </c>
      <c r="AT147">
        <v>1.3728814751757084</v>
      </c>
      <c r="AU147">
        <v>2.1966103602811331</v>
      </c>
      <c r="AV147">
        <v>0</v>
      </c>
      <c r="AW147">
        <v>0.54915259007028328</v>
      </c>
      <c r="AX147">
        <v>0.82372888510542497</v>
      </c>
      <c r="AY147">
        <v>3.0203392453865581</v>
      </c>
    </row>
    <row r="148" spans="1:51">
      <c r="A148" t="s">
        <v>335</v>
      </c>
      <c r="B148">
        <v>435</v>
      </c>
      <c r="C148">
        <v>435</v>
      </c>
      <c r="D148">
        <v>0.6</v>
      </c>
      <c r="E148">
        <v>46314</v>
      </c>
      <c r="F148">
        <v>0</v>
      </c>
      <c r="G148">
        <v>245</v>
      </c>
      <c r="H148">
        <v>65</v>
      </c>
      <c r="I148">
        <v>25</v>
      </c>
      <c r="J148">
        <v>67.3</v>
      </c>
      <c r="K148">
        <v>32.700000000000003</v>
      </c>
      <c r="L148">
        <v>52.5</v>
      </c>
      <c r="M148">
        <v>48.8</v>
      </c>
      <c r="N148">
        <v>4.8</v>
      </c>
      <c r="T148">
        <f t="shared" si="4"/>
        <v>0</v>
      </c>
      <c r="W148">
        <v>17566</v>
      </c>
      <c r="X148">
        <v>20253</v>
      </c>
      <c r="Y148">
        <v>15054</v>
      </c>
      <c r="Z148">
        <v>14866</v>
      </c>
      <c r="AA148">
        <v>13757</v>
      </c>
      <c r="AB148">
        <v>40</v>
      </c>
      <c r="AC148">
        <v>235</v>
      </c>
      <c r="AD148">
        <v>115</v>
      </c>
      <c r="AE148">
        <v>175</v>
      </c>
      <c r="AF148">
        <v>1.1179177726430767</v>
      </c>
      <c r="AG148">
        <v>0</v>
      </c>
      <c r="AH148">
        <v>0</v>
      </c>
      <c r="AI148">
        <v>1.4905570301907689</v>
      </c>
      <c r="AJ148">
        <v>0</v>
      </c>
      <c r="AK148">
        <v>0.74527851509538445</v>
      </c>
      <c r="AL148">
        <v>2.9811140603815378</v>
      </c>
      <c r="AM148">
        <v>0</v>
      </c>
      <c r="AN148">
        <v>0</v>
      </c>
      <c r="AO148">
        <v>1.1179177726430767</v>
      </c>
      <c r="AP148">
        <v>0</v>
      </c>
      <c r="AQ148">
        <v>0.74527851509538445</v>
      </c>
      <c r="AR148">
        <v>0</v>
      </c>
      <c r="AS148">
        <v>0</v>
      </c>
      <c r="AT148">
        <v>1.4905570301907689</v>
      </c>
      <c r="AU148">
        <v>0.74527851509538445</v>
      </c>
      <c r="AV148">
        <v>0</v>
      </c>
      <c r="AW148">
        <v>2.9811140603815378</v>
      </c>
      <c r="AX148">
        <v>0</v>
      </c>
      <c r="AY148">
        <v>1.4905570301907689</v>
      </c>
    </row>
    <row r="149" spans="1:51">
      <c r="A149" t="s">
        <v>500</v>
      </c>
      <c r="B149">
        <v>885</v>
      </c>
      <c r="C149">
        <v>885</v>
      </c>
      <c r="D149">
        <v>1.2</v>
      </c>
      <c r="E149">
        <v>37872</v>
      </c>
      <c r="F149">
        <v>14.6</v>
      </c>
      <c r="G149">
        <v>360</v>
      </c>
      <c r="H149">
        <v>115</v>
      </c>
      <c r="I149">
        <v>70</v>
      </c>
      <c r="J149">
        <v>84.7</v>
      </c>
      <c r="K149">
        <v>15.3</v>
      </c>
      <c r="L149">
        <v>65.2</v>
      </c>
      <c r="M149">
        <v>60.9</v>
      </c>
      <c r="N149">
        <v>6.7</v>
      </c>
      <c r="T149">
        <f t="shared" si="4"/>
        <v>0</v>
      </c>
      <c r="W149">
        <v>16492</v>
      </c>
      <c r="X149">
        <v>19732</v>
      </c>
      <c r="Y149">
        <v>13458</v>
      </c>
      <c r="Z149">
        <v>18172</v>
      </c>
      <c r="AA149">
        <v>12475</v>
      </c>
      <c r="AB149">
        <v>190</v>
      </c>
      <c r="AC149">
        <v>520</v>
      </c>
      <c r="AD149">
        <v>215</v>
      </c>
      <c r="AE149">
        <v>170</v>
      </c>
      <c r="AF149">
        <v>4.5213563249119995</v>
      </c>
      <c r="AG149">
        <v>0</v>
      </c>
      <c r="AH149">
        <v>0.69559328075569227</v>
      </c>
      <c r="AI149">
        <v>2.2606781624559997</v>
      </c>
      <c r="AJ149">
        <v>0</v>
      </c>
      <c r="AK149">
        <v>0</v>
      </c>
      <c r="AL149">
        <v>0.86949160094461519</v>
      </c>
      <c r="AM149">
        <v>0</v>
      </c>
      <c r="AN149">
        <v>0</v>
      </c>
      <c r="AO149">
        <v>0.86949160094461519</v>
      </c>
      <c r="AP149">
        <v>0</v>
      </c>
      <c r="AQ149">
        <v>0</v>
      </c>
      <c r="AR149">
        <v>0</v>
      </c>
      <c r="AS149">
        <v>0.34779664037784613</v>
      </c>
      <c r="AT149">
        <v>1.0433899211335382</v>
      </c>
      <c r="AU149">
        <v>2.2606781624559997</v>
      </c>
      <c r="AV149">
        <v>0</v>
      </c>
      <c r="AW149">
        <v>1.3911865615113845</v>
      </c>
      <c r="AX149">
        <v>0.34779664037784613</v>
      </c>
      <c r="AY149">
        <v>0.34779664037784613</v>
      </c>
    </row>
    <row r="150" spans="1:51">
      <c r="A150" s="83" t="s">
        <v>683</v>
      </c>
      <c r="B150">
        <v>335</v>
      </c>
      <c r="C150">
        <v>335</v>
      </c>
      <c r="D150">
        <v>0.9</v>
      </c>
      <c r="E150">
        <v>33843</v>
      </c>
      <c r="F150">
        <v>20</v>
      </c>
      <c r="G150">
        <v>170</v>
      </c>
      <c r="H150">
        <v>80</v>
      </c>
      <c r="I150">
        <v>25</v>
      </c>
      <c r="J150">
        <v>76.5</v>
      </c>
      <c r="K150">
        <v>20.6</v>
      </c>
      <c r="L150">
        <v>38.6</v>
      </c>
      <c r="M150">
        <v>35.1</v>
      </c>
      <c r="N150">
        <v>13.6</v>
      </c>
      <c r="T150">
        <f>IFERROR(VLOOKUP(A150,$U$12:$U$74,1,0),0)</f>
        <v>0</v>
      </c>
      <c r="W150">
        <v>14145</v>
      </c>
      <c r="X150">
        <v>13215</v>
      </c>
      <c r="Y150">
        <v>15776</v>
      </c>
      <c r="Z150">
        <v>13849</v>
      </c>
      <c r="AA150">
        <v>12017</v>
      </c>
      <c r="AB150">
        <v>30</v>
      </c>
      <c r="AC150">
        <v>175</v>
      </c>
      <c r="AD150">
        <v>85</v>
      </c>
      <c r="AE150">
        <v>105</v>
      </c>
      <c r="AF150">
        <v>2.0414150630873578</v>
      </c>
      <c r="AG150">
        <v>1.3609433753915716</v>
      </c>
      <c r="AH150">
        <v>0</v>
      </c>
      <c r="AI150">
        <v>1.3609433753915716</v>
      </c>
      <c r="AJ150">
        <v>1.3609433753915716</v>
      </c>
      <c r="AK150">
        <v>0</v>
      </c>
      <c r="AL150">
        <v>2.7218867507831432</v>
      </c>
      <c r="AM150">
        <v>1.3609433753915716</v>
      </c>
      <c r="AN150">
        <v>0</v>
      </c>
      <c r="AO150">
        <v>0</v>
      </c>
      <c r="AP150">
        <v>0</v>
      </c>
      <c r="AQ150">
        <v>0</v>
      </c>
      <c r="AR150">
        <v>0</v>
      </c>
      <c r="AS150">
        <v>0</v>
      </c>
      <c r="AT150">
        <v>2.0414150630873578</v>
      </c>
      <c r="AU150">
        <v>1.3609433753915716</v>
      </c>
      <c r="AV150">
        <v>0</v>
      </c>
      <c r="AW150">
        <v>0</v>
      </c>
      <c r="AX150">
        <v>1.3609433753915716</v>
      </c>
      <c r="AY150">
        <v>1.3609433753915716</v>
      </c>
    </row>
    <row r="151" spans="1:51">
      <c r="A151" s="82" t="s">
        <v>775</v>
      </c>
      <c r="B151">
        <v>460</v>
      </c>
      <c r="C151">
        <v>455</v>
      </c>
      <c r="D151">
        <v>1</v>
      </c>
      <c r="E151">
        <v>32281</v>
      </c>
      <c r="F151">
        <v>16.7</v>
      </c>
      <c r="G151">
        <v>175</v>
      </c>
      <c r="H151">
        <v>80</v>
      </c>
      <c r="I151">
        <v>35</v>
      </c>
      <c r="J151">
        <v>85.7</v>
      </c>
      <c r="K151">
        <v>14.3</v>
      </c>
      <c r="L151">
        <v>65.8</v>
      </c>
      <c r="M151">
        <v>63.2</v>
      </c>
      <c r="N151">
        <v>4</v>
      </c>
      <c r="T151">
        <f>IFERROR(VLOOKUP(A151,$U$12:$U$74,1,0),0)</f>
        <v>0</v>
      </c>
      <c r="W151">
        <v>14311</v>
      </c>
      <c r="X151">
        <v>13702</v>
      </c>
      <c r="Y151">
        <v>15132</v>
      </c>
      <c r="Z151">
        <v>14277</v>
      </c>
      <c r="AA151">
        <v>10197</v>
      </c>
      <c r="AB151">
        <v>70</v>
      </c>
      <c r="AC151">
        <v>290</v>
      </c>
      <c r="AD151">
        <v>115</v>
      </c>
      <c r="AE151">
        <v>65</v>
      </c>
      <c r="AF151">
        <v>7.9851269474505484</v>
      </c>
      <c r="AG151">
        <v>0</v>
      </c>
      <c r="AH151">
        <v>0</v>
      </c>
      <c r="AI151">
        <v>0.9582152336940658</v>
      </c>
      <c r="AJ151">
        <v>0</v>
      </c>
      <c r="AK151">
        <v>0</v>
      </c>
      <c r="AL151">
        <v>1.2776203115920877</v>
      </c>
      <c r="AM151">
        <v>0.9582152336940658</v>
      </c>
      <c r="AN151">
        <v>0</v>
      </c>
      <c r="AO151">
        <v>0.63881015579604383</v>
      </c>
      <c r="AP151">
        <v>0</v>
      </c>
      <c r="AQ151">
        <v>0.63881015579604383</v>
      </c>
      <c r="AR151">
        <v>0</v>
      </c>
      <c r="AS151">
        <v>0</v>
      </c>
      <c r="AT151">
        <v>0</v>
      </c>
      <c r="AU151">
        <v>1.9164304673881316</v>
      </c>
      <c r="AV151">
        <v>0</v>
      </c>
      <c r="AW151">
        <v>1.2776203115920877</v>
      </c>
      <c r="AX151">
        <v>0.9582152336940658</v>
      </c>
      <c r="AY151">
        <v>0</v>
      </c>
    </row>
    <row r="152" spans="1:51">
      <c r="A152" t="s">
        <v>499</v>
      </c>
      <c r="B152">
        <v>820</v>
      </c>
      <c r="C152">
        <v>820</v>
      </c>
      <c r="D152">
        <v>2.2000000000000002</v>
      </c>
      <c r="E152">
        <v>23454</v>
      </c>
      <c r="F152">
        <v>0</v>
      </c>
      <c r="G152">
        <v>205</v>
      </c>
      <c r="H152">
        <v>75</v>
      </c>
      <c r="I152">
        <v>95</v>
      </c>
      <c r="J152">
        <v>24.4</v>
      </c>
      <c r="K152">
        <v>0</v>
      </c>
      <c r="L152">
        <v>51</v>
      </c>
      <c r="M152">
        <v>28</v>
      </c>
      <c r="N152">
        <v>45.1</v>
      </c>
      <c r="T152">
        <f>IFERROR(VLOOKUP(A152,$U$12:$U$74,1,0),0)</f>
        <v>0</v>
      </c>
      <c r="W152">
        <v>13719</v>
      </c>
      <c r="X152">
        <v>13282</v>
      </c>
      <c r="Y152">
        <v>14279</v>
      </c>
      <c r="Z152">
        <v>4368</v>
      </c>
      <c r="AA152">
        <v>7088</v>
      </c>
      <c r="AB152">
        <v>325</v>
      </c>
      <c r="AC152">
        <v>470</v>
      </c>
      <c r="AD152">
        <v>125</v>
      </c>
      <c r="AE152">
        <v>40</v>
      </c>
      <c r="AF152" t="e">
        <v>#N/A</v>
      </c>
      <c r="AG152" t="e">
        <v>#N/A</v>
      </c>
      <c r="AH152" t="e">
        <v>#N/A</v>
      </c>
      <c r="AI152" t="e">
        <v>#N/A</v>
      </c>
      <c r="AJ152" t="e">
        <v>#N/A</v>
      </c>
      <c r="AK152" t="e">
        <v>#N/A</v>
      </c>
      <c r="AL152" t="e">
        <v>#N/A</v>
      </c>
      <c r="AM152" t="e">
        <v>#N/A</v>
      </c>
      <c r="AN152" t="e">
        <v>#N/A</v>
      </c>
      <c r="AO152" t="e">
        <v>#N/A</v>
      </c>
      <c r="AP152" t="e">
        <v>#N/A</v>
      </c>
      <c r="AQ152" t="e">
        <v>#N/A</v>
      </c>
      <c r="AR152" t="e">
        <v>#N/A</v>
      </c>
      <c r="AS152" t="e">
        <v>#N/A</v>
      </c>
      <c r="AT152" t="e">
        <v>#N/A</v>
      </c>
      <c r="AU152" t="e">
        <v>#N/A</v>
      </c>
      <c r="AV152" t="e">
        <v>#N/A</v>
      </c>
      <c r="AW152" t="e">
        <v>#N/A</v>
      </c>
      <c r="AX152" t="e">
        <v>#N/A</v>
      </c>
      <c r="AY152" t="e">
        <v>#N/A</v>
      </c>
    </row>
    <row r="153" spans="1:51">
      <c r="A153" t="s">
        <v>336</v>
      </c>
      <c r="T153">
        <f>IFERROR(VLOOKUP(A153,$U$12:$U$74,1,0),0)</f>
        <v>0</v>
      </c>
      <c r="AB153">
        <v>0</v>
      </c>
      <c r="AC153">
        <v>0</v>
      </c>
      <c r="AD153">
        <v>0</v>
      </c>
      <c r="AE153">
        <v>0</v>
      </c>
      <c r="AF153" t="e">
        <v>#N/A</v>
      </c>
      <c r="AG153" t="e">
        <v>#N/A</v>
      </c>
      <c r="AH153" t="e">
        <v>#N/A</v>
      </c>
      <c r="AI153" t="e">
        <v>#N/A</v>
      </c>
      <c r="AJ153" t="e">
        <v>#N/A</v>
      </c>
      <c r="AK153" t="e">
        <v>#N/A</v>
      </c>
      <c r="AL153" t="e">
        <v>#N/A</v>
      </c>
      <c r="AM153" t="e">
        <v>#N/A</v>
      </c>
      <c r="AN153" t="e">
        <v>#N/A</v>
      </c>
      <c r="AO153" t="e">
        <v>#N/A</v>
      </c>
      <c r="AP153" t="e">
        <v>#N/A</v>
      </c>
      <c r="AQ153" t="e">
        <v>#N/A</v>
      </c>
      <c r="AR153" t="e">
        <v>#N/A</v>
      </c>
      <c r="AS153" t="e">
        <v>#N/A</v>
      </c>
      <c r="AT153" t="e">
        <v>#N/A</v>
      </c>
      <c r="AU153" t="e">
        <v>#N/A</v>
      </c>
      <c r="AV153" t="e">
        <v>#N/A</v>
      </c>
      <c r="AW153" t="e">
        <v>#N/A</v>
      </c>
      <c r="AX153" t="e">
        <v>#N/A</v>
      </c>
      <c r="AY153" t="e">
        <v>#N/A</v>
      </c>
    </row>
    <row r="154" spans="1:51">
      <c r="A154" t="s">
        <v>691</v>
      </c>
      <c r="B154">
        <v>2025</v>
      </c>
      <c r="C154">
        <v>1830</v>
      </c>
      <c r="D154">
        <v>1.2</v>
      </c>
      <c r="E154">
        <v>49875</v>
      </c>
      <c r="F154">
        <v>14.9</v>
      </c>
      <c r="G154">
        <v>730</v>
      </c>
      <c r="H154">
        <v>365</v>
      </c>
      <c r="I154">
        <v>115</v>
      </c>
      <c r="J154">
        <v>83.6</v>
      </c>
      <c r="K154">
        <v>15.8</v>
      </c>
      <c r="L154">
        <v>65.8</v>
      </c>
      <c r="M154">
        <v>63.8</v>
      </c>
      <c r="N154">
        <v>3</v>
      </c>
      <c r="T154">
        <f>IFERROR(VLOOKUP(A154,$U$12:$U$74,1,0),0)</f>
        <v>0</v>
      </c>
      <c r="W154">
        <v>22519</v>
      </c>
      <c r="X154">
        <v>22533</v>
      </c>
      <c r="Y154">
        <v>22503</v>
      </c>
      <c r="Z154">
        <v>16293</v>
      </c>
      <c r="AA154">
        <v>14414</v>
      </c>
      <c r="AB154">
        <v>490</v>
      </c>
      <c r="AC154">
        <v>1185</v>
      </c>
      <c r="AD154">
        <v>390</v>
      </c>
      <c r="AE154">
        <v>345</v>
      </c>
      <c r="AF154">
        <v>5.9177338810558888</v>
      </c>
      <c r="AG154">
        <v>0</v>
      </c>
      <c r="AH154">
        <v>0.23359475846273245</v>
      </c>
      <c r="AI154">
        <v>0.85651411436335234</v>
      </c>
      <c r="AJ154">
        <v>0.4671895169254649</v>
      </c>
      <c r="AK154">
        <v>0.70078427538819732</v>
      </c>
      <c r="AL154">
        <v>1.0122439533385073</v>
      </c>
      <c r="AM154">
        <v>0.15572983897515497</v>
      </c>
      <c r="AN154">
        <v>0</v>
      </c>
      <c r="AO154">
        <v>0.4671895169254649</v>
      </c>
      <c r="AP154">
        <v>0</v>
      </c>
      <c r="AQ154">
        <v>0.38932459743788744</v>
      </c>
      <c r="AR154">
        <v>0</v>
      </c>
      <c r="AS154">
        <v>0.31145967795030993</v>
      </c>
      <c r="AT154">
        <v>1.0901088728260848</v>
      </c>
      <c r="AU154">
        <v>1.4015685507763946</v>
      </c>
      <c r="AV154">
        <v>0.23359475846273245</v>
      </c>
      <c r="AW154">
        <v>0.9343790338509298</v>
      </c>
      <c r="AX154">
        <v>0.70078427538819732</v>
      </c>
      <c r="AY154">
        <v>0.4671895169254649</v>
      </c>
    </row>
    <row r="155" spans="1:51">
      <c r="A155" t="s">
        <v>215</v>
      </c>
      <c r="B155">
        <v>35</v>
      </c>
      <c r="T155">
        <f t="shared" si="4"/>
        <v>0</v>
      </c>
      <c r="AB155">
        <v>0</v>
      </c>
      <c r="AC155">
        <v>0</v>
      </c>
      <c r="AD155">
        <v>0</v>
      </c>
      <c r="AE155">
        <v>0</v>
      </c>
      <c r="AF155" t="e">
        <v>#N/A</v>
      </c>
      <c r="AG155" t="e">
        <v>#N/A</v>
      </c>
      <c r="AH155" t="e">
        <v>#N/A</v>
      </c>
      <c r="AI155" t="e">
        <v>#N/A</v>
      </c>
      <c r="AJ155" t="e">
        <v>#N/A</v>
      </c>
      <c r="AK155" t="e">
        <v>#N/A</v>
      </c>
      <c r="AL155" t="e">
        <v>#N/A</v>
      </c>
      <c r="AM155" t="e">
        <v>#N/A</v>
      </c>
      <c r="AN155" t="e">
        <v>#N/A</v>
      </c>
      <c r="AO155" t="e">
        <v>#N/A</v>
      </c>
      <c r="AP155" t="e">
        <v>#N/A</v>
      </c>
      <c r="AQ155" t="e">
        <v>#N/A</v>
      </c>
      <c r="AR155" t="e">
        <v>#N/A</v>
      </c>
      <c r="AS155" t="e">
        <v>#N/A</v>
      </c>
      <c r="AT155" t="e">
        <v>#N/A</v>
      </c>
      <c r="AU155" t="e">
        <v>#N/A</v>
      </c>
      <c r="AV155" t="e">
        <v>#N/A</v>
      </c>
      <c r="AW155" t="e">
        <v>#N/A</v>
      </c>
      <c r="AX155" t="e">
        <v>#N/A</v>
      </c>
      <c r="AY155" t="e">
        <v>#N/A</v>
      </c>
    </row>
    <row r="156" spans="1:51">
      <c r="A156" t="s">
        <v>337</v>
      </c>
      <c r="T156">
        <f t="shared" si="4"/>
        <v>0</v>
      </c>
      <c r="AB156">
        <v>0</v>
      </c>
      <c r="AC156">
        <v>0</v>
      </c>
      <c r="AD156">
        <v>0</v>
      </c>
      <c r="AE156">
        <v>0</v>
      </c>
      <c r="AF156" t="e">
        <v>#N/A</v>
      </c>
      <c r="AG156" t="e">
        <v>#N/A</v>
      </c>
      <c r="AH156" t="e">
        <v>#N/A</v>
      </c>
      <c r="AI156" t="e">
        <v>#N/A</v>
      </c>
      <c r="AJ156" t="e">
        <v>#N/A</v>
      </c>
      <c r="AK156" t="e">
        <v>#N/A</v>
      </c>
      <c r="AL156" t="e">
        <v>#N/A</v>
      </c>
      <c r="AM156" t="e">
        <v>#N/A</v>
      </c>
      <c r="AN156" t="e">
        <v>#N/A</v>
      </c>
      <c r="AO156" t="e">
        <v>#N/A</v>
      </c>
      <c r="AP156" t="e">
        <v>#N/A</v>
      </c>
      <c r="AQ156" t="e">
        <v>#N/A</v>
      </c>
      <c r="AR156" t="e">
        <v>#N/A</v>
      </c>
      <c r="AS156" t="e">
        <v>#N/A</v>
      </c>
      <c r="AT156" t="e">
        <v>#N/A</v>
      </c>
      <c r="AU156" t="e">
        <v>#N/A</v>
      </c>
      <c r="AV156" t="e">
        <v>#N/A</v>
      </c>
      <c r="AW156" t="e">
        <v>#N/A</v>
      </c>
      <c r="AX156" t="e">
        <v>#N/A</v>
      </c>
      <c r="AY156" t="e">
        <v>#N/A</v>
      </c>
    </row>
    <row r="157" spans="1:51">
      <c r="A157" t="s">
        <v>216</v>
      </c>
      <c r="B157">
        <v>840</v>
      </c>
      <c r="C157">
        <v>840</v>
      </c>
      <c r="D157">
        <v>1.7</v>
      </c>
      <c r="E157">
        <v>28138</v>
      </c>
      <c r="F157">
        <v>0</v>
      </c>
      <c r="G157">
        <v>285</v>
      </c>
      <c r="H157">
        <v>140</v>
      </c>
      <c r="I157">
        <v>115</v>
      </c>
      <c r="J157">
        <v>33.299999999999997</v>
      </c>
      <c r="K157">
        <v>0</v>
      </c>
      <c r="L157">
        <v>56.1</v>
      </c>
      <c r="M157">
        <v>37.700000000000003</v>
      </c>
      <c r="N157">
        <v>34.4</v>
      </c>
      <c r="T157" t="str">
        <f t="shared" si="4"/>
        <v>Fisher River First Nation</v>
      </c>
      <c r="W157">
        <v>14774</v>
      </c>
      <c r="X157">
        <v>15333</v>
      </c>
      <c r="Y157">
        <v>14037</v>
      </c>
      <c r="Z157">
        <v>8640</v>
      </c>
      <c r="AA157">
        <v>9216</v>
      </c>
      <c r="AB157">
        <v>280</v>
      </c>
      <c r="AC157">
        <v>525</v>
      </c>
      <c r="AD157">
        <v>150</v>
      </c>
      <c r="AE157">
        <v>60</v>
      </c>
      <c r="AF157">
        <v>1.7118115893597114</v>
      </c>
      <c r="AG157">
        <v>0</v>
      </c>
      <c r="AH157">
        <v>0</v>
      </c>
      <c r="AI157">
        <v>0.73363353829701916</v>
      </c>
      <c r="AJ157">
        <v>0</v>
      </c>
      <c r="AK157">
        <v>0</v>
      </c>
      <c r="AL157">
        <v>0.48908902553134609</v>
      </c>
      <c r="AM157">
        <v>0.48908902553134609</v>
      </c>
      <c r="AN157">
        <v>0</v>
      </c>
      <c r="AO157">
        <v>0</v>
      </c>
      <c r="AP157">
        <v>0</v>
      </c>
      <c r="AQ157">
        <v>0</v>
      </c>
      <c r="AR157">
        <v>0</v>
      </c>
      <c r="AS157">
        <v>0.48908902553134609</v>
      </c>
      <c r="AT157">
        <v>2.2009006148910575</v>
      </c>
      <c r="AU157">
        <v>3.6681676914850958</v>
      </c>
      <c r="AV157">
        <v>0.48908902553134609</v>
      </c>
      <c r="AW157">
        <v>0.73363353829701916</v>
      </c>
      <c r="AX157">
        <v>0</v>
      </c>
      <c r="AY157">
        <v>3.9127122042507687</v>
      </c>
    </row>
    <row r="158" spans="1:51">
      <c r="A158" s="103" t="s">
        <v>771</v>
      </c>
      <c r="W158">
        <v>0</v>
      </c>
      <c r="X158">
        <v>0</v>
      </c>
      <c r="Y158">
        <v>0</v>
      </c>
      <c r="Z158">
        <v>0</v>
      </c>
      <c r="AA158">
        <v>0</v>
      </c>
      <c r="AB158">
        <v>10</v>
      </c>
      <c r="AC158">
        <v>20</v>
      </c>
      <c r="AD158">
        <v>0</v>
      </c>
      <c r="AE158">
        <v>0</v>
      </c>
      <c r="AF158" t="e">
        <v>#N/A</v>
      </c>
      <c r="AG158" t="e">
        <v>#N/A</v>
      </c>
      <c r="AH158" t="e">
        <v>#N/A</v>
      </c>
      <c r="AI158" t="e">
        <v>#N/A</v>
      </c>
      <c r="AJ158" t="e">
        <v>#N/A</v>
      </c>
      <c r="AK158" t="e">
        <v>#N/A</v>
      </c>
      <c r="AL158" t="e">
        <v>#N/A</v>
      </c>
      <c r="AM158" t="e">
        <v>#N/A</v>
      </c>
      <c r="AN158" t="e">
        <v>#N/A</v>
      </c>
      <c r="AO158" t="e">
        <v>#N/A</v>
      </c>
      <c r="AP158" t="e">
        <v>#N/A</v>
      </c>
      <c r="AQ158" t="e">
        <v>#N/A</v>
      </c>
      <c r="AR158" t="e">
        <v>#N/A</v>
      </c>
      <c r="AS158" t="e">
        <v>#N/A</v>
      </c>
      <c r="AT158" t="e">
        <v>#N/A</v>
      </c>
      <c r="AU158" t="e">
        <v>#N/A</v>
      </c>
      <c r="AV158" t="e">
        <v>#N/A</v>
      </c>
      <c r="AW158" t="e">
        <v>#N/A</v>
      </c>
      <c r="AX158" t="e">
        <v>#N/A</v>
      </c>
      <c r="AY158" t="e">
        <v>#N/A</v>
      </c>
    </row>
    <row r="159" spans="1:51">
      <c r="A159" t="s">
        <v>338</v>
      </c>
      <c r="B159">
        <v>5935</v>
      </c>
      <c r="C159">
        <v>5925</v>
      </c>
      <c r="D159">
        <v>1.2</v>
      </c>
      <c r="E159">
        <v>66881</v>
      </c>
      <c r="F159">
        <v>8</v>
      </c>
      <c r="G159">
        <v>2460</v>
      </c>
      <c r="H159">
        <v>1005</v>
      </c>
      <c r="I159">
        <v>320</v>
      </c>
      <c r="J159">
        <v>75</v>
      </c>
      <c r="K159">
        <v>25</v>
      </c>
      <c r="L159">
        <v>67.5</v>
      </c>
      <c r="M159">
        <v>62.2</v>
      </c>
      <c r="N159">
        <v>7.8</v>
      </c>
      <c r="T159">
        <f t="shared" si="4"/>
        <v>0</v>
      </c>
      <c r="W159">
        <v>31964</v>
      </c>
      <c r="X159">
        <v>42372</v>
      </c>
      <c r="Y159">
        <v>19835</v>
      </c>
      <c r="Z159">
        <v>41258</v>
      </c>
      <c r="AA159">
        <v>15904</v>
      </c>
      <c r="AB159">
        <v>1205</v>
      </c>
      <c r="AC159">
        <v>3985</v>
      </c>
      <c r="AD159">
        <v>1365</v>
      </c>
      <c r="AE159">
        <v>730</v>
      </c>
      <c r="AF159">
        <v>4.913924275354184E-2</v>
      </c>
      <c r="AG159">
        <v>1.8918608460113608</v>
      </c>
      <c r="AH159">
        <v>0.22112659239093826</v>
      </c>
      <c r="AI159">
        <v>0.71251901992635669</v>
      </c>
      <c r="AJ159">
        <v>3.6608735851388667</v>
      </c>
      <c r="AK159">
        <v>0.22112659239093826</v>
      </c>
      <c r="AL159">
        <v>1.7935823605042771</v>
      </c>
      <c r="AM159">
        <v>0.44225318478187653</v>
      </c>
      <c r="AN159">
        <v>4.913924275354184E-2</v>
      </c>
      <c r="AO159">
        <v>0.22112659239093826</v>
      </c>
      <c r="AP159">
        <v>0</v>
      </c>
      <c r="AQ159">
        <v>0.36854432065156378</v>
      </c>
      <c r="AR159">
        <v>0</v>
      </c>
      <c r="AS159">
        <v>0.34397469927479291</v>
      </c>
      <c r="AT159">
        <v>1.0319240978243787</v>
      </c>
      <c r="AU159">
        <v>1.6953038749971934</v>
      </c>
      <c r="AV159">
        <v>0.14741772826062549</v>
      </c>
      <c r="AW159">
        <v>1.3267595543456296</v>
      </c>
      <c r="AX159">
        <v>0.51596204891218933</v>
      </c>
      <c r="AY159">
        <v>0.58967091304250197</v>
      </c>
    </row>
    <row r="160" spans="1:51">
      <c r="A160" t="s">
        <v>339</v>
      </c>
      <c r="T160">
        <f t="shared" si="4"/>
        <v>0</v>
      </c>
      <c r="AB160">
        <v>0</v>
      </c>
      <c r="AC160">
        <v>0</v>
      </c>
      <c r="AD160">
        <v>0</v>
      </c>
      <c r="AE160">
        <v>0</v>
      </c>
      <c r="AF160" t="e">
        <v>#N/A</v>
      </c>
      <c r="AG160" t="e">
        <v>#N/A</v>
      </c>
      <c r="AH160" t="e">
        <v>#N/A</v>
      </c>
      <c r="AI160" t="e">
        <v>#N/A</v>
      </c>
      <c r="AJ160" t="e">
        <v>#N/A</v>
      </c>
      <c r="AK160" t="e">
        <v>#N/A</v>
      </c>
      <c r="AL160" t="e">
        <v>#N/A</v>
      </c>
      <c r="AM160" t="e">
        <v>#N/A</v>
      </c>
      <c r="AN160" t="e">
        <v>#N/A</v>
      </c>
      <c r="AO160" t="e">
        <v>#N/A</v>
      </c>
      <c r="AP160" t="e">
        <v>#N/A</v>
      </c>
      <c r="AQ160" t="e">
        <v>#N/A</v>
      </c>
      <c r="AR160" t="e">
        <v>#N/A</v>
      </c>
      <c r="AS160" t="e">
        <v>#N/A</v>
      </c>
      <c r="AT160" t="e">
        <v>#N/A</v>
      </c>
      <c r="AU160" t="e">
        <v>#N/A</v>
      </c>
      <c r="AV160" t="e">
        <v>#N/A</v>
      </c>
      <c r="AW160" t="e">
        <v>#N/A</v>
      </c>
      <c r="AX160" t="e">
        <v>#N/A</v>
      </c>
      <c r="AY160" t="e">
        <v>#N/A</v>
      </c>
    </row>
    <row r="161" spans="1:51">
      <c r="A161" t="s">
        <v>340</v>
      </c>
      <c r="T161">
        <f t="shared" si="4"/>
        <v>0</v>
      </c>
      <c r="W161">
        <v>16267</v>
      </c>
      <c r="X161">
        <v>16121</v>
      </c>
      <c r="Y161">
        <v>16459</v>
      </c>
      <c r="Z161">
        <v>9941</v>
      </c>
      <c r="AA161">
        <v>9920</v>
      </c>
      <c r="AB161">
        <v>695</v>
      </c>
      <c r="AC161">
        <v>1190</v>
      </c>
      <c r="AD161">
        <v>285</v>
      </c>
      <c r="AE161">
        <v>90</v>
      </c>
      <c r="AF161" t="e">
        <v>#N/A</v>
      </c>
      <c r="AG161" t="e">
        <v>#N/A</v>
      </c>
      <c r="AH161" t="e">
        <v>#N/A</v>
      </c>
      <c r="AI161" t="e">
        <v>#N/A</v>
      </c>
      <c r="AJ161" t="e">
        <v>#N/A</v>
      </c>
      <c r="AK161" t="e">
        <v>#N/A</v>
      </c>
      <c r="AL161" t="e">
        <v>#N/A</v>
      </c>
      <c r="AM161" t="e">
        <v>#N/A</v>
      </c>
      <c r="AN161" t="e">
        <v>#N/A</v>
      </c>
      <c r="AO161" t="e">
        <v>#N/A</v>
      </c>
      <c r="AP161" t="e">
        <v>#N/A</v>
      </c>
      <c r="AQ161" t="e">
        <v>#N/A</v>
      </c>
      <c r="AR161" t="e">
        <v>#N/A</v>
      </c>
      <c r="AS161" t="e">
        <v>#N/A</v>
      </c>
      <c r="AT161" t="e">
        <v>#N/A</v>
      </c>
      <c r="AU161" t="e">
        <v>#N/A</v>
      </c>
      <c r="AV161" t="e">
        <v>#N/A</v>
      </c>
      <c r="AW161" t="e">
        <v>#N/A</v>
      </c>
      <c r="AX161" t="e">
        <v>#N/A</v>
      </c>
      <c r="AY161" t="e">
        <v>#N/A</v>
      </c>
    </row>
    <row r="162" spans="1:51">
      <c r="A162" t="s">
        <v>217</v>
      </c>
      <c r="B162">
        <v>145</v>
      </c>
      <c r="C162">
        <v>140</v>
      </c>
      <c r="D162">
        <v>1.9</v>
      </c>
      <c r="E162">
        <v>28960</v>
      </c>
      <c r="F162">
        <v>0</v>
      </c>
      <c r="G162">
        <v>40</v>
      </c>
      <c r="H162">
        <v>25</v>
      </c>
      <c r="I162">
        <v>10</v>
      </c>
      <c r="J162">
        <v>0</v>
      </c>
      <c r="K162">
        <v>50</v>
      </c>
      <c r="L162">
        <v>50</v>
      </c>
      <c r="M162">
        <v>38.9</v>
      </c>
      <c r="N162">
        <v>22.2</v>
      </c>
      <c r="T162" t="str">
        <f t="shared" si="4"/>
        <v>Fox Lake First Nation</v>
      </c>
      <c r="W162">
        <v>12151</v>
      </c>
      <c r="X162">
        <v>13818</v>
      </c>
      <c r="Y162">
        <v>10113</v>
      </c>
      <c r="Z162">
        <v>11520</v>
      </c>
      <c r="AA162">
        <v>11424</v>
      </c>
      <c r="AB162">
        <v>55</v>
      </c>
      <c r="AC162">
        <v>60</v>
      </c>
      <c r="AD162">
        <v>20</v>
      </c>
      <c r="AE162">
        <v>10</v>
      </c>
      <c r="AF162">
        <v>3.9127122042507687</v>
      </c>
      <c r="AG162">
        <v>0</v>
      </c>
      <c r="AH162">
        <v>0</v>
      </c>
      <c r="AI162">
        <v>3.9127122042507687</v>
      </c>
      <c r="AJ162">
        <v>0</v>
      </c>
      <c r="AK162">
        <v>0</v>
      </c>
      <c r="AL162">
        <v>3.9127122042507687</v>
      </c>
      <c r="AM162">
        <v>0</v>
      </c>
      <c r="AN162">
        <v>0</v>
      </c>
      <c r="AO162">
        <v>0</v>
      </c>
      <c r="AP162">
        <v>0</v>
      </c>
      <c r="AQ162">
        <v>0</v>
      </c>
      <c r="AR162">
        <v>0</v>
      </c>
      <c r="AS162">
        <v>0</v>
      </c>
      <c r="AT162">
        <v>3.9127122042507687</v>
      </c>
      <c r="AU162">
        <v>3.9127122042507687</v>
      </c>
      <c r="AV162">
        <v>0</v>
      </c>
      <c r="AW162">
        <v>0</v>
      </c>
      <c r="AX162">
        <v>0</v>
      </c>
      <c r="AY162">
        <v>3.9127122042507687</v>
      </c>
    </row>
    <row r="163" spans="1:51">
      <c r="A163" t="s">
        <v>341</v>
      </c>
      <c r="T163">
        <f t="shared" si="4"/>
        <v>0</v>
      </c>
      <c r="AB163">
        <v>0</v>
      </c>
      <c r="AC163">
        <v>0</v>
      </c>
      <c r="AD163">
        <v>0</v>
      </c>
      <c r="AE163">
        <v>0</v>
      </c>
      <c r="AF163" t="e">
        <v>#N/A</v>
      </c>
      <c r="AG163" t="e">
        <v>#N/A</v>
      </c>
      <c r="AH163" t="e">
        <v>#N/A</v>
      </c>
      <c r="AI163" t="e">
        <v>#N/A</v>
      </c>
      <c r="AJ163" t="e">
        <v>#N/A</v>
      </c>
      <c r="AK163" t="e">
        <v>#N/A</v>
      </c>
      <c r="AL163" t="e">
        <v>#N/A</v>
      </c>
      <c r="AM163" t="e">
        <v>#N/A</v>
      </c>
      <c r="AN163" t="e">
        <v>#N/A</v>
      </c>
      <c r="AO163" t="e">
        <v>#N/A</v>
      </c>
      <c r="AP163" t="e">
        <v>#N/A</v>
      </c>
      <c r="AQ163" t="e">
        <v>#N/A</v>
      </c>
      <c r="AR163" t="e">
        <v>#N/A</v>
      </c>
      <c r="AS163" t="e">
        <v>#N/A</v>
      </c>
      <c r="AT163" t="e">
        <v>#N/A</v>
      </c>
      <c r="AU163" t="e">
        <v>#N/A</v>
      </c>
      <c r="AV163" t="e">
        <v>#N/A</v>
      </c>
      <c r="AW163" t="e">
        <v>#N/A</v>
      </c>
      <c r="AX163" t="e">
        <v>#N/A</v>
      </c>
      <c r="AY163" t="e">
        <v>#N/A</v>
      </c>
    </row>
    <row r="164" spans="1:51">
      <c r="A164" t="s">
        <v>606</v>
      </c>
      <c r="B164">
        <v>1780</v>
      </c>
      <c r="C164">
        <v>1635</v>
      </c>
      <c r="D164">
        <v>1.1000000000000001</v>
      </c>
      <c r="E164">
        <v>44854</v>
      </c>
      <c r="F164">
        <v>4.0999999999999996</v>
      </c>
      <c r="G164">
        <v>635</v>
      </c>
      <c r="H164">
        <v>210</v>
      </c>
      <c r="I164">
        <v>115</v>
      </c>
      <c r="J164">
        <v>95.3</v>
      </c>
      <c r="K164">
        <v>4.7</v>
      </c>
      <c r="L164">
        <v>65.8</v>
      </c>
      <c r="M164">
        <v>65.400000000000006</v>
      </c>
      <c r="N164">
        <v>0</v>
      </c>
      <c r="T164">
        <f t="shared" si="4"/>
        <v>0</v>
      </c>
      <c r="W164">
        <v>19450</v>
      </c>
      <c r="X164">
        <v>25506</v>
      </c>
      <c r="Y164">
        <v>12386</v>
      </c>
      <c r="Z164">
        <v>22816</v>
      </c>
      <c r="AA164">
        <v>13353</v>
      </c>
      <c r="AB164">
        <v>415</v>
      </c>
      <c r="AC164">
        <v>1070</v>
      </c>
      <c r="AD164">
        <v>370</v>
      </c>
      <c r="AE164">
        <v>290</v>
      </c>
      <c r="AF164">
        <v>5.1300004455732298</v>
      </c>
      <c r="AG164">
        <v>0</v>
      </c>
      <c r="AH164">
        <v>0</v>
      </c>
      <c r="AI164">
        <v>1.3911865615113845</v>
      </c>
      <c r="AJ164">
        <v>0.95644076103907683</v>
      </c>
      <c r="AK164">
        <v>0.34779664037784613</v>
      </c>
      <c r="AL164">
        <v>0.86949160094461519</v>
      </c>
      <c r="AM164">
        <v>0.86949160094461519</v>
      </c>
      <c r="AN164">
        <v>0</v>
      </c>
      <c r="AO164">
        <v>0.4347458004723076</v>
      </c>
      <c r="AP164">
        <v>0</v>
      </c>
      <c r="AQ164">
        <v>0</v>
      </c>
      <c r="AR164">
        <v>0</v>
      </c>
      <c r="AS164">
        <v>0.52169496056676912</v>
      </c>
      <c r="AT164">
        <v>1.3042374014169229</v>
      </c>
      <c r="AU164">
        <v>1.2172882413224615</v>
      </c>
      <c r="AV164">
        <v>0</v>
      </c>
      <c r="AW164">
        <v>1.0433899211335382</v>
      </c>
      <c r="AX164">
        <v>0.69559328075569227</v>
      </c>
      <c r="AY164">
        <v>0.4347458004723076</v>
      </c>
    </row>
    <row r="165" spans="1:51">
      <c r="A165" t="s">
        <v>342</v>
      </c>
      <c r="T165">
        <f t="shared" si="4"/>
        <v>0</v>
      </c>
      <c r="AB165">
        <v>0</v>
      </c>
      <c r="AC165">
        <v>0</v>
      </c>
      <c r="AD165">
        <v>0</v>
      </c>
      <c r="AE165">
        <v>0</v>
      </c>
      <c r="AF165" t="e">
        <v>#N/A</v>
      </c>
      <c r="AG165" t="e">
        <v>#N/A</v>
      </c>
      <c r="AH165" t="e">
        <v>#N/A</v>
      </c>
      <c r="AI165" t="e">
        <v>#N/A</v>
      </c>
      <c r="AJ165" t="e">
        <v>#N/A</v>
      </c>
      <c r="AK165" t="e">
        <v>#N/A</v>
      </c>
      <c r="AL165" t="e">
        <v>#N/A</v>
      </c>
      <c r="AM165" t="e">
        <v>#N/A</v>
      </c>
      <c r="AN165" t="e">
        <v>#N/A</v>
      </c>
      <c r="AO165" t="e">
        <v>#N/A</v>
      </c>
      <c r="AP165" t="e">
        <v>#N/A</v>
      </c>
      <c r="AQ165" t="e">
        <v>#N/A</v>
      </c>
      <c r="AR165" t="e">
        <v>#N/A</v>
      </c>
      <c r="AS165" t="e">
        <v>#N/A</v>
      </c>
      <c r="AT165" t="e">
        <v>#N/A</v>
      </c>
      <c r="AU165" t="e">
        <v>#N/A</v>
      </c>
      <c r="AV165" t="e">
        <v>#N/A</v>
      </c>
      <c r="AW165" t="e">
        <v>#N/A</v>
      </c>
      <c r="AX165" t="e">
        <v>#N/A</v>
      </c>
      <c r="AY165" t="e">
        <v>#N/A</v>
      </c>
    </row>
    <row r="166" spans="1:51">
      <c r="A166" t="s">
        <v>343</v>
      </c>
      <c r="T166">
        <f t="shared" si="4"/>
        <v>0</v>
      </c>
      <c r="AB166">
        <v>0</v>
      </c>
      <c r="AC166">
        <v>0</v>
      </c>
      <c r="AD166">
        <v>0</v>
      </c>
      <c r="AE166">
        <v>0</v>
      </c>
      <c r="AF166" t="e">
        <v>#N/A</v>
      </c>
      <c r="AG166" t="e">
        <v>#N/A</v>
      </c>
      <c r="AH166" t="e">
        <v>#N/A</v>
      </c>
      <c r="AI166" t="e">
        <v>#N/A</v>
      </c>
      <c r="AJ166" t="e">
        <v>#N/A</v>
      </c>
      <c r="AK166" t="e">
        <v>#N/A</v>
      </c>
      <c r="AL166" t="e">
        <v>#N/A</v>
      </c>
      <c r="AM166" t="e">
        <v>#N/A</v>
      </c>
      <c r="AN166" t="e">
        <v>#N/A</v>
      </c>
      <c r="AO166" t="e">
        <v>#N/A</v>
      </c>
      <c r="AP166" t="e">
        <v>#N/A</v>
      </c>
      <c r="AQ166" t="e">
        <v>#N/A</v>
      </c>
      <c r="AR166" t="e">
        <v>#N/A</v>
      </c>
      <c r="AS166" t="e">
        <v>#N/A</v>
      </c>
      <c r="AT166" t="e">
        <v>#N/A</v>
      </c>
      <c r="AU166" t="e">
        <v>#N/A</v>
      </c>
      <c r="AV166" t="e">
        <v>#N/A</v>
      </c>
      <c r="AW166" t="e">
        <v>#N/A</v>
      </c>
      <c r="AX166" t="e">
        <v>#N/A</v>
      </c>
      <c r="AY166" t="e">
        <v>#N/A</v>
      </c>
    </row>
    <row r="167" spans="1:51">
      <c r="A167" t="s">
        <v>344</v>
      </c>
      <c r="T167">
        <f t="shared" si="4"/>
        <v>0</v>
      </c>
      <c r="AB167">
        <v>0</v>
      </c>
      <c r="AC167">
        <v>0</v>
      </c>
      <c r="AD167">
        <v>0</v>
      </c>
      <c r="AE167">
        <v>0</v>
      </c>
      <c r="AF167" t="e">
        <v>#N/A</v>
      </c>
      <c r="AG167" t="e">
        <v>#N/A</v>
      </c>
      <c r="AH167" t="e">
        <v>#N/A</v>
      </c>
      <c r="AI167" t="e">
        <v>#N/A</v>
      </c>
      <c r="AJ167" t="e">
        <v>#N/A</v>
      </c>
      <c r="AK167" t="e">
        <v>#N/A</v>
      </c>
      <c r="AL167" t="e">
        <v>#N/A</v>
      </c>
      <c r="AM167" t="e">
        <v>#N/A</v>
      </c>
      <c r="AN167" t="e">
        <v>#N/A</v>
      </c>
      <c r="AO167" t="e">
        <v>#N/A</v>
      </c>
      <c r="AP167" t="e">
        <v>#N/A</v>
      </c>
      <c r="AQ167" t="e">
        <v>#N/A</v>
      </c>
      <c r="AR167" t="e">
        <v>#N/A</v>
      </c>
      <c r="AS167" t="e">
        <v>#N/A</v>
      </c>
      <c r="AT167" t="e">
        <v>#N/A</v>
      </c>
      <c r="AU167" t="e">
        <v>#N/A</v>
      </c>
      <c r="AV167" t="e">
        <v>#N/A</v>
      </c>
      <c r="AW167" t="e">
        <v>#N/A</v>
      </c>
      <c r="AX167" t="e">
        <v>#N/A</v>
      </c>
      <c r="AY167" t="e">
        <v>#N/A</v>
      </c>
    </row>
    <row r="168" spans="1:51">
      <c r="A168" t="s">
        <v>756</v>
      </c>
      <c r="B168">
        <v>60</v>
      </c>
      <c r="C168">
        <v>55</v>
      </c>
      <c r="D168">
        <v>2</v>
      </c>
      <c r="E168">
        <v>31927</v>
      </c>
      <c r="F168">
        <v>0</v>
      </c>
      <c r="G168">
        <v>20</v>
      </c>
      <c r="H168">
        <v>10</v>
      </c>
      <c r="I168">
        <v>0</v>
      </c>
      <c r="J168">
        <v>0</v>
      </c>
      <c r="K168">
        <v>50</v>
      </c>
      <c r="L168">
        <v>71.400000000000006</v>
      </c>
      <c r="M168">
        <v>71.400000000000006</v>
      </c>
      <c r="N168">
        <v>0</v>
      </c>
      <c r="T168" t="str">
        <f t="shared" si="4"/>
        <v>Gamblers First Nation</v>
      </c>
      <c r="W168">
        <v>10295</v>
      </c>
      <c r="X168">
        <v>11731</v>
      </c>
      <c r="Y168">
        <v>0</v>
      </c>
      <c r="Z168">
        <v>14176</v>
      </c>
      <c r="AA168">
        <v>8736</v>
      </c>
      <c r="AB168">
        <v>10</v>
      </c>
      <c r="AC168">
        <v>40</v>
      </c>
      <c r="AD168">
        <v>20</v>
      </c>
      <c r="AE168">
        <v>10</v>
      </c>
      <c r="AF168">
        <v>0</v>
      </c>
      <c r="AG168">
        <v>0</v>
      </c>
      <c r="AH168">
        <v>0</v>
      </c>
      <c r="AI168">
        <v>7.8254244085015374</v>
      </c>
      <c r="AJ168">
        <v>7.8254244085015374</v>
      </c>
      <c r="AK168">
        <v>0</v>
      </c>
      <c r="AL168">
        <v>0</v>
      </c>
      <c r="AM168">
        <v>0</v>
      </c>
      <c r="AN168">
        <v>0</v>
      </c>
      <c r="AO168">
        <v>0</v>
      </c>
      <c r="AP168">
        <v>0</v>
      </c>
      <c r="AQ168">
        <v>0</v>
      </c>
      <c r="AR168">
        <v>0</v>
      </c>
      <c r="AS168">
        <v>0</v>
      </c>
      <c r="AT168">
        <v>0</v>
      </c>
      <c r="AU168">
        <v>7.8254244085015374</v>
      </c>
      <c r="AV168">
        <v>0</v>
      </c>
      <c r="AW168">
        <v>0</v>
      </c>
      <c r="AX168">
        <v>0</v>
      </c>
      <c r="AY168">
        <v>7.8254244085015374</v>
      </c>
    </row>
    <row r="169" spans="1:51">
      <c r="A169" t="s">
        <v>219</v>
      </c>
      <c r="B169">
        <v>2025</v>
      </c>
      <c r="C169">
        <v>2020</v>
      </c>
      <c r="D169">
        <v>2.4</v>
      </c>
      <c r="E169">
        <v>29319</v>
      </c>
      <c r="F169">
        <v>0</v>
      </c>
      <c r="G169">
        <v>450</v>
      </c>
      <c r="H169">
        <v>195</v>
      </c>
      <c r="I169">
        <v>135</v>
      </c>
      <c r="J169">
        <v>2.2000000000000002</v>
      </c>
      <c r="K169">
        <v>4.4000000000000004</v>
      </c>
      <c r="L169">
        <v>43</v>
      </c>
      <c r="M169">
        <v>31.1</v>
      </c>
      <c r="N169">
        <v>27.7</v>
      </c>
      <c r="T169" t="str">
        <f t="shared" si="4"/>
        <v>Garden Hill First Nation</v>
      </c>
      <c r="W169">
        <v>19090</v>
      </c>
      <c r="X169">
        <v>19942</v>
      </c>
      <c r="Y169">
        <v>17839</v>
      </c>
      <c r="Z169">
        <v>10784</v>
      </c>
      <c r="AA169">
        <v>6480</v>
      </c>
      <c r="AB169">
        <v>840</v>
      </c>
      <c r="AC169">
        <v>1110</v>
      </c>
      <c r="AD169">
        <v>195</v>
      </c>
      <c r="AE169">
        <v>65</v>
      </c>
      <c r="AF169">
        <v>0</v>
      </c>
      <c r="AG169">
        <v>0</v>
      </c>
      <c r="AH169">
        <v>0.30991779835649652</v>
      </c>
      <c r="AI169">
        <v>1.3946300926042343</v>
      </c>
      <c r="AJ169">
        <v>0</v>
      </c>
      <c r="AK169">
        <v>0</v>
      </c>
      <c r="AL169">
        <v>1.2396711934259861</v>
      </c>
      <c r="AM169">
        <v>0.30991779835649652</v>
      </c>
      <c r="AN169">
        <v>0.30991779835649652</v>
      </c>
      <c r="AO169">
        <v>0</v>
      </c>
      <c r="AP169">
        <v>0</v>
      </c>
      <c r="AQ169">
        <v>0</v>
      </c>
      <c r="AR169">
        <v>0</v>
      </c>
      <c r="AS169">
        <v>0</v>
      </c>
      <c r="AT169">
        <v>3.409095781921462</v>
      </c>
      <c r="AU169">
        <v>2.1694245884954761</v>
      </c>
      <c r="AV169">
        <v>0.30991779835649652</v>
      </c>
      <c r="AW169">
        <v>0.61983559671299304</v>
      </c>
      <c r="AX169">
        <v>0.61983559671299304</v>
      </c>
      <c r="AY169">
        <v>2.6343012860302206</v>
      </c>
    </row>
    <row r="170" spans="1:51">
      <c r="A170" t="s">
        <v>345</v>
      </c>
      <c r="T170">
        <f t="shared" si="4"/>
        <v>0</v>
      </c>
      <c r="AB170">
        <v>0</v>
      </c>
      <c r="AC170">
        <v>0</v>
      </c>
      <c r="AD170">
        <v>0</v>
      </c>
      <c r="AE170">
        <v>0</v>
      </c>
      <c r="AF170" t="e">
        <v>#N/A</v>
      </c>
      <c r="AG170" t="e">
        <v>#N/A</v>
      </c>
      <c r="AH170" t="e">
        <v>#N/A</v>
      </c>
      <c r="AI170" t="e">
        <v>#N/A</v>
      </c>
      <c r="AJ170" t="e">
        <v>#N/A</v>
      </c>
      <c r="AK170" t="e">
        <v>#N/A</v>
      </c>
      <c r="AL170" t="e">
        <v>#N/A</v>
      </c>
      <c r="AM170" t="e">
        <v>#N/A</v>
      </c>
      <c r="AN170" t="e">
        <v>#N/A</v>
      </c>
      <c r="AO170" t="e">
        <v>#N/A</v>
      </c>
      <c r="AP170" t="e">
        <v>#N/A</v>
      </c>
      <c r="AQ170" t="e">
        <v>#N/A</v>
      </c>
      <c r="AR170" t="e">
        <v>#N/A</v>
      </c>
      <c r="AS170" t="e">
        <v>#N/A</v>
      </c>
      <c r="AT170" t="e">
        <v>#N/A</v>
      </c>
      <c r="AU170" t="e">
        <v>#N/A</v>
      </c>
      <c r="AV170" t="e">
        <v>#N/A</v>
      </c>
      <c r="AW170" t="e">
        <v>#N/A</v>
      </c>
      <c r="AX170" t="e">
        <v>#N/A</v>
      </c>
      <c r="AY170" t="e">
        <v>#N/A</v>
      </c>
    </row>
    <row r="171" spans="1:51">
      <c r="A171" t="s">
        <v>346</v>
      </c>
      <c r="T171">
        <f t="shared" ref="T171:T182" si="5">IFERROR(VLOOKUP(A171,$U$12:$U$74,1,0),0)</f>
        <v>0</v>
      </c>
      <c r="AB171">
        <v>0</v>
      </c>
      <c r="AC171">
        <v>0</v>
      </c>
      <c r="AD171">
        <v>0</v>
      </c>
      <c r="AE171">
        <v>0</v>
      </c>
      <c r="AF171" t="e">
        <v>#N/A</v>
      </c>
      <c r="AG171" t="e">
        <v>#N/A</v>
      </c>
      <c r="AH171" t="e">
        <v>#N/A</v>
      </c>
      <c r="AI171" t="e">
        <v>#N/A</v>
      </c>
      <c r="AJ171" t="e">
        <v>#N/A</v>
      </c>
      <c r="AK171" t="e">
        <v>#N/A</v>
      </c>
      <c r="AL171" t="e">
        <v>#N/A</v>
      </c>
      <c r="AM171" t="e">
        <v>#N/A</v>
      </c>
      <c r="AN171" t="e">
        <v>#N/A</v>
      </c>
      <c r="AO171" t="e">
        <v>#N/A</v>
      </c>
      <c r="AP171" t="e">
        <v>#N/A</v>
      </c>
      <c r="AQ171" t="e">
        <v>#N/A</v>
      </c>
      <c r="AR171" t="e">
        <v>#N/A</v>
      </c>
      <c r="AS171" t="e">
        <v>#N/A</v>
      </c>
      <c r="AT171" t="e">
        <v>#N/A</v>
      </c>
      <c r="AU171" t="e">
        <v>#N/A</v>
      </c>
      <c r="AV171" t="e">
        <v>#N/A</v>
      </c>
      <c r="AW171" t="e">
        <v>#N/A</v>
      </c>
      <c r="AX171" t="e">
        <v>#N/A</v>
      </c>
      <c r="AY171" t="e">
        <v>#N/A</v>
      </c>
    </row>
    <row r="172" spans="1:51">
      <c r="A172" s="83" t="s">
        <v>347</v>
      </c>
      <c r="B172">
        <v>730</v>
      </c>
      <c r="C172">
        <v>725</v>
      </c>
      <c r="D172">
        <v>0.6</v>
      </c>
      <c r="E172">
        <v>45952</v>
      </c>
      <c r="F172">
        <v>0</v>
      </c>
      <c r="G172">
        <v>370</v>
      </c>
      <c r="H172">
        <v>160</v>
      </c>
      <c r="I172">
        <v>35</v>
      </c>
      <c r="J172">
        <v>83.8</v>
      </c>
      <c r="K172">
        <v>17.600000000000001</v>
      </c>
      <c r="L172">
        <v>52.3</v>
      </c>
      <c r="M172">
        <v>48.5</v>
      </c>
      <c r="N172">
        <v>5.8</v>
      </c>
      <c r="T172">
        <f t="shared" si="5"/>
        <v>0</v>
      </c>
      <c r="W172">
        <v>22309</v>
      </c>
      <c r="X172">
        <v>21186</v>
      </c>
      <c r="Y172">
        <v>23856</v>
      </c>
      <c r="Z172">
        <v>19148</v>
      </c>
      <c r="AA172">
        <v>14115</v>
      </c>
      <c r="AB172">
        <v>70</v>
      </c>
      <c r="AC172">
        <v>420</v>
      </c>
      <c r="AD172">
        <v>200</v>
      </c>
      <c r="AE172">
        <v>235</v>
      </c>
      <c r="AF172">
        <v>1.8145911671887625</v>
      </c>
      <c r="AG172">
        <v>0</v>
      </c>
      <c r="AH172">
        <v>0.45364779179719061</v>
      </c>
      <c r="AI172">
        <v>0.45364779179719061</v>
      </c>
      <c r="AJ172">
        <v>0</v>
      </c>
      <c r="AK172">
        <v>1.1341194794929765</v>
      </c>
      <c r="AL172">
        <v>3.6291823343775249</v>
      </c>
      <c r="AM172">
        <v>0.45364779179719061</v>
      </c>
      <c r="AN172">
        <v>0</v>
      </c>
      <c r="AO172">
        <v>0</v>
      </c>
      <c r="AP172">
        <v>0</v>
      </c>
      <c r="AQ172">
        <v>0.90729558359438123</v>
      </c>
      <c r="AR172">
        <v>0</v>
      </c>
      <c r="AS172">
        <v>0.68047168769578581</v>
      </c>
      <c r="AT172">
        <v>1.1341194794929765</v>
      </c>
      <c r="AU172">
        <v>2.7218867507831432</v>
      </c>
      <c r="AV172">
        <v>0</v>
      </c>
      <c r="AW172">
        <v>0.68047168769578581</v>
      </c>
      <c r="AX172">
        <v>0.90729558359438123</v>
      </c>
      <c r="AY172">
        <v>0.45364779179719061</v>
      </c>
    </row>
    <row r="173" spans="1:51">
      <c r="A173" s="82" t="s">
        <v>776</v>
      </c>
      <c r="B173">
        <v>860</v>
      </c>
      <c r="C173">
        <v>860</v>
      </c>
      <c r="D173">
        <v>1.2</v>
      </c>
      <c r="E173">
        <v>26151</v>
      </c>
      <c r="F173">
        <v>20</v>
      </c>
      <c r="G173">
        <v>325</v>
      </c>
      <c r="H173">
        <v>145</v>
      </c>
      <c r="I173">
        <v>50</v>
      </c>
      <c r="J173">
        <v>86.2</v>
      </c>
      <c r="K173">
        <v>13.8</v>
      </c>
      <c r="L173">
        <v>75.400000000000006</v>
      </c>
      <c r="M173">
        <v>74.599999999999994</v>
      </c>
      <c r="N173">
        <v>2</v>
      </c>
      <c r="T173">
        <f t="shared" si="5"/>
        <v>0</v>
      </c>
      <c r="W173">
        <v>9240</v>
      </c>
      <c r="X173">
        <v>7189</v>
      </c>
      <c r="Y173">
        <v>12537</v>
      </c>
      <c r="Z173">
        <v>17783</v>
      </c>
      <c r="AA173">
        <v>8177</v>
      </c>
      <c r="AB173">
        <v>205</v>
      </c>
      <c r="AC173">
        <v>525</v>
      </c>
      <c r="AD173">
        <v>200</v>
      </c>
      <c r="AE173">
        <v>100</v>
      </c>
      <c r="AF173">
        <v>8.6239371032465915</v>
      </c>
      <c r="AG173">
        <v>0</v>
      </c>
      <c r="AH173">
        <v>0.63881015579604383</v>
      </c>
      <c r="AI173">
        <v>0</v>
      </c>
      <c r="AJ173">
        <v>0.31940507789802192</v>
      </c>
      <c r="AK173">
        <v>0</v>
      </c>
      <c r="AL173">
        <v>1.2776203115920877</v>
      </c>
      <c r="AM173">
        <v>0.31940507789802192</v>
      </c>
      <c r="AN173">
        <v>0</v>
      </c>
      <c r="AO173">
        <v>0.31940507789802192</v>
      </c>
      <c r="AP173">
        <v>0</v>
      </c>
      <c r="AQ173">
        <v>0.4791076168470329</v>
      </c>
      <c r="AR173">
        <v>0</v>
      </c>
      <c r="AS173">
        <v>0</v>
      </c>
      <c r="AT173">
        <v>0.9582152336940658</v>
      </c>
      <c r="AU173">
        <v>1.2776203115920877</v>
      </c>
      <c r="AV173">
        <v>0</v>
      </c>
      <c r="AW173">
        <v>0.31940507789802192</v>
      </c>
      <c r="AX173">
        <v>0.31940507789802192</v>
      </c>
      <c r="AY173">
        <v>0</v>
      </c>
    </row>
    <row r="174" spans="1:51">
      <c r="A174" t="s">
        <v>348</v>
      </c>
      <c r="B174">
        <v>1175</v>
      </c>
      <c r="C174">
        <v>1165</v>
      </c>
      <c r="D174">
        <v>1.4</v>
      </c>
      <c r="E174">
        <v>77582</v>
      </c>
      <c r="F174">
        <v>9.1</v>
      </c>
      <c r="G174">
        <v>405</v>
      </c>
      <c r="H174">
        <v>135</v>
      </c>
      <c r="I174">
        <v>45</v>
      </c>
      <c r="J174">
        <v>21</v>
      </c>
      <c r="K174">
        <v>79</v>
      </c>
      <c r="L174">
        <v>76.099999999999994</v>
      </c>
      <c r="M174">
        <v>71.2</v>
      </c>
      <c r="N174">
        <v>6.5</v>
      </c>
      <c r="T174">
        <f t="shared" si="5"/>
        <v>0</v>
      </c>
      <c r="W174">
        <v>41174</v>
      </c>
      <c r="X174">
        <v>56739</v>
      </c>
      <c r="Y174">
        <v>21757</v>
      </c>
      <c r="Z174">
        <v>55424</v>
      </c>
      <c r="AA174">
        <v>16032</v>
      </c>
      <c r="AB174">
        <v>365</v>
      </c>
      <c r="AC174">
        <v>785</v>
      </c>
      <c r="AD174">
        <v>230</v>
      </c>
      <c r="AE174">
        <v>20</v>
      </c>
      <c r="AF174">
        <v>0.2504135810720492</v>
      </c>
      <c r="AG174">
        <v>0</v>
      </c>
      <c r="AH174">
        <v>6.5107531078732785</v>
      </c>
      <c r="AI174">
        <v>0.62603395268012307</v>
      </c>
      <c r="AJ174">
        <v>0</v>
      </c>
      <c r="AK174">
        <v>0</v>
      </c>
      <c r="AL174">
        <v>1.1268611148242214</v>
      </c>
      <c r="AM174">
        <v>1.0016543242881968</v>
      </c>
      <c r="AN174">
        <v>0.2504135810720492</v>
      </c>
      <c r="AO174">
        <v>0.2504135810720492</v>
      </c>
      <c r="AP174">
        <v>0</v>
      </c>
      <c r="AQ174">
        <v>0.2504135810720492</v>
      </c>
      <c r="AR174">
        <v>0.2504135810720492</v>
      </c>
      <c r="AS174">
        <v>0.2504135810720492</v>
      </c>
      <c r="AT174">
        <v>1.3772746958962705</v>
      </c>
      <c r="AU174">
        <v>1.3772746958962705</v>
      </c>
      <c r="AV174">
        <v>0.2504135810720492</v>
      </c>
      <c r="AW174">
        <v>0.75124074321614764</v>
      </c>
      <c r="AX174">
        <v>0.62603395268012307</v>
      </c>
      <c r="AY174">
        <v>0.75124074321614764</v>
      </c>
    </row>
    <row r="175" spans="1:51">
      <c r="A175" t="s">
        <v>845</v>
      </c>
      <c r="T175">
        <f t="shared" si="5"/>
        <v>0</v>
      </c>
      <c r="W175">
        <v>0</v>
      </c>
      <c r="X175">
        <v>0</v>
      </c>
      <c r="Y175">
        <v>0</v>
      </c>
      <c r="Z175">
        <v>0</v>
      </c>
      <c r="AA175">
        <v>0</v>
      </c>
      <c r="AB175">
        <v>0</v>
      </c>
      <c r="AC175">
        <v>0</v>
      </c>
      <c r="AD175">
        <v>0</v>
      </c>
      <c r="AE175">
        <v>0</v>
      </c>
      <c r="AF175" t="e">
        <v>#N/A</v>
      </c>
      <c r="AG175" t="e">
        <v>#N/A</v>
      </c>
      <c r="AH175" t="e">
        <v>#N/A</v>
      </c>
      <c r="AI175" t="e">
        <v>#N/A</v>
      </c>
      <c r="AJ175" t="e">
        <v>#N/A</v>
      </c>
      <c r="AK175" t="e">
        <v>#N/A</v>
      </c>
      <c r="AL175" t="e">
        <v>#N/A</v>
      </c>
      <c r="AM175" t="e">
        <v>#N/A</v>
      </c>
      <c r="AN175" t="e">
        <v>#N/A</v>
      </c>
      <c r="AO175" t="e">
        <v>#N/A</v>
      </c>
      <c r="AP175" t="e">
        <v>#N/A</v>
      </c>
      <c r="AQ175" t="e">
        <v>#N/A</v>
      </c>
      <c r="AR175" t="e">
        <v>#N/A</v>
      </c>
      <c r="AS175" t="e">
        <v>#N/A</v>
      </c>
      <c r="AT175" t="e">
        <v>#N/A</v>
      </c>
      <c r="AU175" t="e">
        <v>#N/A</v>
      </c>
      <c r="AV175" t="e">
        <v>#N/A</v>
      </c>
      <c r="AW175" t="e">
        <v>#N/A</v>
      </c>
      <c r="AX175" t="e">
        <v>#N/A</v>
      </c>
      <c r="AY175" t="e">
        <v>#N/A</v>
      </c>
    </row>
    <row r="176" spans="1:51">
      <c r="A176" t="s">
        <v>349</v>
      </c>
      <c r="B176">
        <v>5070</v>
      </c>
      <c r="C176">
        <v>5000</v>
      </c>
      <c r="D176">
        <v>0.7</v>
      </c>
      <c r="E176">
        <v>51690</v>
      </c>
      <c r="F176">
        <v>8.6999999999999993</v>
      </c>
      <c r="G176">
        <v>2265</v>
      </c>
      <c r="H176">
        <v>595</v>
      </c>
      <c r="I176">
        <v>175</v>
      </c>
      <c r="J176">
        <v>85.2</v>
      </c>
      <c r="K176">
        <v>14.6</v>
      </c>
      <c r="L176">
        <v>53</v>
      </c>
      <c r="M176">
        <v>47.8</v>
      </c>
      <c r="N176">
        <v>10</v>
      </c>
      <c r="T176">
        <f t="shared" si="5"/>
        <v>0</v>
      </c>
      <c r="W176">
        <v>23561</v>
      </c>
      <c r="X176">
        <v>30470</v>
      </c>
      <c r="Y176">
        <v>15561</v>
      </c>
      <c r="Z176">
        <v>27300</v>
      </c>
      <c r="AA176">
        <v>14439</v>
      </c>
      <c r="AB176">
        <v>730</v>
      </c>
      <c r="AC176">
        <v>3045</v>
      </c>
      <c r="AD176">
        <v>1575</v>
      </c>
      <c r="AE176">
        <v>1280</v>
      </c>
      <c r="AF176">
        <v>0.88461319400452165</v>
      </c>
      <c r="AG176">
        <v>0.10207075315436788</v>
      </c>
      <c r="AH176">
        <v>6.8047168769578587E-2</v>
      </c>
      <c r="AI176">
        <v>1.1568018690828361</v>
      </c>
      <c r="AJ176">
        <v>1.6331320504698861</v>
      </c>
      <c r="AK176">
        <v>0.23816509069352507</v>
      </c>
      <c r="AL176">
        <v>2.0414150630873578</v>
      </c>
      <c r="AM176">
        <v>0.78254244085015379</v>
      </c>
      <c r="AN176">
        <v>0.23816509069352507</v>
      </c>
      <c r="AO176">
        <v>0.37425942823268227</v>
      </c>
      <c r="AP176">
        <v>0.23816509069352507</v>
      </c>
      <c r="AQ176">
        <v>0.20414150630873576</v>
      </c>
      <c r="AR176">
        <v>0</v>
      </c>
      <c r="AS176">
        <v>0.40828301261747152</v>
      </c>
      <c r="AT176">
        <v>0.78254244085015379</v>
      </c>
      <c r="AU176">
        <v>1.8712971411634112</v>
      </c>
      <c r="AV176">
        <v>0.57840093454141805</v>
      </c>
      <c r="AW176">
        <v>1.7011792192394646</v>
      </c>
      <c r="AX176">
        <v>0.98668394715888952</v>
      </c>
      <c r="AY176">
        <v>0.98668394715888952</v>
      </c>
    </row>
    <row r="177" spans="1:51">
      <c r="A177" t="s">
        <v>350</v>
      </c>
      <c r="B177">
        <v>785</v>
      </c>
      <c r="C177">
        <v>790</v>
      </c>
      <c r="D177">
        <v>0.8</v>
      </c>
      <c r="E177">
        <v>48426</v>
      </c>
      <c r="F177">
        <v>0</v>
      </c>
      <c r="G177">
        <v>380</v>
      </c>
      <c r="H177">
        <v>90</v>
      </c>
      <c r="I177">
        <v>65</v>
      </c>
      <c r="J177">
        <v>72.400000000000006</v>
      </c>
      <c r="K177">
        <v>27.6</v>
      </c>
      <c r="L177">
        <v>48.2</v>
      </c>
      <c r="M177">
        <v>46</v>
      </c>
      <c r="N177">
        <v>6.1</v>
      </c>
      <c r="T177">
        <f t="shared" si="5"/>
        <v>0</v>
      </c>
      <c r="W177">
        <v>21878</v>
      </c>
      <c r="X177">
        <v>25903</v>
      </c>
      <c r="Y177">
        <v>16272</v>
      </c>
      <c r="Z177">
        <v>24185</v>
      </c>
      <c r="AA177">
        <v>15680</v>
      </c>
      <c r="AB177">
        <v>105</v>
      </c>
      <c r="AC177">
        <v>405</v>
      </c>
      <c r="AD177">
        <v>195</v>
      </c>
      <c r="AE177">
        <v>260</v>
      </c>
      <c r="AF177">
        <v>1.6351633092391271</v>
      </c>
      <c r="AG177">
        <v>0</v>
      </c>
      <c r="AH177">
        <v>0</v>
      </c>
      <c r="AI177">
        <v>2.1023528261645921</v>
      </c>
      <c r="AJ177">
        <v>1.1679737923136622</v>
      </c>
      <c r="AK177">
        <v>0</v>
      </c>
      <c r="AL177">
        <v>0.4671895169254649</v>
      </c>
      <c r="AM177">
        <v>1.8687580677018596</v>
      </c>
      <c r="AN177">
        <v>0</v>
      </c>
      <c r="AO177">
        <v>0.70078427538819732</v>
      </c>
      <c r="AP177">
        <v>0</v>
      </c>
      <c r="AQ177">
        <v>0</v>
      </c>
      <c r="AR177">
        <v>0</v>
      </c>
      <c r="AS177">
        <v>0</v>
      </c>
      <c r="AT177">
        <v>2.3359475846273243</v>
      </c>
      <c r="AU177">
        <v>2.569542343090057</v>
      </c>
      <c r="AV177">
        <v>0</v>
      </c>
      <c r="AW177">
        <v>1.1679737923136622</v>
      </c>
      <c r="AX177">
        <v>0</v>
      </c>
      <c r="AY177">
        <v>0.9343790338509298</v>
      </c>
    </row>
    <row r="178" spans="1:51">
      <c r="A178" t="s">
        <v>351</v>
      </c>
      <c r="B178">
        <v>635</v>
      </c>
      <c r="C178">
        <v>635</v>
      </c>
      <c r="D178">
        <v>0.9</v>
      </c>
      <c r="E178">
        <v>52514</v>
      </c>
      <c r="F178">
        <v>0</v>
      </c>
      <c r="G178">
        <v>295</v>
      </c>
      <c r="H178">
        <v>90</v>
      </c>
      <c r="I178">
        <v>25</v>
      </c>
      <c r="J178">
        <v>84.7</v>
      </c>
      <c r="K178">
        <v>15.3</v>
      </c>
      <c r="L178">
        <v>51.5</v>
      </c>
      <c r="M178">
        <v>49.5</v>
      </c>
      <c r="N178">
        <v>3.8</v>
      </c>
      <c r="T178">
        <f t="shared" si="5"/>
        <v>0</v>
      </c>
      <c r="W178">
        <v>24161</v>
      </c>
      <c r="X178">
        <v>29143</v>
      </c>
      <c r="Y178">
        <v>19024</v>
      </c>
      <c r="Z178">
        <v>26491</v>
      </c>
      <c r="AA178">
        <v>17891</v>
      </c>
      <c r="AB178">
        <v>125</v>
      </c>
      <c r="AC178">
        <v>300</v>
      </c>
      <c r="AD178">
        <v>125</v>
      </c>
      <c r="AE178">
        <v>195</v>
      </c>
      <c r="AF178">
        <v>1.2039114474617751</v>
      </c>
      <c r="AG178">
        <v>0</v>
      </c>
      <c r="AH178">
        <v>1.5048893093272189</v>
      </c>
      <c r="AI178">
        <v>0.9029335855963313</v>
      </c>
      <c r="AJ178">
        <v>1.5048893093272189</v>
      </c>
      <c r="AK178">
        <v>2.1068450330581063</v>
      </c>
      <c r="AL178">
        <v>1.8058671711926626</v>
      </c>
      <c r="AM178">
        <v>0.60195572373088757</v>
      </c>
      <c r="AN178">
        <v>0</v>
      </c>
      <c r="AO178">
        <v>0</v>
      </c>
      <c r="AP178">
        <v>0</v>
      </c>
      <c r="AQ178">
        <v>0</v>
      </c>
      <c r="AR178">
        <v>0</v>
      </c>
      <c r="AS178">
        <v>0</v>
      </c>
      <c r="AT178">
        <v>1.2039114474617751</v>
      </c>
      <c r="AU178">
        <v>2.4078228949235503</v>
      </c>
      <c r="AV178">
        <v>0</v>
      </c>
      <c r="AW178">
        <v>0.60195572373088757</v>
      </c>
      <c r="AX178">
        <v>0.60195572373088757</v>
      </c>
      <c r="AY178">
        <v>1.2039114474617751</v>
      </c>
    </row>
    <row r="179" spans="1:51">
      <c r="A179" t="s">
        <v>648</v>
      </c>
      <c r="B179">
        <v>515</v>
      </c>
      <c r="C179">
        <v>440</v>
      </c>
      <c r="D179">
        <v>1</v>
      </c>
      <c r="E179">
        <v>33602</v>
      </c>
      <c r="F179">
        <v>23.1</v>
      </c>
      <c r="G179">
        <v>185</v>
      </c>
      <c r="H179">
        <v>75</v>
      </c>
      <c r="I179">
        <v>30</v>
      </c>
      <c r="J179">
        <v>86.5</v>
      </c>
      <c r="K179">
        <v>13.5</v>
      </c>
      <c r="L179">
        <v>62.7</v>
      </c>
      <c r="M179">
        <v>60.2</v>
      </c>
      <c r="N179">
        <v>3.8</v>
      </c>
      <c r="T179">
        <f t="shared" si="5"/>
        <v>0</v>
      </c>
      <c r="W179">
        <v>11967</v>
      </c>
      <c r="X179">
        <v>12458</v>
      </c>
      <c r="Y179">
        <v>11273</v>
      </c>
      <c r="Z179">
        <v>13763</v>
      </c>
      <c r="AA179">
        <v>13165</v>
      </c>
      <c r="AB179">
        <v>100</v>
      </c>
      <c r="AC179">
        <v>310</v>
      </c>
      <c r="AD179">
        <v>120</v>
      </c>
      <c r="AE179">
        <v>115</v>
      </c>
      <c r="AF179">
        <v>9.513261045629319</v>
      </c>
      <c r="AG179">
        <v>0</v>
      </c>
      <c r="AH179">
        <v>0</v>
      </c>
      <c r="AI179">
        <v>0.61375877713737548</v>
      </c>
      <c r="AJ179">
        <v>0</v>
      </c>
      <c r="AK179">
        <v>0</v>
      </c>
      <c r="AL179">
        <v>0.92063816570606327</v>
      </c>
      <c r="AM179">
        <v>0.92063816570606327</v>
      </c>
      <c r="AN179">
        <v>0</v>
      </c>
      <c r="AO179">
        <v>0</v>
      </c>
      <c r="AP179">
        <v>0</v>
      </c>
      <c r="AQ179">
        <v>0</v>
      </c>
      <c r="AR179">
        <v>0</v>
      </c>
      <c r="AS179">
        <v>0</v>
      </c>
      <c r="AT179">
        <v>0</v>
      </c>
      <c r="AU179">
        <v>0.92063816570606327</v>
      </c>
      <c r="AV179">
        <v>0</v>
      </c>
      <c r="AW179">
        <v>0.92063816570606327</v>
      </c>
      <c r="AX179">
        <v>0</v>
      </c>
      <c r="AY179">
        <v>0</v>
      </c>
    </row>
    <row r="180" spans="1:51">
      <c r="A180" t="s">
        <v>634</v>
      </c>
      <c r="B180">
        <v>655</v>
      </c>
      <c r="C180">
        <v>525</v>
      </c>
      <c r="D180">
        <v>1.4</v>
      </c>
      <c r="E180">
        <v>48124</v>
      </c>
      <c r="F180">
        <v>20</v>
      </c>
      <c r="G180">
        <v>180</v>
      </c>
      <c r="H180">
        <v>90</v>
      </c>
      <c r="I180">
        <v>20</v>
      </c>
      <c r="J180">
        <v>88.9</v>
      </c>
      <c r="K180">
        <v>11.1</v>
      </c>
      <c r="L180">
        <v>72.2</v>
      </c>
      <c r="M180">
        <v>62.9</v>
      </c>
      <c r="N180">
        <v>12.9</v>
      </c>
      <c r="T180">
        <f t="shared" si="5"/>
        <v>0</v>
      </c>
      <c r="W180">
        <v>15722</v>
      </c>
      <c r="X180">
        <v>14997</v>
      </c>
      <c r="Y180">
        <v>16535</v>
      </c>
      <c r="Z180">
        <v>17998</v>
      </c>
      <c r="AA180">
        <v>12912</v>
      </c>
      <c r="AB180">
        <v>170</v>
      </c>
      <c r="AC180">
        <v>425</v>
      </c>
      <c r="AD180">
        <v>170</v>
      </c>
      <c r="AE180">
        <v>45</v>
      </c>
      <c r="AF180">
        <v>6.6130347114097496</v>
      </c>
      <c r="AG180">
        <v>0</v>
      </c>
      <c r="AH180">
        <v>0</v>
      </c>
      <c r="AI180">
        <v>0.66130347114097499</v>
      </c>
      <c r="AJ180">
        <v>0.88173796152130002</v>
      </c>
      <c r="AK180">
        <v>0</v>
      </c>
      <c r="AL180">
        <v>0.88173796152130002</v>
      </c>
      <c r="AM180">
        <v>0</v>
      </c>
      <c r="AN180">
        <v>0.44086898076065001</v>
      </c>
      <c r="AO180">
        <v>0.44086898076065001</v>
      </c>
      <c r="AP180">
        <v>0</v>
      </c>
      <c r="AQ180">
        <v>0</v>
      </c>
      <c r="AR180">
        <v>0</v>
      </c>
      <c r="AS180">
        <v>1.1021724519016252</v>
      </c>
      <c r="AT180">
        <v>0.88173796152130002</v>
      </c>
      <c r="AU180">
        <v>1.543041432662275</v>
      </c>
      <c r="AV180">
        <v>0.44086898076065001</v>
      </c>
      <c r="AW180">
        <v>0.44086898076065001</v>
      </c>
      <c r="AX180">
        <v>0</v>
      </c>
      <c r="AY180">
        <v>0.44086898076065001</v>
      </c>
    </row>
    <row r="181" spans="1:51">
      <c r="A181" t="s">
        <v>352</v>
      </c>
      <c r="B181">
        <v>113</v>
      </c>
      <c r="T181">
        <f t="shared" si="5"/>
        <v>0</v>
      </c>
      <c r="AB181">
        <v>0</v>
      </c>
      <c r="AC181">
        <v>0</v>
      </c>
      <c r="AD181">
        <v>0</v>
      </c>
      <c r="AE181">
        <v>0</v>
      </c>
      <c r="AF181" t="e">
        <v>#N/A</v>
      </c>
      <c r="AG181" t="e">
        <v>#N/A</v>
      </c>
      <c r="AH181" t="e">
        <v>#N/A</v>
      </c>
      <c r="AI181" t="e">
        <v>#N/A</v>
      </c>
      <c r="AJ181" t="e">
        <v>#N/A</v>
      </c>
      <c r="AK181" t="e">
        <v>#N/A</v>
      </c>
      <c r="AL181" t="e">
        <v>#N/A</v>
      </c>
      <c r="AM181" t="e">
        <v>#N/A</v>
      </c>
      <c r="AN181" t="e">
        <v>#N/A</v>
      </c>
      <c r="AO181" t="e">
        <v>#N/A</v>
      </c>
      <c r="AP181" t="e">
        <v>#N/A</v>
      </c>
      <c r="AQ181" t="e">
        <v>#N/A</v>
      </c>
      <c r="AR181" t="e">
        <v>#N/A</v>
      </c>
      <c r="AS181" t="e">
        <v>#N/A</v>
      </c>
      <c r="AT181" t="e">
        <v>#N/A</v>
      </c>
      <c r="AU181" t="e">
        <v>#N/A</v>
      </c>
      <c r="AV181" t="e">
        <v>#N/A</v>
      </c>
      <c r="AW181" t="e">
        <v>#N/A</v>
      </c>
      <c r="AX181" t="e">
        <v>#N/A</v>
      </c>
      <c r="AY181" t="e">
        <v>#N/A</v>
      </c>
    </row>
    <row r="182" spans="1:51">
      <c r="A182" t="s">
        <v>492</v>
      </c>
      <c r="B182">
        <v>1150</v>
      </c>
      <c r="C182">
        <v>1150</v>
      </c>
      <c r="D182">
        <v>2.5</v>
      </c>
      <c r="E182">
        <v>27468</v>
      </c>
      <c r="F182">
        <v>0</v>
      </c>
      <c r="G182">
        <v>250</v>
      </c>
      <c r="H182">
        <v>100</v>
      </c>
      <c r="I182">
        <v>90</v>
      </c>
      <c r="J182">
        <v>4</v>
      </c>
      <c r="K182">
        <v>10</v>
      </c>
      <c r="L182">
        <v>50</v>
      </c>
      <c r="M182">
        <v>31.2</v>
      </c>
      <c r="N182">
        <v>35.9</v>
      </c>
      <c r="T182" t="str">
        <f t="shared" si="5"/>
        <v>God's Lake Narrows First Nation</v>
      </c>
      <c r="W182">
        <v>13602</v>
      </c>
      <c r="X182">
        <v>14432</v>
      </c>
      <c r="Y182">
        <v>12523</v>
      </c>
      <c r="Z182">
        <v>9920</v>
      </c>
      <c r="AA182">
        <v>9056</v>
      </c>
      <c r="AB182">
        <v>510</v>
      </c>
      <c r="AC182">
        <v>600</v>
      </c>
      <c r="AD182">
        <v>120</v>
      </c>
      <c r="AE182">
        <v>10</v>
      </c>
      <c r="AF182">
        <v>0</v>
      </c>
      <c r="AG182">
        <v>0</v>
      </c>
      <c r="AH182">
        <v>0.48908902553134609</v>
      </c>
      <c r="AI182">
        <v>1.7118115893597114</v>
      </c>
      <c r="AJ182">
        <v>0</v>
      </c>
      <c r="AK182">
        <v>0</v>
      </c>
      <c r="AL182">
        <v>0.97817805106269218</v>
      </c>
      <c r="AM182">
        <v>0.73363353829701916</v>
      </c>
      <c r="AN182">
        <v>0.48908902553134609</v>
      </c>
      <c r="AO182">
        <v>0</v>
      </c>
      <c r="AP182">
        <v>0</v>
      </c>
      <c r="AQ182">
        <v>0</v>
      </c>
      <c r="AR182">
        <v>0</v>
      </c>
      <c r="AS182">
        <v>0.48908902553134609</v>
      </c>
      <c r="AT182">
        <v>2.4454451276567304</v>
      </c>
      <c r="AU182">
        <v>3.1790786659537495</v>
      </c>
      <c r="AV182">
        <v>0</v>
      </c>
      <c r="AW182">
        <v>0.73363353829701916</v>
      </c>
      <c r="AX182">
        <v>0</v>
      </c>
      <c r="AY182">
        <v>2.2009006148910575</v>
      </c>
    </row>
    <row r="183" spans="1:51">
      <c r="A183" t="s">
        <v>353</v>
      </c>
      <c r="T183">
        <f t="shared" si="4"/>
        <v>0</v>
      </c>
      <c r="AB183">
        <v>0</v>
      </c>
      <c r="AC183">
        <v>0</v>
      </c>
      <c r="AD183">
        <v>0</v>
      </c>
      <c r="AE183">
        <v>0</v>
      </c>
      <c r="AF183" t="e">
        <v>#N/A</v>
      </c>
      <c r="AG183" t="e">
        <v>#N/A</v>
      </c>
      <c r="AH183" t="e">
        <v>#N/A</v>
      </c>
      <c r="AI183" t="e">
        <v>#N/A</v>
      </c>
      <c r="AJ183" t="e">
        <v>#N/A</v>
      </c>
      <c r="AK183" t="e">
        <v>#N/A</v>
      </c>
      <c r="AL183" t="e">
        <v>#N/A</v>
      </c>
      <c r="AM183" t="e">
        <v>#N/A</v>
      </c>
      <c r="AN183" t="e">
        <v>#N/A</v>
      </c>
      <c r="AO183" t="e">
        <v>#N/A</v>
      </c>
      <c r="AP183" t="e">
        <v>#N/A</v>
      </c>
      <c r="AQ183" t="e">
        <v>#N/A</v>
      </c>
      <c r="AR183" t="e">
        <v>#N/A</v>
      </c>
      <c r="AS183" t="e">
        <v>#N/A</v>
      </c>
      <c r="AT183" t="e">
        <v>#N/A</v>
      </c>
      <c r="AU183" t="e">
        <v>#N/A</v>
      </c>
      <c r="AV183" t="e">
        <v>#N/A</v>
      </c>
      <c r="AW183" t="e">
        <v>#N/A</v>
      </c>
      <c r="AX183" t="e">
        <v>#N/A</v>
      </c>
      <c r="AY183" t="e">
        <v>#N/A</v>
      </c>
    </row>
    <row r="184" spans="1:51">
      <c r="A184" t="s">
        <v>690</v>
      </c>
      <c r="B184">
        <v>1500</v>
      </c>
      <c r="C184">
        <v>1500</v>
      </c>
      <c r="D184">
        <v>1</v>
      </c>
      <c r="E184">
        <v>39807</v>
      </c>
      <c r="F184">
        <v>13.3</v>
      </c>
      <c r="G184">
        <v>615</v>
      </c>
      <c r="H184">
        <v>245</v>
      </c>
      <c r="I184">
        <v>100</v>
      </c>
      <c r="J184">
        <v>86.2</v>
      </c>
      <c r="K184">
        <v>13</v>
      </c>
      <c r="L184">
        <v>71</v>
      </c>
      <c r="M184">
        <v>69</v>
      </c>
      <c r="N184">
        <v>3.4</v>
      </c>
      <c r="T184">
        <f t="shared" si="4"/>
        <v>0</v>
      </c>
      <c r="W184">
        <v>15708</v>
      </c>
      <c r="X184">
        <v>18733</v>
      </c>
      <c r="Y184">
        <v>12167</v>
      </c>
      <c r="Z184">
        <v>15909</v>
      </c>
      <c r="AA184">
        <v>11708</v>
      </c>
      <c r="AB184">
        <v>275</v>
      </c>
      <c r="AC184">
        <v>950</v>
      </c>
      <c r="AD184">
        <v>425</v>
      </c>
      <c r="AE184">
        <v>255</v>
      </c>
      <c r="AF184">
        <v>4.9188381996295378</v>
      </c>
      <c r="AG184">
        <v>0</v>
      </c>
      <c r="AH184">
        <v>0</v>
      </c>
      <c r="AI184">
        <v>0.80490079630301525</v>
      </c>
      <c r="AJ184">
        <v>0.62603395268012307</v>
      </c>
      <c r="AK184">
        <v>0.17886684362289229</v>
      </c>
      <c r="AL184">
        <v>1.878101858040369</v>
      </c>
      <c r="AM184">
        <v>0.35773368724578458</v>
      </c>
      <c r="AN184">
        <v>0</v>
      </c>
      <c r="AO184">
        <v>0.26830026543433844</v>
      </c>
      <c r="AP184">
        <v>0.17886684362289229</v>
      </c>
      <c r="AQ184">
        <v>0.35773368724578458</v>
      </c>
      <c r="AR184">
        <v>0</v>
      </c>
      <c r="AS184">
        <v>0</v>
      </c>
      <c r="AT184">
        <v>1.1626344835487998</v>
      </c>
      <c r="AU184">
        <v>1.5203681707945844</v>
      </c>
      <c r="AV184">
        <v>0.17886684362289229</v>
      </c>
      <c r="AW184">
        <v>1.4309347489831383</v>
      </c>
      <c r="AX184">
        <v>0.80490079630301525</v>
      </c>
      <c r="AY184">
        <v>0.80490079630301525</v>
      </c>
    </row>
    <row r="185" spans="1:51">
      <c r="A185" t="s">
        <v>354</v>
      </c>
      <c r="B185">
        <v>355</v>
      </c>
      <c r="C185">
        <v>350</v>
      </c>
      <c r="D185">
        <v>1.4</v>
      </c>
      <c r="E185">
        <v>54432</v>
      </c>
      <c r="F185">
        <v>15.8</v>
      </c>
      <c r="G185">
        <v>130</v>
      </c>
      <c r="H185">
        <v>60</v>
      </c>
      <c r="I185">
        <v>25</v>
      </c>
      <c r="J185">
        <v>38.5</v>
      </c>
      <c r="K185">
        <v>57.7</v>
      </c>
      <c r="L185">
        <v>76</v>
      </c>
      <c r="M185">
        <v>62</v>
      </c>
      <c r="N185">
        <v>18.399999999999999</v>
      </c>
      <c r="T185">
        <f t="shared" si="4"/>
        <v>0</v>
      </c>
      <c r="W185">
        <v>27859</v>
      </c>
      <c r="X185">
        <v>33561</v>
      </c>
      <c r="Y185">
        <v>21550</v>
      </c>
      <c r="Z185">
        <v>26048</v>
      </c>
      <c r="AA185">
        <v>16160</v>
      </c>
      <c r="AB185">
        <v>105</v>
      </c>
      <c r="AC185">
        <v>230</v>
      </c>
      <c r="AD185">
        <v>80</v>
      </c>
      <c r="AE185">
        <v>30</v>
      </c>
      <c r="AF185">
        <v>2.1149795698652807</v>
      </c>
      <c r="AG185">
        <v>0</v>
      </c>
      <c r="AH185">
        <v>2.5379754838383368</v>
      </c>
      <c r="AI185">
        <v>0</v>
      </c>
      <c r="AJ185">
        <v>0</v>
      </c>
      <c r="AK185">
        <v>0</v>
      </c>
      <c r="AL185">
        <v>1.2689877419191684</v>
      </c>
      <c r="AM185">
        <v>0.84599182794611216</v>
      </c>
      <c r="AN185">
        <v>0</v>
      </c>
      <c r="AO185">
        <v>0</v>
      </c>
      <c r="AP185">
        <v>0</v>
      </c>
      <c r="AQ185">
        <v>0</v>
      </c>
      <c r="AR185">
        <v>0</v>
      </c>
      <c r="AS185">
        <v>0.84599182794611216</v>
      </c>
      <c r="AT185">
        <v>2.5379754838383368</v>
      </c>
      <c r="AU185">
        <v>0.84599182794611216</v>
      </c>
      <c r="AV185">
        <v>0</v>
      </c>
      <c r="AW185">
        <v>2.1149795698652807</v>
      </c>
      <c r="AX185">
        <v>0.84599182794611216</v>
      </c>
      <c r="AY185">
        <v>1.2689877419191684</v>
      </c>
    </row>
    <row r="186" spans="1:51">
      <c r="A186" s="83" t="s">
        <v>355</v>
      </c>
      <c r="B186">
        <v>760</v>
      </c>
      <c r="C186">
        <v>760</v>
      </c>
      <c r="D186">
        <v>0.8</v>
      </c>
      <c r="E186">
        <v>42325</v>
      </c>
      <c r="F186">
        <v>0</v>
      </c>
      <c r="G186">
        <v>410</v>
      </c>
      <c r="H186">
        <v>100</v>
      </c>
      <c r="I186">
        <v>35</v>
      </c>
      <c r="J186">
        <v>82.9</v>
      </c>
      <c r="K186">
        <v>15.9</v>
      </c>
      <c r="L186">
        <v>43</v>
      </c>
      <c r="M186">
        <v>41.5</v>
      </c>
      <c r="N186">
        <v>3.4</v>
      </c>
      <c r="T186">
        <f>IFERROR(VLOOKUP(A186,$U$12:$U$74,1,0),0)</f>
        <v>0</v>
      </c>
      <c r="W186">
        <v>17945</v>
      </c>
      <c r="X186">
        <v>22394</v>
      </c>
      <c r="Y186">
        <v>12737</v>
      </c>
      <c r="Z186">
        <v>22928</v>
      </c>
      <c r="AA186">
        <v>12482</v>
      </c>
      <c r="AB186">
        <v>75</v>
      </c>
      <c r="AC186">
        <v>385</v>
      </c>
      <c r="AD186">
        <v>205</v>
      </c>
      <c r="AE186">
        <v>275</v>
      </c>
      <c r="AF186">
        <v>1.8888955468796815</v>
      </c>
      <c r="AG186">
        <v>0</v>
      </c>
      <c r="AH186">
        <v>0.53968444196562326</v>
      </c>
      <c r="AI186">
        <v>0.80952666294843489</v>
      </c>
      <c r="AJ186">
        <v>0.53968444196562326</v>
      </c>
      <c r="AK186">
        <v>1.3492111049140583</v>
      </c>
      <c r="AL186">
        <v>3.7777910937593631</v>
      </c>
      <c r="AM186">
        <v>0</v>
      </c>
      <c r="AN186">
        <v>0</v>
      </c>
      <c r="AO186">
        <v>1.0793688839312465</v>
      </c>
      <c r="AP186">
        <v>0</v>
      </c>
      <c r="AQ186">
        <v>0</v>
      </c>
      <c r="AR186">
        <v>0</v>
      </c>
      <c r="AS186">
        <v>0</v>
      </c>
      <c r="AT186">
        <v>1.0793688839312465</v>
      </c>
      <c r="AU186">
        <v>1.3492111049140583</v>
      </c>
      <c r="AV186">
        <v>0</v>
      </c>
      <c r="AW186">
        <v>1.0793688839312465</v>
      </c>
      <c r="AX186">
        <v>0.53968444196562326</v>
      </c>
      <c r="AY186">
        <v>0.53968444196562326</v>
      </c>
    </row>
    <row r="187" spans="1:51">
      <c r="A187" s="82" t="s">
        <v>789</v>
      </c>
      <c r="B187">
        <v>840</v>
      </c>
      <c r="C187">
        <v>840</v>
      </c>
      <c r="D187">
        <v>1</v>
      </c>
      <c r="E187">
        <v>52528</v>
      </c>
      <c r="F187">
        <v>9.6</v>
      </c>
      <c r="G187">
        <v>320</v>
      </c>
      <c r="H187">
        <v>120</v>
      </c>
      <c r="I187">
        <v>45</v>
      </c>
      <c r="J187">
        <v>92.2</v>
      </c>
      <c r="K187">
        <v>6.3</v>
      </c>
      <c r="L187">
        <v>85.4</v>
      </c>
      <c r="M187">
        <v>82.5</v>
      </c>
      <c r="N187">
        <v>4.3</v>
      </c>
      <c r="T187">
        <f>IFERROR(VLOOKUP(A187,$U$12:$U$74,1,0),0)</f>
        <v>0</v>
      </c>
      <c r="W187">
        <v>22472</v>
      </c>
      <c r="X187">
        <v>19866</v>
      </c>
      <c r="Y187">
        <v>25629</v>
      </c>
      <c r="Z187">
        <v>18169</v>
      </c>
      <c r="AA187">
        <v>19447</v>
      </c>
      <c r="AB187">
        <v>145</v>
      </c>
      <c r="AC187">
        <v>600</v>
      </c>
      <c r="AD187">
        <v>270</v>
      </c>
      <c r="AE187">
        <v>65</v>
      </c>
      <c r="AF187">
        <v>5.7520213600951475</v>
      </c>
      <c r="AG187">
        <v>0</v>
      </c>
      <c r="AH187">
        <v>0</v>
      </c>
      <c r="AI187">
        <v>0.53507175442745558</v>
      </c>
      <c r="AJ187">
        <v>0.53507175442745558</v>
      </c>
      <c r="AK187">
        <v>1.3376793860686389</v>
      </c>
      <c r="AL187">
        <v>0.9363755702480473</v>
      </c>
      <c r="AM187">
        <v>0.66883969303431945</v>
      </c>
      <c r="AN187">
        <v>0</v>
      </c>
      <c r="AO187">
        <v>0.66883969303431945</v>
      </c>
      <c r="AP187">
        <v>0.26753587721372779</v>
      </c>
      <c r="AQ187">
        <v>0</v>
      </c>
      <c r="AR187">
        <v>0</v>
      </c>
      <c r="AS187">
        <v>0</v>
      </c>
      <c r="AT187">
        <v>1.2039114474617751</v>
      </c>
      <c r="AU187">
        <v>2.5415908335304138</v>
      </c>
      <c r="AV187">
        <v>0</v>
      </c>
      <c r="AW187">
        <v>0.40130381582059166</v>
      </c>
      <c r="AX187">
        <v>0.26753587721372779</v>
      </c>
      <c r="AY187">
        <v>0.53507175442745558</v>
      </c>
    </row>
    <row r="188" spans="1:51">
      <c r="A188" t="s">
        <v>220</v>
      </c>
      <c r="B188">
        <v>69</v>
      </c>
      <c r="T188">
        <f t="shared" si="4"/>
        <v>0</v>
      </c>
      <c r="W188">
        <v>21837</v>
      </c>
      <c r="X188">
        <v>25452</v>
      </c>
      <c r="Y188">
        <v>0</v>
      </c>
      <c r="Z188">
        <v>25664</v>
      </c>
      <c r="AA188">
        <v>5456</v>
      </c>
      <c r="AB188">
        <v>30</v>
      </c>
      <c r="AC188">
        <v>30</v>
      </c>
      <c r="AD188">
        <v>0</v>
      </c>
      <c r="AE188">
        <v>0</v>
      </c>
      <c r="AF188">
        <v>7.8254244085015374</v>
      </c>
      <c r="AG188">
        <v>0</v>
      </c>
      <c r="AH188">
        <v>0</v>
      </c>
      <c r="AI188">
        <v>0</v>
      </c>
      <c r="AJ188">
        <v>0</v>
      </c>
      <c r="AK188">
        <v>0</v>
      </c>
      <c r="AL188">
        <v>0</v>
      </c>
      <c r="AM188">
        <v>0</v>
      </c>
      <c r="AN188">
        <v>0</v>
      </c>
      <c r="AO188">
        <v>0</v>
      </c>
      <c r="AP188">
        <v>0</v>
      </c>
      <c r="AQ188">
        <v>0</v>
      </c>
      <c r="AR188">
        <v>0</v>
      </c>
      <c r="AS188">
        <v>0</v>
      </c>
      <c r="AT188">
        <v>7.8254244085015374</v>
      </c>
      <c r="AU188">
        <v>0</v>
      </c>
      <c r="AV188">
        <v>0</v>
      </c>
      <c r="AW188">
        <v>0</v>
      </c>
      <c r="AX188">
        <v>0</v>
      </c>
      <c r="AY188">
        <v>0</v>
      </c>
    </row>
    <row r="189" spans="1:51">
      <c r="A189" t="s">
        <v>356</v>
      </c>
      <c r="B189">
        <v>565</v>
      </c>
      <c r="C189">
        <v>550</v>
      </c>
      <c r="D189">
        <v>1.5</v>
      </c>
      <c r="E189">
        <v>48262</v>
      </c>
      <c r="F189">
        <v>0</v>
      </c>
      <c r="G189">
        <v>190</v>
      </c>
      <c r="H189">
        <v>65</v>
      </c>
      <c r="I189">
        <v>20</v>
      </c>
      <c r="J189">
        <v>76.3</v>
      </c>
      <c r="K189">
        <v>23.7</v>
      </c>
      <c r="L189">
        <v>75</v>
      </c>
      <c r="M189">
        <v>75</v>
      </c>
      <c r="N189">
        <v>0</v>
      </c>
      <c r="T189">
        <f t="shared" si="4"/>
        <v>0</v>
      </c>
      <c r="W189">
        <v>21359</v>
      </c>
      <c r="X189">
        <v>26793</v>
      </c>
      <c r="Y189">
        <v>15192</v>
      </c>
      <c r="Z189">
        <v>27333</v>
      </c>
      <c r="AA189">
        <v>14886</v>
      </c>
      <c r="AB189">
        <v>180</v>
      </c>
      <c r="AC189">
        <v>375</v>
      </c>
      <c r="AD189">
        <v>100</v>
      </c>
      <c r="AE189">
        <v>40</v>
      </c>
      <c r="AF189">
        <v>0.54915259007028328</v>
      </c>
      <c r="AG189">
        <v>0</v>
      </c>
      <c r="AH189">
        <v>0.54915259007028328</v>
      </c>
      <c r="AI189">
        <v>1.0983051801405666</v>
      </c>
      <c r="AJ189">
        <v>5.7661021957379743</v>
      </c>
      <c r="AK189">
        <v>0.54915259007028328</v>
      </c>
      <c r="AL189">
        <v>1.6474577702108499</v>
      </c>
      <c r="AM189">
        <v>0.54915259007028328</v>
      </c>
      <c r="AN189">
        <v>0</v>
      </c>
      <c r="AO189">
        <v>0.54915259007028328</v>
      </c>
      <c r="AP189">
        <v>0</v>
      </c>
      <c r="AQ189">
        <v>0</v>
      </c>
      <c r="AR189">
        <v>0</v>
      </c>
      <c r="AS189">
        <v>0</v>
      </c>
      <c r="AT189">
        <v>0.82372888510542497</v>
      </c>
      <c r="AU189">
        <v>1.3728814751757084</v>
      </c>
      <c r="AV189">
        <v>0</v>
      </c>
      <c r="AW189">
        <v>0.54915259007028328</v>
      </c>
      <c r="AX189">
        <v>1.3728814751757084</v>
      </c>
      <c r="AY189">
        <v>0.54915259007028328</v>
      </c>
    </row>
    <row r="190" spans="1:51">
      <c r="A190" t="s">
        <v>649</v>
      </c>
      <c r="B190">
        <v>2145</v>
      </c>
      <c r="C190">
        <v>1995</v>
      </c>
      <c r="D190">
        <v>1.4</v>
      </c>
      <c r="E190">
        <v>52594</v>
      </c>
      <c r="F190">
        <v>10.6</v>
      </c>
      <c r="G190">
        <v>710</v>
      </c>
      <c r="H190">
        <v>300</v>
      </c>
      <c r="I190">
        <v>95</v>
      </c>
      <c r="J190">
        <v>83.8</v>
      </c>
      <c r="K190">
        <v>16.2</v>
      </c>
      <c r="L190">
        <v>72.599999999999994</v>
      </c>
      <c r="M190">
        <v>71.3</v>
      </c>
      <c r="N190">
        <v>1.8</v>
      </c>
      <c r="T190">
        <f t="shared" si="4"/>
        <v>0</v>
      </c>
      <c r="W190">
        <v>22058</v>
      </c>
      <c r="X190">
        <v>24805</v>
      </c>
      <c r="Y190">
        <v>18394</v>
      </c>
      <c r="Z190">
        <v>25226</v>
      </c>
      <c r="AA190">
        <v>15832</v>
      </c>
      <c r="AB190">
        <v>580</v>
      </c>
      <c r="AC190">
        <v>1290</v>
      </c>
      <c r="AD190">
        <v>435</v>
      </c>
      <c r="AE190">
        <v>280</v>
      </c>
      <c r="AF190">
        <v>6.0142999820797849</v>
      </c>
      <c r="AG190">
        <v>0</v>
      </c>
      <c r="AH190">
        <v>0</v>
      </c>
      <c r="AI190">
        <v>0.61509886180361428</v>
      </c>
      <c r="AJ190">
        <v>0.95682045169451113</v>
      </c>
      <c r="AK190">
        <v>1.0251647696726904</v>
      </c>
      <c r="AL190">
        <v>0.61509886180361428</v>
      </c>
      <c r="AM190">
        <v>0.61509886180361428</v>
      </c>
      <c r="AN190">
        <v>0.13668863595635872</v>
      </c>
      <c r="AO190">
        <v>0.61509886180361428</v>
      </c>
      <c r="AP190">
        <v>0</v>
      </c>
      <c r="AQ190">
        <v>0.2050329539345381</v>
      </c>
      <c r="AR190">
        <v>0</v>
      </c>
      <c r="AS190">
        <v>0.47841022584725557</v>
      </c>
      <c r="AT190">
        <v>0.82013181573815241</v>
      </c>
      <c r="AU190">
        <v>1.1618534056290493</v>
      </c>
      <c r="AV190">
        <v>0.27337727191271743</v>
      </c>
      <c r="AW190">
        <v>0.75178749775997311</v>
      </c>
      <c r="AX190">
        <v>0.54675454382543487</v>
      </c>
      <c r="AY190">
        <v>0.47841022584725557</v>
      </c>
    </row>
    <row r="191" spans="1:51">
      <c r="A191" t="s">
        <v>534</v>
      </c>
      <c r="B191" s="102"/>
      <c r="C191" s="102"/>
      <c r="D191" s="102"/>
      <c r="E191" s="102"/>
      <c r="F191" s="102"/>
      <c r="G191" s="102"/>
      <c r="H191" s="102"/>
      <c r="I191" s="102"/>
      <c r="J191" s="102"/>
      <c r="K191" s="102"/>
      <c r="L191" s="102"/>
      <c r="M191" s="102"/>
      <c r="N191" s="102"/>
      <c r="T191">
        <f t="shared" si="4"/>
        <v>0</v>
      </c>
      <c r="AB191">
        <v>0</v>
      </c>
      <c r="AC191">
        <v>0</v>
      </c>
      <c r="AD191">
        <v>0</v>
      </c>
      <c r="AE191">
        <v>0</v>
      </c>
      <c r="AF191" t="e">
        <v>#N/A</v>
      </c>
      <c r="AG191" t="e">
        <v>#N/A</v>
      </c>
      <c r="AH191" t="e">
        <v>#N/A</v>
      </c>
      <c r="AI191" t="e">
        <v>#N/A</v>
      </c>
      <c r="AJ191" t="e">
        <v>#N/A</v>
      </c>
      <c r="AK191" t="e">
        <v>#N/A</v>
      </c>
      <c r="AL191" t="e">
        <v>#N/A</v>
      </c>
      <c r="AM191" t="e">
        <v>#N/A</v>
      </c>
      <c r="AN191" t="e">
        <v>#N/A</v>
      </c>
      <c r="AO191" t="e">
        <v>#N/A</v>
      </c>
      <c r="AP191" t="e">
        <v>#N/A</v>
      </c>
      <c r="AQ191" t="e">
        <v>#N/A</v>
      </c>
      <c r="AR191" t="e">
        <v>#N/A</v>
      </c>
      <c r="AS191" t="e">
        <v>#N/A</v>
      </c>
      <c r="AT191" t="e">
        <v>#N/A</v>
      </c>
      <c r="AU191" t="e">
        <v>#N/A</v>
      </c>
      <c r="AV191" t="e">
        <v>#N/A</v>
      </c>
      <c r="AW191" t="e">
        <v>#N/A</v>
      </c>
      <c r="AX191" t="e">
        <v>#N/A</v>
      </c>
      <c r="AY191" t="e">
        <v>#N/A</v>
      </c>
    </row>
    <row r="192" spans="1:51">
      <c r="A192" t="s">
        <v>357</v>
      </c>
      <c r="B192" s="102"/>
      <c r="C192" s="102"/>
      <c r="D192" s="102"/>
      <c r="E192" s="102"/>
      <c r="F192" s="102"/>
      <c r="G192" s="102"/>
      <c r="H192" s="102"/>
      <c r="I192" s="102"/>
      <c r="J192" s="102"/>
      <c r="K192" s="102"/>
      <c r="L192" s="102"/>
      <c r="M192" s="102"/>
      <c r="N192" s="102"/>
      <c r="T192">
        <f t="shared" si="4"/>
        <v>0</v>
      </c>
      <c r="AB192">
        <v>0</v>
      </c>
      <c r="AC192">
        <v>0</v>
      </c>
      <c r="AD192">
        <v>0</v>
      </c>
      <c r="AE192">
        <v>0</v>
      </c>
      <c r="AF192" t="e">
        <v>#N/A</v>
      </c>
      <c r="AG192" t="e">
        <v>#N/A</v>
      </c>
      <c r="AH192" t="e">
        <v>#N/A</v>
      </c>
      <c r="AI192" t="e">
        <v>#N/A</v>
      </c>
      <c r="AJ192" t="e">
        <v>#N/A</v>
      </c>
      <c r="AK192" t="e">
        <v>#N/A</v>
      </c>
      <c r="AL192" t="e">
        <v>#N/A</v>
      </c>
      <c r="AM192" t="e">
        <v>#N/A</v>
      </c>
      <c r="AN192" t="e">
        <v>#N/A</v>
      </c>
      <c r="AO192" t="e">
        <v>#N/A</v>
      </c>
      <c r="AP192" t="e">
        <v>#N/A</v>
      </c>
      <c r="AQ192" t="e">
        <v>#N/A</v>
      </c>
      <c r="AR192" t="e">
        <v>#N/A</v>
      </c>
      <c r="AS192" t="e">
        <v>#N/A</v>
      </c>
      <c r="AT192" t="e">
        <v>#N/A</v>
      </c>
      <c r="AU192" t="e">
        <v>#N/A</v>
      </c>
      <c r="AV192" t="e">
        <v>#N/A</v>
      </c>
      <c r="AW192" t="e">
        <v>#N/A</v>
      </c>
      <c r="AX192" t="e">
        <v>#N/A</v>
      </c>
      <c r="AY192" t="e">
        <v>#N/A</v>
      </c>
    </row>
    <row r="193" spans="1:51">
      <c r="A193" t="s">
        <v>358</v>
      </c>
      <c r="B193" s="102"/>
      <c r="C193" s="102"/>
      <c r="D193" s="102"/>
      <c r="E193" s="102"/>
      <c r="F193" s="102"/>
      <c r="G193" s="102"/>
      <c r="H193" s="102"/>
      <c r="I193" s="102"/>
      <c r="J193" s="102"/>
      <c r="K193" s="102"/>
      <c r="L193" s="102"/>
      <c r="M193" s="102"/>
      <c r="N193" s="102"/>
      <c r="T193">
        <f t="shared" si="4"/>
        <v>0</v>
      </c>
      <c r="AB193">
        <v>0</v>
      </c>
      <c r="AC193">
        <v>0</v>
      </c>
      <c r="AD193">
        <v>0</v>
      </c>
      <c r="AE193">
        <v>0</v>
      </c>
      <c r="AF193" t="e">
        <v>#N/A</v>
      </c>
      <c r="AG193" t="e">
        <v>#N/A</v>
      </c>
      <c r="AH193" t="e">
        <v>#N/A</v>
      </c>
      <c r="AI193" t="e">
        <v>#N/A</v>
      </c>
      <c r="AJ193" t="e">
        <v>#N/A</v>
      </c>
      <c r="AK193" t="e">
        <v>#N/A</v>
      </c>
      <c r="AL193" t="e">
        <v>#N/A</v>
      </c>
      <c r="AM193" t="e">
        <v>#N/A</v>
      </c>
      <c r="AN193" t="e">
        <v>#N/A</v>
      </c>
      <c r="AO193" t="e">
        <v>#N/A</v>
      </c>
      <c r="AP193" t="e">
        <v>#N/A</v>
      </c>
      <c r="AQ193" t="e">
        <v>#N/A</v>
      </c>
      <c r="AR193" t="e">
        <v>#N/A</v>
      </c>
      <c r="AS193" t="e">
        <v>#N/A</v>
      </c>
      <c r="AT193" t="e">
        <v>#N/A</v>
      </c>
      <c r="AU193" t="e">
        <v>#N/A</v>
      </c>
      <c r="AV193" t="e">
        <v>#N/A</v>
      </c>
      <c r="AW193" t="e">
        <v>#N/A</v>
      </c>
      <c r="AX193" t="e">
        <v>#N/A</v>
      </c>
      <c r="AY193" t="e">
        <v>#N/A</v>
      </c>
    </row>
    <row r="194" spans="1:51">
      <c r="A194" t="s">
        <v>496</v>
      </c>
      <c r="B194" s="102"/>
      <c r="C194" s="102"/>
      <c r="D194" s="102"/>
      <c r="E194" s="102"/>
      <c r="F194" s="102"/>
      <c r="G194" s="102"/>
      <c r="H194" s="102"/>
      <c r="I194" s="102"/>
      <c r="J194" s="102"/>
      <c r="K194" s="102"/>
      <c r="L194" s="102"/>
      <c r="M194" s="102"/>
      <c r="N194" s="102"/>
      <c r="T194">
        <f t="shared" si="4"/>
        <v>0</v>
      </c>
      <c r="AB194">
        <v>0</v>
      </c>
      <c r="AC194">
        <v>0</v>
      </c>
      <c r="AD194">
        <v>0</v>
      </c>
      <c r="AE194">
        <v>0</v>
      </c>
      <c r="AF194" t="e">
        <v>#N/A</v>
      </c>
      <c r="AG194" t="e">
        <v>#N/A</v>
      </c>
      <c r="AH194" t="e">
        <v>#N/A</v>
      </c>
      <c r="AI194" t="e">
        <v>#N/A</v>
      </c>
      <c r="AJ194" t="e">
        <v>#N/A</v>
      </c>
      <c r="AK194" t="e">
        <v>#N/A</v>
      </c>
      <c r="AL194" t="e">
        <v>#N/A</v>
      </c>
      <c r="AM194" t="e">
        <v>#N/A</v>
      </c>
      <c r="AN194" t="e">
        <v>#N/A</v>
      </c>
      <c r="AO194" t="e">
        <v>#N/A</v>
      </c>
      <c r="AP194" t="e">
        <v>#N/A</v>
      </c>
      <c r="AQ194" t="e">
        <v>#N/A</v>
      </c>
      <c r="AR194" t="e">
        <v>#N/A</v>
      </c>
      <c r="AS194" t="e">
        <v>#N/A</v>
      </c>
      <c r="AT194" t="e">
        <v>#N/A</v>
      </c>
      <c r="AU194" t="e">
        <v>#N/A</v>
      </c>
      <c r="AV194" t="e">
        <v>#N/A</v>
      </c>
      <c r="AW194" t="e">
        <v>#N/A</v>
      </c>
      <c r="AX194" t="e">
        <v>#N/A</v>
      </c>
      <c r="AY194" t="e">
        <v>#N/A</v>
      </c>
    </row>
    <row r="195" spans="1:51">
      <c r="A195" t="s">
        <v>359</v>
      </c>
      <c r="B195" s="102"/>
      <c r="C195" s="102"/>
      <c r="D195" s="102"/>
      <c r="E195" s="102"/>
      <c r="F195" s="102"/>
      <c r="G195" s="102"/>
      <c r="H195" s="102"/>
      <c r="I195" s="102"/>
      <c r="J195" s="102"/>
      <c r="K195" s="102"/>
      <c r="L195" s="102"/>
      <c r="M195" s="102"/>
      <c r="N195" s="102"/>
      <c r="T195">
        <f t="shared" si="4"/>
        <v>0</v>
      </c>
      <c r="AB195">
        <v>0</v>
      </c>
      <c r="AC195">
        <v>0</v>
      </c>
      <c r="AD195">
        <v>0</v>
      </c>
      <c r="AE195">
        <v>0</v>
      </c>
      <c r="AF195" t="e">
        <v>#N/A</v>
      </c>
      <c r="AG195" t="e">
        <v>#N/A</v>
      </c>
      <c r="AH195" t="e">
        <v>#N/A</v>
      </c>
      <c r="AI195" t="e">
        <v>#N/A</v>
      </c>
      <c r="AJ195" t="e">
        <v>#N/A</v>
      </c>
      <c r="AK195" t="e">
        <v>#N/A</v>
      </c>
      <c r="AL195" t="e">
        <v>#N/A</v>
      </c>
      <c r="AM195" t="e">
        <v>#N/A</v>
      </c>
      <c r="AN195" t="e">
        <v>#N/A</v>
      </c>
      <c r="AO195" t="e">
        <v>#N/A</v>
      </c>
      <c r="AP195" t="e">
        <v>#N/A</v>
      </c>
      <c r="AQ195" t="e">
        <v>#N/A</v>
      </c>
      <c r="AR195" t="e">
        <v>#N/A</v>
      </c>
      <c r="AS195" t="e">
        <v>#N/A</v>
      </c>
      <c r="AT195" t="e">
        <v>#N/A</v>
      </c>
      <c r="AU195" t="e">
        <v>#N/A</v>
      </c>
      <c r="AV195" t="e">
        <v>#N/A</v>
      </c>
      <c r="AW195" t="e">
        <v>#N/A</v>
      </c>
      <c r="AX195" t="e">
        <v>#N/A</v>
      </c>
      <c r="AY195" t="e">
        <v>#N/A</v>
      </c>
    </row>
    <row r="196" spans="1:51">
      <c r="A196" s="83" t="s">
        <v>360</v>
      </c>
      <c r="B196">
        <v>825</v>
      </c>
      <c r="C196">
        <v>825</v>
      </c>
      <c r="D196">
        <v>0.8</v>
      </c>
      <c r="E196">
        <v>47854</v>
      </c>
      <c r="F196">
        <v>12.8</v>
      </c>
      <c r="G196">
        <v>415</v>
      </c>
      <c r="H196">
        <v>100</v>
      </c>
      <c r="I196">
        <v>30</v>
      </c>
      <c r="J196">
        <v>72.3</v>
      </c>
      <c r="K196">
        <v>26.5</v>
      </c>
      <c r="L196">
        <v>47.9</v>
      </c>
      <c r="M196">
        <v>46.4</v>
      </c>
      <c r="N196">
        <v>3</v>
      </c>
      <c r="T196">
        <f>IFERROR(VLOOKUP(A196,$U$12:$U$74,1,0),0)</f>
        <v>0</v>
      </c>
      <c r="W196">
        <v>20740</v>
      </c>
      <c r="X196">
        <v>24551</v>
      </c>
      <c r="Y196">
        <v>16243</v>
      </c>
      <c r="Z196">
        <v>22309</v>
      </c>
      <c r="AA196">
        <v>14987</v>
      </c>
      <c r="AB196">
        <v>125</v>
      </c>
      <c r="AC196">
        <v>375</v>
      </c>
      <c r="AD196">
        <v>135</v>
      </c>
      <c r="AE196">
        <v>300</v>
      </c>
      <c r="AF196">
        <v>2.569542343090057</v>
      </c>
      <c r="AG196">
        <v>0</v>
      </c>
      <c r="AH196">
        <v>0</v>
      </c>
      <c r="AI196">
        <v>1.1679737923136622</v>
      </c>
      <c r="AJ196">
        <v>0.70078427538819732</v>
      </c>
      <c r="AK196">
        <v>1.4015685507763946</v>
      </c>
      <c r="AL196">
        <v>0.9343790338509298</v>
      </c>
      <c r="AM196">
        <v>0.4671895169254649</v>
      </c>
      <c r="AN196">
        <v>0</v>
      </c>
      <c r="AO196">
        <v>0.4671895169254649</v>
      </c>
      <c r="AP196">
        <v>0</v>
      </c>
      <c r="AQ196">
        <v>0</v>
      </c>
      <c r="AR196">
        <v>0</v>
      </c>
      <c r="AS196">
        <v>0.70078427538819732</v>
      </c>
      <c r="AT196">
        <v>1.8687580677018596</v>
      </c>
      <c r="AU196">
        <v>1.6351633092391271</v>
      </c>
      <c r="AV196">
        <v>0</v>
      </c>
      <c r="AW196">
        <v>1.4015685507763946</v>
      </c>
      <c r="AX196">
        <v>0.70078427538819732</v>
      </c>
      <c r="AY196">
        <v>0.9343790338509298</v>
      </c>
    </row>
    <row r="197" spans="1:51">
      <c r="A197" s="82" t="s">
        <v>777</v>
      </c>
      <c r="B197">
        <v>525</v>
      </c>
      <c r="C197">
        <v>530</v>
      </c>
      <c r="D197">
        <v>1.1000000000000001</v>
      </c>
      <c r="E197">
        <v>55320</v>
      </c>
      <c r="F197">
        <v>17.600000000000001</v>
      </c>
      <c r="G197">
        <v>170</v>
      </c>
      <c r="H197">
        <v>50</v>
      </c>
      <c r="I197">
        <v>35</v>
      </c>
      <c r="J197">
        <v>94.1</v>
      </c>
      <c r="K197">
        <v>5.9</v>
      </c>
      <c r="L197">
        <v>91.2</v>
      </c>
      <c r="M197">
        <v>91.2</v>
      </c>
      <c r="N197">
        <v>0</v>
      </c>
      <c r="T197">
        <f>IFERROR(VLOOKUP(A197,$U$12:$U$74,1,0),0)</f>
        <v>0</v>
      </c>
      <c r="W197">
        <v>22204</v>
      </c>
      <c r="X197">
        <v>23125</v>
      </c>
      <c r="Y197">
        <v>21248</v>
      </c>
      <c r="Z197">
        <v>23318</v>
      </c>
      <c r="AA197">
        <v>20781</v>
      </c>
      <c r="AB197">
        <v>115</v>
      </c>
      <c r="AC197">
        <v>375</v>
      </c>
      <c r="AD197">
        <v>125</v>
      </c>
      <c r="AE197">
        <v>20</v>
      </c>
      <c r="AF197">
        <v>5.3598797318503681</v>
      </c>
      <c r="AG197">
        <v>0</v>
      </c>
      <c r="AH197">
        <v>0</v>
      </c>
      <c r="AI197">
        <v>0</v>
      </c>
      <c r="AJ197">
        <v>0.42879037854802943</v>
      </c>
      <c r="AK197">
        <v>0.85758075709605885</v>
      </c>
      <c r="AL197">
        <v>1.5007663249181029</v>
      </c>
      <c r="AM197">
        <v>0.42879037854802943</v>
      </c>
      <c r="AN197">
        <v>0.42879037854802943</v>
      </c>
      <c r="AO197">
        <v>0.85758075709605885</v>
      </c>
      <c r="AP197">
        <v>0.42879037854802943</v>
      </c>
      <c r="AQ197">
        <v>0.64318556782204417</v>
      </c>
      <c r="AR197">
        <v>0</v>
      </c>
      <c r="AS197">
        <v>0</v>
      </c>
      <c r="AT197">
        <v>1.5007663249181029</v>
      </c>
      <c r="AU197">
        <v>1.9295567034661325</v>
      </c>
      <c r="AV197">
        <v>0</v>
      </c>
      <c r="AW197">
        <v>0</v>
      </c>
      <c r="AX197">
        <v>0</v>
      </c>
      <c r="AY197">
        <v>0.64318556782204417</v>
      </c>
    </row>
    <row r="198" spans="1:51">
      <c r="A198" t="s">
        <v>608</v>
      </c>
      <c r="B198">
        <v>10705</v>
      </c>
      <c r="C198">
        <v>10705</v>
      </c>
      <c r="D198">
        <v>1.7</v>
      </c>
      <c r="E198">
        <v>51473</v>
      </c>
      <c r="F198">
        <v>11</v>
      </c>
      <c r="G198">
        <v>3110</v>
      </c>
      <c r="H198">
        <v>1010</v>
      </c>
      <c r="I198">
        <v>330</v>
      </c>
      <c r="J198">
        <v>87.8</v>
      </c>
      <c r="K198">
        <v>12.2</v>
      </c>
      <c r="L198">
        <v>72.900000000000006</v>
      </c>
      <c r="M198">
        <v>70.7</v>
      </c>
      <c r="N198">
        <v>3.2</v>
      </c>
      <c r="T198">
        <f t="shared" ref="T198:T261" si="6">IFERROR(VLOOKUP(A198,$U$12:$U$74,1,0),0)</f>
        <v>0</v>
      </c>
      <c r="W198">
        <v>22364</v>
      </c>
      <c r="X198">
        <v>27826</v>
      </c>
      <c r="Y198">
        <v>14728</v>
      </c>
      <c r="Z198">
        <v>24299</v>
      </c>
      <c r="AA198">
        <v>11069</v>
      </c>
      <c r="AB198">
        <v>3330</v>
      </c>
      <c r="AC198">
        <v>6655</v>
      </c>
      <c r="AD198">
        <v>1870</v>
      </c>
      <c r="AE198">
        <v>700</v>
      </c>
      <c r="AF198">
        <v>3.2872600675117987</v>
      </c>
      <c r="AG198">
        <v>2.9090797057626534E-2</v>
      </c>
      <c r="AH198">
        <v>0.15999938381694592</v>
      </c>
      <c r="AI198">
        <v>1.3818128602372604</v>
      </c>
      <c r="AJ198">
        <v>1.9927195984474175</v>
      </c>
      <c r="AK198">
        <v>0.74181532496947666</v>
      </c>
      <c r="AL198">
        <v>1.5854484396406461</v>
      </c>
      <c r="AM198">
        <v>1.2509042734779408</v>
      </c>
      <c r="AN198">
        <v>7.2726992644066332E-2</v>
      </c>
      <c r="AO198">
        <v>0.24727177498982553</v>
      </c>
      <c r="AP198">
        <v>2.9090797057626534E-2</v>
      </c>
      <c r="AQ198">
        <v>0.42181655733558476</v>
      </c>
      <c r="AR198">
        <v>0</v>
      </c>
      <c r="AS198">
        <v>0.27636257204745207</v>
      </c>
      <c r="AT198">
        <v>0.7999969190847297</v>
      </c>
      <c r="AU198">
        <v>1.3236312661220071</v>
      </c>
      <c r="AV198">
        <v>0.14545398528813266</v>
      </c>
      <c r="AW198">
        <v>0.85817851319998284</v>
      </c>
      <c r="AX198">
        <v>0.81454231761354301</v>
      </c>
      <c r="AY198">
        <v>0.15999938381694592</v>
      </c>
    </row>
    <row r="199" spans="1:51">
      <c r="A199" t="s">
        <v>671</v>
      </c>
      <c r="B199">
        <v>805</v>
      </c>
      <c r="C199">
        <v>800</v>
      </c>
      <c r="D199">
        <v>0.7</v>
      </c>
      <c r="E199">
        <v>49234</v>
      </c>
      <c r="F199">
        <v>0</v>
      </c>
      <c r="G199">
        <v>385</v>
      </c>
      <c r="H199">
        <v>155</v>
      </c>
      <c r="I199">
        <v>70</v>
      </c>
      <c r="J199">
        <v>81.8</v>
      </c>
      <c r="K199">
        <v>18.2</v>
      </c>
      <c r="L199">
        <v>62.2</v>
      </c>
      <c r="M199">
        <v>59.4</v>
      </c>
      <c r="N199">
        <v>4.5</v>
      </c>
      <c r="T199">
        <f t="shared" si="6"/>
        <v>0</v>
      </c>
      <c r="W199">
        <v>20553</v>
      </c>
      <c r="X199">
        <v>18600</v>
      </c>
      <c r="Y199">
        <v>22653</v>
      </c>
      <c r="Z199">
        <v>14782</v>
      </c>
      <c r="AA199">
        <v>13233</v>
      </c>
      <c r="AB199">
        <v>85</v>
      </c>
      <c r="AC199">
        <v>475</v>
      </c>
      <c r="AD199">
        <v>250</v>
      </c>
      <c r="AE199">
        <v>235</v>
      </c>
      <c r="AF199">
        <v>4.7480103152705961</v>
      </c>
      <c r="AG199">
        <v>0</v>
      </c>
      <c r="AH199">
        <v>0</v>
      </c>
      <c r="AI199">
        <v>0.52755670169673285</v>
      </c>
      <c r="AJ199">
        <v>0.70340893559564377</v>
      </c>
      <c r="AK199">
        <v>1.0551134033934657</v>
      </c>
      <c r="AL199">
        <v>0.70340893559564377</v>
      </c>
      <c r="AM199">
        <v>1.4068178711912875</v>
      </c>
      <c r="AN199">
        <v>0</v>
      </c>
      <c r="AO199">
        <v>0.70340893559564377</v>
      </c>
      <c r="AP199">
        <v>0</v>
      </c>
      <c r="AQ199">
        <v>0.35170446779782188</v>
      </c>
      <c r="AR199">
        <v>0</v>
      </c>
      <c r="AS199">
        <v>0</v>
      </c>
      <c r="AT199">
        <v>1.0551134033934657</v>
      </c>
      <c r="AU199">
        <v>1.7585223389891096</v>
      </c>
      <c r="AV199">
        <v>1.4068178711912875</v>
      </c>
      <c r="AW199">
        <v>0.8792611694945548</v>
      </c>
      <c r="AX199">
        <v>0.35170446779782188</v>
      </c>
      <c r="AY199">
        <v>0.35170446779782188</v>
      </c>
    </row>
    <row r="200" spans="1:51">
      <c r="A200" t="s">
        <v>361</v>
      </c>
      <c r="B200">
        <v>430</v>
      </c>
      <c r="C200">
        <v>430</v>
      </c>
      <c r="D200">
        <v>0.9</v>
      </c>
      <c r="E200">
        <v>48539</v>
      </c>
      <c r="F200">
        <v>0</v>
      </c>
      <c r="G200">
        <v>205</v>
      </c>
      <c r="H200">
        <v>50</v>
      </c>
      <c r="I200">
        <v>10</v>
      </c>
      <c r="J200">
        <v>85.4</v>
      </c>
      <c r="K200">
        <v>14.6</v>
      </c>
      <c r="L200">
        <v>62.7</v>
      </c>
      <c r="M200">
        <v>61.3</v>
      </c>
      <c r="N200">
        <v>4.3</v>
      </c>
      <c r="T200">
        <f t="shared" si="6"/>
        <v>0</v>
      </c>
      <c r="W200">
        <v>19793</v>
      </c>
      <c r="X200">
        <v>20792</v>
      </c>
      <c r="Y200">
        <v>18030</v>
      </c>
      <c r="Z200">
        <v>24146</v>
      </c>
      <c r="AA200">
        <v>13662</v>
      </c>
      <c r="AB200">
        <v>55</v>
      </c>
      <c r="AC200">
        <v>240</v>
      </c>
      <c r="AD200">
        <v>105</v>
      </c>
      <c r="AE200">
        <v>110</v>
      </c>
      <c r="AF200">
        <v>1.6302967517711537</v>
      </c>
      <c r="AG200">
        <v>0</v>
      </c>
      <c r="AH200">
        <v>0</v>
      </c>
      <c r="AI200">
        <v>1.6302967517711537</v>
      </c>
      <c r="AJ200">
        <v>0</v>
      </c>
      <c r="AK200">
        <v>2.2824154524796154</v>
      </c>
      <c r="AL200">
        <v>2.2824154524796154</v>
      </c>
      <c r="AM200">
        <v>1.3042374014169229</v>
      </c>
      <c r="AN200">
        <v>0</v>
      </c>
      <c r="AO200">
        <v>2.9345341531880766</v>
      </c>
      <c r="AP200">
        <v>0</v>
      </c>
      <c r="AQ200">
        <v>0</v>
      </c>
      <c r="AR200">
        <v>0</v>
      </c>
      <c r="AS200">
        <v>0</v>
      </c>
      <c r="AT200">
        <v>0</v>
      </c>
      <c r="AU200">
        <v>0.65211870070846145</v>
      </c>
      <c r="AV200">
        <v>0</v>
      </c>
      <c r="AW200">
        <v>0.65211870070846145</v>
      </c>
      <c r="AX200">
        <v>0.65211870070846145</v>
      </c>
      <c r="AY200">
        <v>1.3042374014169229</v>
      </c>
    </row>
    <row r="201" spans="1:51">
      <c r="A201" t="s">
        <v>221</v>
      </c>
      <c r="B201">
        <v>19</v>
      </c>
      <c r="C201" s="102"/>
      <c r="D201" s="102"/>
      <c r="E201" s="102"/>
      <c r="F201" s="102"/>
      <c r="G201" s="102"/>
      <c r="H201" s="102"/>
      <c r="I201" s="102"/>
      <c r="J201" s="102"/>
      <c r="K201" s="102"/>
      <c r="L201" s="102"/>
      <c r="M201" s="102"/>
      <c r="N201" s="102"/>
      <c r="T201">
        <f t="shared" si="6"/>
        <v>0</v>
      </c>
      <c r="AB201">
        <v>0</v>
      </c>
      <c r="AC201">
        <v>0</v>
      </c>
      <c r="AD201">
        <v>0</v>
      </c>
      <c r="AE201">
        <v>0</v>
      </c>
      <c r="AF201" t="e">
        <v>#N/A</v>
      </c>
      <c r="AG201" t="e">
        <v>#N/A</v>
      </c>
      <c r="AH201" t="e">
        <v>#N/A</v>
      </c>
      <c r="AI201" t="e">
        <v>#N/A</v>
      </c>
      <c r="AJ201" t="e">
        <v>#N/A</v>
      </c>
      <c r="AK201" t="e">
        <v>#N/A</v>
      </c>
      <c r="AL201" t="e">
        <v>#N/A</v>
      </c>
      <c r="AM201" t="e">
        <v>#N/A</v>
      </c>
      <c r="AN201" t="e">
        <v>#N/A</v>
      </c>
      <c r="AO201" t="e">
        <v>#N/A</v>
      </c>
      <c r="AP201" t="e">
        <v>#N/A</v>
      </c>
      <c r="AQ201" t="e">
        <v>#N/A</v>
      </c>
      <c r="AR201" t="e">
        <v>#N/A</v>
      </c>
      <c r="AS201" t="e">
        <v>#N/A</v>
      </c>
      <c r="AT201" t="e">
        <v>#N/A</v>
      </c>
      <c r="AU201" t="e">
        <v>#N/A</v>
      </c>
      <c r="AV201" t="e">
        <v>#N/A</v>
      </c>
      <c r="AW201" t="e">
        <v>#N/A</v>
      </c>
      <c r="AX201" t="e">
        <v>#N/A</v>
      </c>
      <c r="AY201" t="e">
        <v>#N/A</v>
      </c>
    </row>
    <row r="202" spans="1:51">
      <c r="A202" t="s">
        <v>653</v>
      </c>
      <c r="B202">
        <v>1720</v>
      </c>
      <c r="C202">
        <v>1710</v>
      </c>
      <c r="D202">
        <v>1.2</v>
      </c>
      <c r="E202">
        <v>102054</v>
      </c>
      <c r="F202">
        <v>0</v>
      </c>
      <c r="G202">
        <v>585</v>
      </c>
      <c r="H202">
        <v>145</v>
      </c>
      <c r="I202">
        <v>75</v>
      </c>
      <c r="J202">
        <v>97.4</v>
      </c>
      <c r="K202">
        <v>1.7</v>
      </c>
      <c r="L202">
        <v>75</v>
      </c>
      <c r="M202">
        <v>73.5</v>
      </c>
      <c r="N202">
        <v>2</v>
      </c>
      <c r="T202">
        <f t="shared" si="6"/>
        <v>0</v>
      </c>
      <c r="W202">
        <v>35959</v>
      </c>
      <c r="X202">
        <v>41620</v>
      </c>
      <c r="Y202">
        <v>29704</v>
      </c>
      <c r="Z202">
        <v>36181</v>
      </c>
      <c r="AA202">
        <v>23885</v>
      </c>
      <c r="AB202">
        <v>360</v>
      </c>
      <c r="AC202">
        <v>1225</v>
      </c>
      <c r="AD202">
        <v>505</v>
      </c>
      <c r="AE202">
        <v>145</v>
      </c>
      <c r="AF202">
        <v>0.53968444196562326</v>
      </c>
      <c r="AG202">
        <v>0</v>
      </c>
      <c r="AH202">
        <v>0</v>
      </c>
      <c r="AI202">
        <v>1.5419555484732095</v>
      </c>
      <c r="AJ202">
        <v>1.6961511033205303</v>
      </c>
      <c r="AK202">
        <v>0.69387999681294421</v>
      </c>
      <c r="AL202">
        <v>2.0816399904388327</v>
      </c>
      <c r="AM202">
        <v>0.53968444196562326</v>
      </c>
      <c r="AN202">
        <v>0.15419555484732095</v>
      </c>
      <c r="AO202">
        <v>0.69387999681294421</v>
      </c>
      <c r="AP202">
        <v>0.38548888711830237</v>
      </c>
      <c r="AQ202">
        <v>1.2335644387785676</v>
      </c>
      <c r="AR202">
        <v>0</v>
      </c>
      <c r="AS202">
        <v>0.38548888711830237</v>
      </c>
      <c r="AT202">
        <v>1.464857771049549</v>
      </c>
      <c r="AU202">
        <v>1.6961511033205303</v>
      </c>
      <c r="AV202">
        <v>0.3083911096946419</v>
      </c>
      <c r="AW202">
        <v>0.61678221938928379</v>
      </c>
      <c r="AX202">
        <v>0.69387999681294421</v>
      </c>
      <c r="AY202">
        <v>1.0793688839312465</v>
      </c>
    </row>
    <row r="203" spans="1:51">
      <c r="A203" t="s">
        <v>535</v>
      </c>
      <c r="B203" s="102"/>
      <c r="C203" s="102"/>
      <c r="D203" s="102"/>
      <c r="E203" s="102"/>
      <c r="F203" s="102"/>
      <c r="G203" s="102"/>
      <c r="H203" s="102"/>
      <c r="I203" s="102"/>
      <c r="J203" s="102"/>
      <c r="K203" s="102"/>
      <c r="L203" s="102"/>
      <c r="M203" s="102"/>
      <c r="N203" s="102"/>
      <c r="T203">
        <f t="shared" si="6"/>
        <v>0</v>
      </c>
      <c r="AB203">
        <v>0</v>
      </c>
      <c r="AC203">
        <v>0</v>
      </c>
      <c r="AD203">
        <v>0</v>
      </c>
      <c r="AE203">
        <v>0</v>
      </c>
      <c r="AF203" t="e">
        <v>#N/A</v>
      </c>
      <c r="AG203" t="e">
        <v>#N/A</v>
      </c>
      <c r="AH203" t="e">
        <v>#N/A</v>
      </c>
      <c r="AI203" t="e">
        <v>#N/A</v>
      </c>
      <c r="AJ203" t="e">
        <v>#N/A</v>
      </c>
      <c r="AK203" t="e">
        <v>#N/A</v>
      </c>
      <c r="AL203" t="e">
        <v>#N/A</v>
      </c>
      <c r="AM203" t="e">
        <v>#N/A</v>
      </c>
      <c r="AN203" t="e">
        <v>#N/A</v>
      </c>
      <c r="AO203" t="e">
        <v>#N/A</v>
      </c>
      <c r="AP203" t="e">
        <v>#N/A</v>
      </c>
      <c r="AQ203" t="e">
        <v>#N/A</v>
      </c>
      <c r="AR203" t="e">
        <v>#N/A</v>
      </c>
      <c r="AS203" t="e">
        <v>#N/A</v>
      </c>
      <c r="AT203" t="e">
        <v>#N/A</v>
      </c>
      <c r="AU203" t="e">
        <v>#N/A</v>
      </c>
      <c r="AV203" t="e">
        <v>#N/A</v>
      </c>
      <c r="AW203" t="e">
        <v>#N/A</v>
      </c>
      <c r="AX203" t="e">
        <v>#N/A</v>
      </c>
      <c r="AY203" t="e">
        <v>#N/A</v>
      </c>
    </row>
    <row r="204" spans="1:51">
      <c r="A204" t="s">
        <v>222</v>
      </c>
      <c r="B204">
        <v>15</v>
      </c>
      <c r="C204" s="102"/>
      <c r="D204" s="102"/>
      <c r="E204" s="102"/>
      <c r="F204" s="102"/>
      <c r="G204" s="102"/>
      <c r="H204" s="102"/>
      <c r="I204" s="102"/>
      <c r="J204" s="102"/>
      <c r="K204" s="102"/>
      <c r="L204" s="102"/>
      <c r="M204" s="102"/>
      <c r="N204" s="102"/>
      <c r="T204">
        <f t="shared" si="6"/>
        <v>0</v>
      </c>
      <c r="AB204">
        <v>0</v>
      </c>
      <c r="AC204">
        <v>0</v>
      </c>
      <c r="AD204">
        <v>0</v>
      </c>
      <c r="AE204">
        <v>0</v>
      </c>
      <c r="AF204" t="e">
        <v>#N/A</v>
      </c>
      <c r="AG204" t="e">
        <v>#N/A</v>
      </c>
      <c r="AH204" t="e">
        <v>#N/A</v>
      </c>
      <c r="AI204" t="e">
        <v>#N/A</v>
      </c>
      <c r="AJ204" t="e">
        <v>#N/A</v>
      </c>
      <c r="AK204" t="e">
        <v>#N/A</v>
      </c>
      <c r="AL204" t="e">
        <v>#N/A</v>
      </c>
      <c r="AM204" t="e">
        <v>#N/A</v>
      </c>
      <c r="AN204" t="e">
        <v>#N/A</v>
      </c>
      <c r="AO204" t="e">
        <v>#N/A</v>
      </c>
      <c r="AP204" t="e">
        <v>#N/A</v>
      </c>
      <c r="AQ204" t="e">
        <v>#N/A</v>
      </c>
      <c r="AR204" t="e">
        <v>#N/A</v>
      </c>
      <c r="AS204" t="e">
        <v>#N/A</v>
      </c>
      <c r="AT204" t="e">
        <v>#N/A</v>
      </c>
      <c r="AU204" t="e">
        <v>#N/A</v>
      </c>
      <c r="AV204" t="e">
        <v>#N/A</v>
      </c>
      <c r="AW204" t="e">
        <v>#N/A</v>
      </c>
      <c r="AX204" t="e">
        <v>#N/A</v>
      </c>
      <c r="AY204" t="e">
        <v>#N/A</v>
      </c>
    </row>
    <row r="205" spans="1:51">
      <c r="A205" t="s">
        <v>549</v>
      </c>
      <c r="B205">
        <v>475</v>
      </c>
      <c r="C205">
        <v>470</v>
      </c>
      <c r="D205">
        <v>1.4</v>
      </c>
      <c r="E205">
        <v>30510</v>
      </c>
      <c r="F205">
        <v>28</v>
      </c>
      <c r="G205">
        <v>165</v>
      </c>
      <c r="H205">
        <v>70</v>
      </c>
      <c r="I205">
        <v>45</v>
      </c>
      <c r="J205">
        <v>87.9</v>
      </c>
      <c r="K205">
        <v>12.1</v>
      </c>
      <c r="L205">
        <v>80.3</v>
      </c>
      <c r="M205">
        <v>73.2</v>
      </c>
      <c r="N205">
        <v>8.8000000000000007</v>
      </c>
      <c r="T205">
        <f t="shared" si="6"/>
        <v>0</v>
      </c>
      <c r="W205">
        <v>11881</v>
      </c>
      <c r="X205">
        <v>12177</v>
      </c>
      <c r="Y205">
        <v>11558</v>
      </c>
      <c r="Z205">
        <v>12523</v>
      </c>
      <c r="AA205">
        <v>11812</v>
      </c>
      <c r="AB205">
        <v>115</v>
      </c>
      <c r="AC205">
        <v>320</v>
      </c>
      <c r="AD205">
        <v>125</v>
      </c>
      <c r="AE205">
        <v>20</v>
      </c>
      <c r="AF205">
        <v>3.5694918354568417</v>
      </c>
      <c r="AG205">
        <v>0.54915259007028328</v>
      </c>
      <c r="AH205">
        <v>0</v>
      </c>
      <c r="AI205">
        <v>0.54915259007028328</v>
      </c>
      <c r="AJ205">
        <v>3.2949155404216999</v>
      </c>
      <c r="AK205">
        <v>0</v>
      </c>
      <c r="AL205">
        <v>1.6474577702108499</v>
      </c>
      <c r="AM205">
        <v>0.54915259007028328</v>
      </c>
      <c r="AN205">
        <v>0.54915259007028328</v>
      </c>
      <c r="AO205">
        <v>0</v>
      </c>
      <c r="AP205">
        <v>0</v>
      </c>
      <c r="AQ205">
        <v>0</v>
      </c>
      <c r="AR205">
        <v>0</v>
      </c>
      <c r="AS205">
        <v>0</v>
      </c>
      <c r="AT205">
        <v>0</v>
      </c>
      <c r="AU205">
        <v>1.0983051801405666</v>
      </c>
      <c r="AV205">
        <v>0</v>
      </c>
      <c r="AW205">
        <v>1.6474577702108499</v>
      </c>
      <c r="AX205">
        <v>0.54915259007028328</v>
      </c>
      <c r="AY205">
        <v>0.82372888510542497</v>
      </c>
    </row>
    <row r="206" spans="1:51">
      <c r="A206" t="s">
        <v>362</v>
      </c>
      <c r="B206" s="102"/>
      <c r="C206" s="102"/>
      <c r="D206" s="102"/>
      <c r="E206" s="102"/>
      <c r="F206" s="102"/>
      <c r="G206" s="102"/>
      <c r="H206" s="102"/>
      <c r="I206" s="102"/>
      <c r="J206" s="102"/>
      <c r="K206" s="102"/>
      <c r="L206" s="102"/>
      <c r="M206" s="102"/>
      <c r="N206" s="102"/>
      <c r="T206">
        <f t="shared" si="6"/>
        <v>0</v>
      </c>
      <c r="AB206">
        <v>0</v>
      </c>
      <c r="AC206">
        <v>0</v>
      </c>
      <c r="AD206">
        <v>0</v>
      </c>
      <c r="AE206">
        <v>0</v>
      </c>
      <c r="AF206" t="e">
        <v>#N/A</v>
      </c>
      <c r="AG206" t="e">
        <v>#N/A</v>
      </c>
      <c r="AH206" t="e">
        <v>#N/A</v>
      </c>
      <c r="AI206" t="e">
        <v>#N/A</v>
      </c>
      <c r="AJ206" t="e">
        <v>#N/A</v>
      </c>
      <c r="AK206" t="e">
        <v>#N/A</v>
      </c>
      <c r="AL206" t="e">
        <v>#N/A</v>
      </c>
      <c r="AM206" t="e">
        <v>#N/A</v>
      </c>
      <c r="AN206" t="e">
        <v>#N/A</v>
      </c>
      <c r="AO206" t="e">
        <v>#N/A</v>
      </c>
      <c r="AP206" t="e">
        <v>#N/A</v>
      </c>
      <c r="AQ206" t="e">
        <v>#N/A</v>
      </c>
      <c r="AR206" t="e">
        <v>#N/A</v>
      </c>
      <c r="AS206" t="e">
        <v>#N/A</v>
      </c>
      <c r="AT206" t="e">
        <v>#N/A</v>
      </c>
      <c r="AU206" t="e">
        <v>#N/A</v>
      </c>
      <c r="AV206" t="e">
        <v>#N/A</v>
      </c>
      <c r="AW206" t="e">
        <v>#N/A</v>
      </c>
      <c r="AX206" t="e">
        <v>#N/A</v>
      </c>
      <c r="AY206" t="e">
        <v>#N/A</v>
      </c>
    </row>
    <row r="207" spans="1:51">
      <c r="A207" t="s">
        <v>536</v>
      </c>
      <c r="B207" s="102"/>
      <c r="C207" s="102"/>
      <c r="D207" s="102"/>
      <c r="E207" s="102"/>
      <c r="F207" s="102"/>
      <c r="G207" s="102"/>
      <c r="H207" s="102"/>
      <c r="I207" s="102"/>
      <c r="J207" s="102"/>
      <c r="K207" s="102"/>
      <c r="L207" s="102"/>
      <c r="M207" s="102"/>
      <c r="N207" s="102"/>
      <c r="T207">
        <f t="shared" si="6"/>
        <v>0</v>
      </c>
      <c r="AB207">
        <v>0</v>
      </c>
      <c r="AC207">
        <v>0</v>
      </c>
      <c r="AD207">
        <v>0</v>
      </c>
      <c r="AE207">
        <v>0</v>
      </c>
      <c r="AF207" t="e">
        <v>#N/A</v>
      </c>
      <c r="AG207" t="e">
        <v>#N/A</v>
      </c>
      <c r="AH207" t="e">
        <v>#N/A</v>
      </c>
      <c r="AI207" t="e">
        <v>#N/A</v>
      </c>
      <c r="AJ207" t="e">
        <v>#N/A</v>
      </c>
      <c r="AK207" t="e">
        <v>#N/A</v>
      </c>
      <c r="AL207" t="e">
        <v>#N/A</v>
      </c>
      <c r="AM207" t="e">
        <v>#N/A</v>
      </c>
      <c r="AN207" t="e">
        <v>#N/A</v>
      </c>
      <c r="AO207" t="e">
        <v>#N/A</v>
      </c>
      <c r="AP207" t="e">
        <v>#N/A</v>
      </c>
      <c r="AQ207" t="e">
        <v>#N/A</v>
      </c>
      <c r="AR207" t="e">
        <v>#N/A</v>
      </c>
      <c r="AS207" t="e">
        <v>#N/A</v>
      </c>
      <c r="AT207" t="e">
        <v>#N/A</v>
      </c>
      <c r="AU207" t="e">
        <v>#N/A</v>
      </c>
      <c r="AV207" t="e">
        <v>#N/A</v>
      </c>
      <c r="AW207" t="e">
        <v>#N/A</v>
      </c>
      <c r="AX207" t="e">
        <v>#N/A</v>
      </c>
      <c r="AY207" t="e">
        <v>#N/A</v>
      </c>
    </row>
    <row r="208" spans="1:51">
      <c r="A208" t="s">
        <v>363</v>
      </c>
      <c r="B208" s="102"/>
      <c r="C208" s="102"/>
      <c r="D208" s="102"/>
      <c r="E208" s="102"/>
      <c r="F208" s="102"/>
      <c r="G208" s="102"/>
      <c r="H208" s="102"/>
      <c r="I208" s="102"/>
      <c r="J208" s="102"/>
      <c r="K208" s="102"/>
      <c r="L208" s="102"/>
      <c r="M208" s="102"/>
      <c r="N208" s="102"/>
      <c r="T208">
        <f t="shared" ref="T208:T233" si="7">IFERROR(VLOOKUP(A208,$U$12:$U$74,1,0),0)</f>
        <v>0</v>
      </c>
      <c r="AB208">
        <v>0</v>
      </c>
      <c r="AC208">
        <v>0</v>
      </c>
      <c r="AD208">
        <v>0</v>
      </c>
      <c r="AE208">
        <v>0</v>
      </c>
      <c r="AF208" t="e">
        <v>#N/A</v>
      </c>
      <c r="AG208" t="e">
        <v>#N/A</v>
      </c>
      <c r="AH208" t="e">
        <v>#N/A</v>
      </c>
      <c r="AI208" t="e">
        <v>#N/A</v>
      </c>
      <c r="AJ208" t="e">
        <v>#N/A</v>
      </c>
      <c r="AK208" t="e">
        <v>#N/A</v>
      </c>
      <c r="AL208" t="e">
        <v>#N/A</v>
      </c>
      <c r="AM208" t="e">
        <v>#N/A</v>
      </c>
      <c r="AN208" t="e">
        <v>#N/A</v>
      </c>
      <c r="AO208" t="e">
        <v>#N/A</v>
      </c>
      <c r="AP208" t="e">
        <v>#N/A</v>
      </c>
      <c r="AQ208" t="e">
        <v>#N/A</v>
      </c>
      <c r="AR208" t="e">
        <v>#N/A</v>
      </c>
      <c r="AS208" t="e">
        <v>#N/A</v>
      </c>
      <c r="AT208" t="e">
        <v>#N/A</v>
      </c>
      <c r="AU208" t="e">
        <v>#N/A</v>
      </c>
      <c r="AV208" t="e">
        <v>#N/A</v>
      </c>
      <c r="AW208" t="e">
        <v>#N/A</v>
      </c>
      <c r="AX208" t="e">
        <v>#N/A</v>
      </c>
      <c r="AY208" t="e">
        <v>#N/A</v>
      </c>
    </row>
    <row r="209" spans="1:51">
      <c r="A209" t="s">
        <v>223</v>
      </c>
      <c r="B209">
        <v>625</v>
      </c>
      <c r="C209">
        <v>620</v>
      </c>
      <c r="D209">
        <v>2.2000000000000002</v>
      </c>
      <c r="E209">
        <v>30417</v>
      </c>
      <c r="F209">
        <v>0</v>
      </c>
      <c r="G209">
        <v>145</v>
      </c>
      <c r="H209">
        <v>40</v>
      </c>
      <c r="I209">
        <v>80</v>
      </c>
      <c r="J209">
        <v>17.2</v>
      </c>
      <c r="K209">
        <v>17.2</v>
      </c>
      <c r="L209">
        <v>52.1</v>
      </c>
      <c r="M209">
        <v>40.799999999999997</v>
      </c>
      <c r="N209">
        <v>21.6</v>
      </c>
      <c r="T209" t="str">
        <f t="shared" si="7"/>
        <v>Hollow Water First Nation</v>
      </c>
      <c r="W209">
        <v>16718</v>
      </c>
      <c r="X209">
        <v>17330</v>
      </c>
      <c r="Y209">
        <v>15975</v>
      </c>
      <c r="Z209">
        <v>8736</v>
      </c>
      <c r="AA209">
        <v>9376</v>
      </c>
      <c r="AB209">
        <v>265</v>
      </c>
      <c r="AC209">
        <v>325</v>
      </c>
      <c r="AD209">
        <v>65</v>
      </c>
      <c r="AE209">
        <v>20</v>
      </c>
      <c r="AF209">
        <v>0.84599182794611216</v>
      </c>
      <c r="AG209">
        <v>0</v>
      </c>
      <c r="AH209">
        <v>0</v>
      </c>
      <c r="AI209">
        <v>0.84599182794611216</v>
      </c>
      <c r="AJ209">
        <v>0.84599182794611216</v>
      </c>
      <c r="AK209">
        <v>0</v>
      </c>
      <c r="AL209">
        <v>0</v>
      </c>
      <c r="AM209">
        <v>0.84599182794611216</v>
      </c>
      <c r="AN209">
        <v>0</v>
      </c>
      <c r="AO209">
        <v>0</v>
      </c>
      <c r="AP209">
        <v>0</v>
      </c>
      <c r="AQ209">
        <v>0.84599182794611216</v>
      </c>
      <c r="AR209">
        <v>0</v>
      </c>
      <c r="AS209">
        <v>0.84599182794611216</v>
      </c>
      <c r="AT209">
        <v>2.1149795698652807</v>
      </c>
      <c r="AU209">
        <v>2.5379754838383368</v>
      </c>
      <c r="AV209">
        <v>0</v>
      </c>
      <c r="AW209">
        <v>0</v>
      </c>
      <c r="AX209">
        <v>0</v>
      </c>
      <c r="AY209">
        <v>4.6529550537036171</v>
      </c>
    </row>
    <row r="210" spans="1:51">
      <c r="A210" t="s">
        <v>224</v>
      </c>
      <c r="B210">
        <v>45</v>
      </c>
      <c r="C210" s="102"/>
      <c r="D210" s="102"/>
      <c r="E210" s="102"/>
      <c r="F210" s="102"/>
      <c r="G210" s="102"/>
      <c r="H210" s="102"/>
      <c r="I210" s="102"/>
      <c r="J210" s="102"/>
      <c r="K210" s="102"/>
      <c r="L210" s="102"/>
      <c r="M210" s="102"/>
      <c r="N210" s="102"/>
      <c r="T210">
        <f t="shared" si="7"/>
        <v>0</v>
      </c>
      <c r="AB210">
        <v>0</v>
      </c>
      <c r="AC210">
        <v>0</v>
      </c>
      <c r="AD210">
        <v>0</v>
      </c>
      <c r="AE210">
        <v>0</v>
      </c>
      <c r="AF210" t="e">
        <v>#N/A</v>
      </c>
      <c r="AG210" t="e">
        <v>#N/A</v>
      </c>
      <c r="AH210" t="e">
        <v>#N/A</v>
      </c>
      <c r="AI210" t="e">
        <v>#N/A</v>
      </c>
      <c r="AJ210" t="e">
        <v>#N/A</v>
      </c>
      <c r="AK210" t="e">
        <v>#N/A</v>
      </c>
      <c r="AL210" t="e">
        <v>#N/A</v>
      </c>
      <c r="AM210" t="e">
        <v>#N/A</v>
      </c>
      <c r="AN210" t="e">
        <v>#N/A</v>
      </c>
      <c r="AO210" t="e">
        <v>#N/A</v>
      </c>
      <c r="AP210" t="e">
        <v>#N/A</v>
      </c>
      <c r="AQ210" t="e">
        <v>#N/A</v>
      </c>
      <c r="AR210" t="e">
        <v>#N/A</v>
      </c>
      <c r="AS210" t="e">
        <v>#N/A</v>
      </c>
      <c r="AT210" t="e">
        <v>#N/A</v>
      </c>
      <c r="AU210" t="e">
        <v>#N/A</v>
      </c>
      <c r="AV210" t="e">
        <v>#N/A</v>
      </c>
      <c r="AW210" t="e">
        <v>#N/A</v>
      </c>
      <c r="AX210" t="e">
        <v>#N/A</v>
      </c>
      <c r="AY210" t="e">
        <v>#N/A</v>
      </c>
    </row>
    <row r="211" spans="1:51">
      <c r="A211" t="s">
        <v>846</v>
      </c>
      <c r="B211" s="102"/>
      <c r="C211" s="102"/>
      <c r="D211" s="102"/>
      <c r="E211" s="102"/>
      <c r="F211" s="102"/>
      <c r="G211" s="102"/>
      <c r="H211" s="102"/>
      <c r="I211" s="102"/>
      <c r="J211" s="102"/>
      <c r="K211" s="102"/>
      <c r="L211" s="102"/>
      <c r="M211" s="102"/>
      <c r="N211" s="102"/>
      <c r="T211">
        <f t="shared" si="7"/>
        <v>0</v>
      </c>
      <c r="AB211">
        <v>0</v>
      </c>
      <c r="AC211">
        <v>0</v>
      </c>
      <c r="AD211">
        <v>0</v>
      </c>
      <c r="AE211">
        <v>0</v>
      </c>
      <c r="AF211" t="e">
        <v>#N/A</v>
      </c>
      <c r="AG211" t="e">
        <v>#N/A</v>
      </c>
      <c r="AH211" t="e">
        <v>#N/A</v>
      </c>
      <c r="AI211" t="e">
        <v>#N/A</v>
      </c>
      <c r="AJ211" t="e">
        <v>#N/A</v>
      </c>
      <c r="AK211" t="e">
        <v>#N/A</v>
      </c>
      <c r="AL211" t="e">
        <v>#N/A</v>
      </c>
      <c r="AM211" t="e">
        <v>#N/A</v>
      </c>
      <c r="AN211" t="e">
        <v>#N/A</v>
      </c>
      <c r="AO211" t="e">
        <v>#N/A</v>
      </c>
      <c r="AP211" t="e">
        <v>#N/A</v>
      </c>
      <c r="AQ211" t="e">
        <v>#N/A</v>
      </c>
      <c r="AR211" t="e">
        <v>#N/A</v>
      </c>
      <c r="AS211" t="e">
        <v>#N/A</v>
      </c>
      <c r="AT211" t="e">
        <v>#N/A</v>
      </c>
      <c r="AU211" t="e">
        <v>#N/A</v>
      </c>
      <c r="AV211" t="e">
        <v>#N/A</v>
      </c>
      <c r="AW211" t="e">
        <v>#N/A</v>
      </c>
      <c r="AX211" t="e">
        <v>#N/A</v>
      </c>
      <c r="AY211" t="e">
        <v>#N/A</v>
      </c>
    </row>
    <row r="212" spans="1:51">
      <c r="A212" t="s">
        <v>365</v>
      </c>
      <c r="B212">
        <v>143</v>
      </c>
      <c r="C212">
        <v>143</v>
      </c>
      <c r="D212">
        <v>1.7</v>
      </c>
      <c r="E212">
        <v>35093</v>
      </c>
      <c r="F212">
        <v>0</v>
      </c>
      <c r="G212">
        <v>40</v>
      </c>
      <c r="H212">
        <v>10</v>
      </c>
      <c r="I212">
        <v>10</v>
      </c>
      <c r="J212">
        <v>25</v>
      </c>
      <c r="K212">
        <v>50</v>
      </c>
      <c r="L212">
        <v>68.400000000000006</v>
      </c>
      <c r="M212">
        <v>68.400000000000006</v>
      </c>
      <c r="N212">
        <v>0</v>
      </c>
      <c r="T212">
        <f t="shared" si="7"/>
        <v>0</v>
      </c>
      <c r="W212">
        <v>14543</v>
      </c>
      <c r="X212">
        <v>14623</v>
      </c>
      <c r="Y212">
        <v>14449</v>
      </c>
      <c r="Z212">
        <v>13744</v>
      </c>
      <c r="AA212">
        <v>12320</v>
      </c>
      <c r="AB212">
        <v>35</v>
      </c>
      <c r="AC212">
        <v>70</v>
      </c>
      <c r="AD212">
        <v>20</v>
      </c>
      <c r="AE212">
        <v>0</v>
      </c>
      <c r="AF212" t="e">
        <v>#N/A</v>
      </c>
      <c r="AG212" t="e">
        <v>#N/A</v>
      </c>
      <c r="AH212" t="e">
        <v>#N/A</v>
      </c>
      <c r="AI212" t="e">
        <v>#N/A</v>
      </c>
      <c r="AJ212" t="e">
        <v>#N/A</v>
      </c>
      <c r="AK212" t="e">
        <v>#N/A</v>
      </c>
      <c r="AL212" t="e">
        <v>#N/A</v>
      </c>
      <c r="AM212" t="e">
        <v>#N/A</v>
      </c>
      <c r="AN212" t="e">
        <v>#N/A</v>
      </c>
      <c r="AO212" t="e">
        <v>#N/A</v>
      </c>
      <c r="AP212" t="e">
        <v>#N/A</v>
      </c>
      <c r="AQ212" t="e">
        <v>#N/A</v>
      </c>
      <c r="AR212" t="e">
        <v>#N/A</v>
      </c>
      <c r="AS212" t="e">
        <v>#N/A</v>
      </c>
      <c r="AT212" t="e">
        <v>#N/A</v>
      </c>
      <c r="AU212" t="e">
        <v>#N/A</v>
      </c>
      <c r="AV212" t="e">
        <v>#N/A</v>
      </c>
      <c r="AW212" t="e">
        <v>#N/A</v>
      </c>
      <c r="AX212" t="e">
        <v>#N/A</v>
      </c>
      <c r="AY212" t="e">
        <v>#N/A</v>
      </c>
    </row>
    <row r="213" spans="1:51">
      <c r="A213" t="s">
        <v>497</v>
      </c>
      <c r="B213">
        <v>80660</v>
      </c>
      <c r="C213">
        <v>79310</v>
      </c>
      <c r="D213">
        <v>1.1000000000000001</v>
      </c>
      <c r="E213">
        <v>63166</v>
      </c>
      <c r="F213">
        <v>7.2</v>
      </c>
      <c r="G213">
        <v>29835</v>
      </c>
      <c r="H213">
        <v>9510</v>
      </c>
      <c r="I213">
        <v>3550</v>
      </c>
      <c r="J213">
        <v>85.3</v>
      </c>
      <c r="K213">
        <v>13</v>
      </c>
      <c r="L213">
        <v>68.3</v>
      </c>
      <c r="M213">
        <v>64.3</v>
      </c>
      <c r="N213">
        <v>5.9</v>
      </c>
      <c r="T213">
        <f t="shared" si="7"/>
        <v>0</v>
      </c>
      <c r="AB213">
        <v>0</v>
      </c>
      <c r="AC213">
        <v>0</v>
      </c>
      <c r="AD213">
        <v>0</v>
      </c>
      <c r="AE213">
        <v>0</v>
      </c>
      <c r="AF213">
        <v>1.5816199998808802</v>
      </c>
      <c r="AG213">
        <v>4.4932386360252277E-2</v>
      </c>
      <c r="AH213">
        <v>0.22825652271008159</v>
      </c>
      <c r="AI213">
        <v>1.1251069544607171</v>
      </c>
      <c r="AJ213">
        <v>1.57443081806324</v>
      </c>
      <c r="AK213">
        <v>0.688364159039065</v>
      </c>
      <c r="AL213">
        <v>1.5582551589735492</v>
      </c>
      <c r="AM213">
        <v>1.0280529999225723</v>
      </c>
      <c r="AN213">
        <v>0.25162136361741277</v>
      </c>
      <c r="AO213">
        <v>0.4511211590569329</v>
      </c>
      <c r="AP213">
        <v>0.17793224998659904</v>
      </c>
      <c r="AQ213">
        <v>0.39720229542463015</v>
      </c>
      <c r="AR213">
        <v>1.2581068180870639E-2</v>
      </c>
      <c r="AS213">
        <v>0.45291845451134299</v>
      </c>
      <c r="AT213">
        <v>0.9525665908373484</v>
      </c>
      <c r="AU213">
        <v>1.9338899089452584</v>
      </c>
      <c r="AV213">
        <v>0.32890506815704673</v>
      </c>
      <c r="AW213">
        <v>0.83394509084628232</v>
      </c>
      <c r="AX213">
        <v>0.75306679539782828</v>
      </c>
      <c r="AY213">
        <v>1.0837691590092851</v>
      </c>
    </row>
    <row r="214" spans="1:51">
      <c r="A214" t="s">
        <v>757</v>
      </c>
      <c r="B214">
        <v>73680</v>
      </c>
      <c r="C214">
        <v>72370</v>
      </c>
      <c r="D214">
        <v>1.2</v>
      </c>
      <c r="E214">
        <v>55877</v>
      </c>
      <c r="F214">
        <v>7.8</v>
      </c>
      <c r="G214">
        <v>27400</v>
      </c>
      <c r="H214">
        <v>9070</v>
      </c>
      <c r="I214">
        <v>3855</v>
      </c>
      <c r="J214">
        <v>81.099999999999994</v>
      </c>
      <c r="K214">
        <v>13.9</v>
      </c>
      <c r="L214">
        <v>66.8</v>
      </c>
      <c r="M214">
        <v>61.6</v>
      </c>
      <c r="N214">
        <v>7.7</v>
      </c>
      <c r="T214">
        <f t="shared" si="7"/>
        <v>0</v>
      </c>
      <c r="W214">
        <v>25432</v>
      </c>
      <c r="X214">
        <v>30032</v>
      </c>
      <c r="Y214">
        <v>19927</v>
      </c>
      <c r="Z214">
        <v>25345</v>
      </c>
      <c r="AA214">
        <v>15282</v>
      </c>
      <c r="AB214">
        <v>16115</v>
      </c>
      <c r="AC214">
        <v>47510</v>
      </c>
      <c r="AD214">
        <v>18835</v>
      </c>
      <c r="AE214">
        <v>10050</v>
      </c>
      <c r="AF214">
        <v>1.8495347860966973</v>
      </c>
      <c r="AG214">
        <v>4.4763218145354604E-2</v>
      </c>
      <c r="AH214">
        <v>0.22381609072677305</v>
      </c>
      <c r="AI214">
        <v>1.1760518221824983</v>
      </c>
      <c r="AJ214">
        <v>1.462943356659544</v>
      </c>
      <c r="AK214">
        <v>0.59412998629288838</v>
      </c>
      <c r="AL214">
        <v>1.4873596574661008</v>
      </c>
      <c r="AM214">
        <v>0.95427042318960509</v>
      </c>
      <c r="AN214">
        <v>0.24212831633169085</v>
      </c>
      <c r="AO214">
        <v>0.40490365504207126</v>
      </c>
      <c r="AP214">
        <v>0.14039372963770311</v>
      </c>
      <c r="AQ214">
        <v>0.35200166996119764</v>
      </c>
      <c r="AR214">
        <v>8.1387669355190203E-3</v>
      </c>
      <c r="AS214">
        <v>0.44152810625190686</v>
      </c>
      <c r="AT214">
        <v>0.98886018266556086</v>
      </c>
      <c r="AU214">
        <v>1.985859132266641</v>
      </c>
      <c r="AV214">
        <v>0.32758536915464054</v>
      </c>
      <c r="AW214">
        <v>0.86067460343113633</v>
      </c>
      <c r="AX214">
        <v>0.7080727233901547</v>
      </c>
      <c r="AY214">
        <v>1.1434967544404222</v>
      </c>
    </row>
    <row r="215" spans="1:51">
      <c r="A215" t="s">
        <v>366</v>
      </c>
      <c r="B215">
        <v>59</v>
      </c>
      <c r="C215" s="102"/>
      <c r="D215" s="102"/>
      <c r="E215" s="102"/>
      <c r="F215" s="102"/>
      <c r="G215" s="102"/>
      <c r="H215" s="102"/>
      <c r="I215" s="102"/>
      <c r="J215" s="102"/>
      <c r="K215" s="102"/>
      <c r="L215" s="102"/>
      <c r="M215" s="102"/>
      <c r="N215" s="102"/>
      <c r="T215">
        <f t="shared" si="7"/>
        <v>0</v>
      </c>
      <c r="AB215">
        <v>0</v>
      </c>
      <c r="AC215">
        <v>0</v>
      </c>
      <c r="AD215">
        <v>0</v>
      </c>
      <c r="AE215">
        <v>0</v>
      </c>
      <c r="AF215" t="e">
        <v>#N/A</v>
      </c>
      <c r="AG215" t="e">
        <v>#N/A</v>
      </c>
      <c r="AH215" t="e">
        <v>#N/A</v>
      </c>
      <c r="AI215" t="e">
        <v>#N/A</v>
      </c>
      <c r="AJ215" t="e">
        <v>#N/A</v>
      </c>
      <c r="AK215" t="e">
        <v>#N/A</v>
      </c>
      <c r="AL215" t="e">
        <v>#N/A</v>
      </c>
      <c r="AM215" t="e">
        <v>#N/A</v>
      </c>
      <c r="AN215" t="e">
        <v>#N/A</v>
      </c>
      <c r="AO215" t="e">
        <v>#N/A</v>
      </c>
      <c r="AP215" t="e">
        <v>#N/A</v>
      </c>
      <c r="AQ215" t="e">
        <v>#N/A</v>
      </c>
      <c r="AR215" t="e">
        <v>#N/A</v>
      </c>
      <c r="AS215" t="e">
        <v>#N/A</v>
      </c>
      <c r="AT215" t="e">
        <v>#N/A</v>
      </c>
      <c r="AU215" t="e">
        <v>#N/A</v>
      </c>
      <c r="AV215" t="e">
        <v>#N/A</v>
      </c>
      <c r="AW215" t="e">
        <v>#N/A</v>
      </c>
      <c r="AX215" t="e">
        <v>#N/A</v>
      </c>
      <c r="AY215" t="e">
        <v>#N/A</v>
      </c>
    </row>
    <row r="216" spans="1:51">
      <c r="A216" t="s">
        <v>225</v>
      </c>
      <c r="B216">
        <v>400</v>
      </c>
      <c r="C216">
        <v>405</v>
      </c>
      <c r="D216">
        <v>2</v>
      </c>
      <c r="E216">
        <v>21532</v>
      </c>
      <c r="F216">
        <v>0</v>
      </c>
      <c r="G216">
        <v>115</v>
      </c>
      <c r="H216">
        <v>65</v>
      </c>
      <c r="I216">
        <v>20</v>
      </c>
      <c r="J216">
        <v>0</v>
      </c>
      <c r="K216">
        <v>0</v>
      </c>
      <c r="L216">
        <v>45.8</v>
      </c>
      <c r="M216">
        <v>33.299999999999997</v>
      </c>
      <c r="N216">
        <v>27.3</v>
      </c>
      <c r="T216" t="str">
        <f t="shared" si="7"/>
        <v>Keeseekoowenin First Nation</v>
      </c>
      <c r="W216">
        <v>11024</v>
      </c>
      <c r="X216">
        <v>10371</v>
      </c>
      <c r="Y216">
        <v>11708</v>
      </c>
      <c r="Z216">
        <v>8176</v>
      </c>
      <c r="AA216">
        <v>9568</v>
      </c>
      <c r="AB216">
        <v>165</v>
      </c>
      <c r="AC216">
        <v>210</v>
      </c>
      <c r="AD216">
        <v>20</v>
      </c>
      <c r="AE216">
        <v>40</v>
      </c>
      <c r="AF216">
        <v>0</v>
      </c>
      <c r="AG216">
        <v>0</v>
      </c>
      <c r="AH216">
        <v>0</v>
      </c>
      <c r="AI216">
        <v>2.1342066568640554</v>
      </c>
      <c r="AJ216">
        <v>1.4228044379093705</v>
      </c>
      <c r="AK216">
        <v>0</v>
      </c>
      <c r="AL216">
        <v>1.4228044379093705</v>
      </c>
      <c r="AM216">
        <v>0</v>
      </c>
      <c r="AN216">
        <v>0</v>
      </c>
      <c r="AO216">
        <v>0</v>
      </c>
      <c r="AP216">
        <v>0</v>
      </c>
      <c r="AQ216">
        <v>0</v>
      </c>
      <c r="AR216">
        <v>0</v>
      </c>
      <c r="AS216">
        <v>0</v>
      </c>
      <c r="AT216">
        <v>1.4228044379093705</v>
      </c>
      <c r="AU216">
        <v>3.5570110947734261</v>
      </c>
      <c r="AV216">
        <v>0</v>
      </c>
      <c r="AW216">
        <v>1.4228044379093705</v>
      </c>
      <c r="AX216">
        <v>1.4228044379093705</v>
      </c>
      <c r="AY216">
        <v>2.1342066568640554</v>
      </c>
    </row>
    <row r="217" spans="1:51">
      <c r="A217" t="s">
        <v>495</v>
      </c>
      <c r="B217">
        <v>2480</v>
      </c>
      <c r="C217">
        <v>2480</v>
      </c>
      <c r="D217">
        <v>1.2</v>
      </c>
      <c r="E217">
        <v>59173</v>
      </c>
      <c r="F217">
        <v>15.3</v>
      </c>
      <c r="G217">
        <v>890</v>
      </c>
      <c r="H217">
        <v>420</v>
      </c>
      <c r="I217">
        <v>165</v>
      </c>
      <c r="J217">
        <v>70.8</v>
      </c>
      <c r="K217">
        <v>29.8</v>
      </c>
      <c r="L217">
        <v>71.400000000000006</v>
      </c>
      <c r="M217">
        <v>62.6</v>
      </c>
      <c r="N217">
        <v>12</v>
      </c>
      <c r="T217">
        <f t="shared" si="7"/>
        <v>0</v>
      </c>
      <c r="W217">
        <v>27837</v>
      </c>
      <c r="X217">
        <v>34422</v>
      </c>
      <c r="Y217">
        <v>20889</v>
      </c>
      <c r="Z217">
        <v>28960</v>
      </c>
      <c r="AA217">
        <v>12521</v>
      </c>
      <c r="AB217">
        <v>550</v>
      </c>
      <c r="AC217">
        <v>1775</v>
      </c>
      <c r="AD217">
        <v>705</v>
      </c>
      <c r="AE217">
        <v>150</v>
      </c>
      <c r="AF217">
        <v>1.7073653254912444</v>
      </c>
      <c r="AG217">
        <v>0.45529742013099855</v>
      </c>
      <c r="AH217">
        <v>0</v>
      </c>
      <c r="AI217">
        <v>0.51220959764737339</v>
      </c>
      <c r="AJ217">
        <v>2.0488383905894936</v>
      </c>
      <c r="AK217">
        <v>0.11382435503274964</v>
      </c>
      <c r="AL217">
        <v>1.6504531479748696</v>
      </c>
      <c r="AM217">
        <v>0.967507017778372</v>
      </c>
      <c r="AN217">
        <v>0.11382435503274964</v>
      </c>
      <c r="AO217">
        <v>0.39838524261462377</v>
      </c>
      <c r="AP217">
        <v>0.11382435503274964</v>
      </c>
      <c r="AQ217">
        <v>0.11382435503274964</v>
      </c>
      <c r="AR217">
        <v>0</v>
      </c>
      <c r="AS217">
        <v>0.79677048522924754</v>
      </c>
      <c r="AT217">
        <v>2.0488383905894936</v>
      </c>
      <c r="AU217">
        <v>1.4797166154257453</v>
      </c>
      <c r="AV217">
        <v>0.39838524261462377</v>
      </c>
      <c r="AW217">
        <v>1.0244191952947468</v>
      </c>
      <c r="AX217">
        <v>0.28456088758187409</v>
      </c>
      <c r="AY217">
        <v>1.0813313728111216</v>
      </c>
    </row>
    <row r="218" spans="1:51">
      <c r="A218" t="s">
        <v>367</v>
      </c>
      <c r="B218" s="102"/>
      <c r="C218" s="102"/>
      <c r="D218" s="102"/>
      <c r="E218" s="102"/>
      <c r="F218" s="102"/>
      <c r="G218" s="102"/>
      <c r="H218" s="102"/>
      <c r="I218" s="102"/>
      <c r="J218" s="102"/>
      <c r="K218" s="102"/>
      <c r="L218" s="102"/>
      <c r="M218" s="102"/>
      <c r="N218" s="102"/>
      <c r="T218">
        <f t="shared" si="7"/>
        <v>0</v>
      </c>
      <c r="AB218">
        <v>0</v>
      </c>
      <c r="AC218">
        <v>0</v>
      </c>
      <c r="AD218">
        <v>0</v>
      </c>
      <c r="AE218">
        <v>0</v>
      </c>
      <c r="AF218" t="e">
        <v>#N/A</v>
      </c>
      <c r="AG218" t="e">
        <v>#N/A</v>
      </c>
      <c r="AH218" t="e">
        <v>#N/A</v>
      </c>
      <c r="AI218" t="e">
        <v>#N/A</v>
      </c>
      <c r="AJ218" t="e">
        <v>#N/A</v>
      </c>
      <c r="AK218" t="e">
        <v>#N/A</v>
      </c>
      <c r="AL218" t="e">
        <v>#N/A</v>
      </c>
      <c r="AM218" t="e">
        <v>#N/A</v>
      </c>
      <c r="AN218" t="e">
        <v>#N/A</v>
      </c>
      <c r="AO218" t="e">
        <v>#N/A</v>
      </c>
      <c r="AP218" t="e">
        <v>#N/A</v>
      </c>
      <c r="AQ218" t="e">
        <v>#N/A</v>
      </c>
      <c r="AR218" t="e">
        <v>#N/A</v>
      </c>
      <c r="AS218" t="e">
        <v>#N/A</v>
      </c>
      <c r="AT218" t="e">
        <v>#N/A</v>
      </c>
      <c r="AU218" t="e">
        <v>#N/A</v>
      </c>
      <c r="AV218" t="e">
        <v>#N/A</v>
      </c>
      <c r="AW218" t="e">
        <v>#N/A</v>
      </c>
      <c r="AX218" t="e">
        <v>#N/A</v>
      </c>
      <c r="AY218" t="e">
        <v>#N/A</v>
      </c>
    </row>
    <row r="219" spans="1:51">
      <c r="A219" t="s">
        <v>368</v>
      </c>
      <c r="B219" s="102"/>
      <c r="C219" s="102"/>
      <c r="D219" s="102"/>
      <c r="E219" s="102"/>
      <c r="F219" s="102"/>
      <c r="G219" s="102"/>
      <c r="H219" s="102"/>
      <c r="I219" s="102"/>
      <c r="J219" s="102"/>
      <c r="K219" s="102"/>
      <c r="L219" s="102"/>
      <c r="M219" s="102"/>
      <c r="N219" s="102"/>
      <c r="T219">
        <f t="shared" si="7"/>
        <v>0</v>
      </c>
      <c r="AB219">
        <v>0</v>
      </c>
      <c r="AC219">
        <v>0</v>
      </c>
      <c r="AD219">
        <v>0</v>
      </c>
      <c r="AE219">
        <v>0</v>
      </c>
      <c r="AF219" t="e">
        <v>#N/A</v>
      </c>
      <c r="AG219" t="e">
        <v>#N/A</v>
      </c>
      <c r="AH219" t="e">
        <v>#N/A</v>
      </c>
      <c r="AI219" t="e">
        <v>#N/A</v>
      </c>
      <c r="AJ219" t="e">
        <v>#N/A</v>
      </c>
      <c r="AK219" t="e">
        <v>#N/A</v>
      </c>
      <c r="AL219" t="e">
        <v>#N/A</v>
      </c>
      <c r="AM219" t="e">
        <v>#N/A</v>
      </c>
      <c r="AN219" t="e">
        <v>#N/A</v>
      </c>
      <c r="AO219" t="e">
        <v>#N/A</v>
      </c>
      <c r="AP219" t="e">
        <v>#N/A</v>
      </c>
      <c r="AQ219" t="e">
        <v>#N/A</v>
      </c>
      <c r="AR219" t="e">
        <v>#N/A</v>
      </c>
      <c r="AS219" t="e">
        <v>#N/A</v>
      </c>
      <c r="AT219" t="e">
        <v>#N/A</v>
      </c>
      <c r="AU219" t="e">
        <v>#N/A</v>
      </c>
      <c r="AV219" t="e">
        <v>#N/A</v>
      </c>
      <c r="AW219" t="e">
        <v>#N/A</v>
      </c>
      <c r="AX219" t="e">
        <v>#N/A</v>
      </c>
      <c r="AY219" t="e">
        <v>#N/A</v>
      </c>
    </row>
    <row r="220" spans="1:51">
      <c r="A220" t="s">
        <v>562</v>
      </c>
      <c r="B220" s="102"/>
      <c r="C220" s="102"/>
      <c r="D220" s="102"/>
      <c r="E220" s="102"/>
      <c r="F220" s="102"/>
      <c r="G220" s="102"/>
      <c r="H220" s="102"/>
      <c r="I220" s="102"/>
      <c r="J220" s="102"/>
      <c r="K220" s="102"/>
      <c r="L220" s="102"/>
      <c r="M220" s="102"/>
      <c r="N220" s="102"/>
      <c r="T220">
        <f t="shared" si="7"/>
        <v>0</v>
      </c>
      <c r="AB220">
        <v>0</v>
      </c>
      <c r="AC220">
        <v>0</v>
      </c>
      <c r="AD220">
        <v>0</v>
      </c>
      <c r="AE220">
        <v>0</v>
      </c>
      <c r="AF220" t="e">
        <v>#N/A</v>
      </c>
      <c r="AG220" t="e">
        <v>#N/A</v>
      </c>
      <c r="AH220" t="e">
        <v>#N/A</v>
      </c>
      <c r="AI220" t="e">
        <v>#N/A</v>
      </c>
      <c r="AJ220" t="e">
        <v>#N/A</v>
      </c>
      <c r="AK220" t="e">
        <v>#N/A</v>
      </c>
      <c r="AL220" t="e">
        <v>#N/A</v>
      </c>
      <c r="AM220" t="e">
        <v>#N/A</v>
      </c>
      <c r="AN220" t="e">
        <v>#N/A</v>
      </c>
      <c r="AO220" t="e">
        <v>#N/A</v>
      </c>
      <c r="AP220" t="e">
        <v>#N/A</v>
      </c>
      <c r="AQ220" t="e">
        <v>#N/A</v>
      </c>
      <c r="AR220" t="e">
        <v>#N/A</v>
      </c>
      <c r="AS220" t="e">
        <v>#N/A</v>
      </c>
      <c r="AT220" t="e">
        <v>#N/A</v>
      </c>
      <c r="AU220" t="e">
        <v>#N/A</v>
      </c>
      <c r="AV220" t="e">
        <v>#N/A</v>
      </c>
      <c r="AW220" t="e">
        <v>#N/A</v>
      </c>
      <c r="AX220" t="e">
        <v>#N/A</v>
      </c>
      <c r="AY220" t="e">
        <v>#N/A</v>
      </c>
    </row>
    <row r="221" spans="1:51">
      <c r="A221" t="s">
        <v>369</v>
      </c>
      <c r="B221">
        <v>2165</v>
      </c>
      <c r="C221">
        <v>2165</v>
      </c>
      <c r="D221">
        <v>0.9</v>
      </c>
      <c r="E221">
        <v>54020</v>
      </c>
      <c r="F221">
        <v>8.1</v>
      </c>
      <c r="G221">
        <v>990</v>
      </c>
      <c r="H221">
        <v>245</v>
      </c>
      <c r="I221">
        <v>110</v>
      </c>
      <c r="J221">
        <v>71.7</v>
      </c>
      <c r="K221">
        <v>27.8</v>
      </c>
      <c r="L221">
        <v>55.7</v>
      </c>
      <c r="M221">
        <v>52.9</v>
      </c>
      <c r="N221">
        <v>5.0999999999999996</v>
      </c>
      <c r="T221">
        <f t="shared" si="7"/>
        <v>0</v>
      </c>
      <c r="W221">
        <v>26081</v>
      </c>
      <c r="X221">
        <v>29272</v>
      </c>
      <c r="Y221">
        <v>22276</v>
      </c>
      <c r="Z221">
        <v>25449</v>
      </c>
      <c r="AA221">
        <v>15732</v>
      </c>
      <c r="AB221">
        <v>410</v>
      </c>
      <c r="AC221">
        <v>1140</v>
      </c>
      <c r="AD221">
        <v>450</v>
      </c>
      <c r="AE221">
        <v>605</v>
      </c>
      <c r="AF221">
        <v>1.2039114474617751</v>
      </c>
      <c r="AG221">
        <v>0</v>
      </c>
      <c r="AH221">
        <v>0</v>
      </c>
      <c r="AI221">
        <v>1.4446937369541302</v>
      </c>
      <c r="AJ221">
        <v>0.80260763164118332</v>
      </c>
      <c r="AK221">
        <v>0.80260763164118332</v>
      </c>
      <c r="AL221">
        <v>2.3275621317594317</v>
      </c>
      <c r="AM221">
        <v>1.0433899211335382</v>
      </c>
      <c r="AN221">
        <v>0.24078228949235503</v>
      </c>
      <c r="AO221">
        <v>0.32104305265647332</v>
      </c>
      <c r="AP221">
        <v>0</v>
      </c>
      <c r="AQ221">
        <v>0.40130381582059166</v>
      </c>
      <c r="AR221">
        <v>0</v>
      </c>
      <c r="AS221">
        <v>0.16052152632823666</v>
      </c>
      <c r="AT221">
        <v>1.5249545001182483</v>
      </c>
      <c r="AU221">
        <v>2.4880836580876684</v>
      </c>
      <c r="AV221">
        <v>0.24078228949235503</v>
      </c>
      <c r="AW221">
        <v>0.80260763164118332</v>
      </c>
      <c r="AX221">
        <v>0.80260763164118332</v>
      </c>
      <c r="AY221">
        <v>0.80260763164118332</v>
      </c>
    </row>
    <row r="222" spans="1:51">
      <c r="A222" t="s">
        <v>226</v>
      </c>
      <c r="B222">
        <v>165</v>
      </c>
      <c r="C222">
        <v>160</v>
      </c>
      <c r="D222">
        <v>2</v>
      </c>
      <c r="E222">
        <v>24230</v>
      </c>
      <c r="F222">
        <v>0</v>
      </c>
      <c r="G222">
        <v>30</v>
      </c>
      <c r="H222">
        <v>10</v>
      </c>
      <c r="I222">
        <v>10</v>
      </c>
      <c r="J222">
        <v>33.299999999999997</v>
      </c>
      <c r="K222">
        <v>0</v>
      </c>
      <c r="L222">
        <v>57.9</v>
      </c>
      <c r="M222">
        <v>26.3</v>
      </c>
      <c r="N222">
        <v>54.5</v>
      </c>
      <c r="T222" t="str">
        <f t="shared" si="7"/>
        <v>Kinonjeoshtegon First Nation</v>
      </c>
      <c r="W222">
        <v>12826</v>
      </c>
      <c r="X222">
        <v>13343</v>
      </c>
      <c r="Y222">
        <v>12264</v>
      </c>
      <c r="Z222">
        <v>8672</v>
      </c>
      <c r="AA222">
        <v>4352</v>
      </c>
      <c r="AB222">
        <v>65</v>
      </c>
      <c r="AC222">
        <v>75</v>
      </c>
      <c r="AD222">
        <v>0</v>
      </c>
      <c r="AE222">
        <v>0</v>
      </c>
      <c r="AF222">
        <v>2.845608875818741</v>
      </c>
      <c r="AG222">
        <v>0</v>
      </c>
      <c r="AH222">
        <v>0</v>
      </c>
      <c r="AI222">
        <v>0</v>
      </c>
      <c r="AJ222">
        <v>0</v>
      </c>
      <c r="AK222">
        <v>0</v>
      </c>
      <c r="AL222">
        <v>0</v>
      </c>
      <c r="AM222">
        <v>0</v>
      </c>
      <c r="AN222">
        <v>0</v>
      </c>
      <c r="AO222">
        <v>0</v>
      </c>
      <c r="AP222">
        <v>0</v>
      </c>
      <c r="AQ222">
        <v>0</v>
      </c>
      <c r="AR222">
        <v>0</v>
      </c>
      <c r="AS222">
        <v>0</v>
      </c>
      <c r="AT222">
        <v>2.845608875818741</v>
      </c>
      <c r="AU222">
        <v>2.845608875818741</v>
      </c>
      <c r="AV222">
        <v>0</v>
      </c>
      <c r="AW222">
        <v>0</v>
      </c>
      <c r="AX222">
        <v>0</v>
      </c>
      <c r="AY222">
        <v>2.845608875818741</v>
      </c>
    </row>
    <row r="223" spans="1:51">
      <c r="A223" t="s">
        <v>371</v>
      </c>
      <c r="B223">
        <v>2880</v>
      </c>
      <c r="C223">
        <v>2875</v>
      </c>
      <c r="D223">
        <v>1.5</v>
      </c>
      <c r="E223">
        <v>50332</v>
      </c>
      <c r="F223">
        <v>9.1999999999999993</v>
      </c>
      <c r="G223">
        <v>900</v>
      </c>
      <c r="H223">
        <v>260</v>
      </c>
      <c r="I223">
        <v>70</v>
      </c>
      <c r="J223">
        <v>83.9</v>
      </c>
      <c r="K223">
        <v>16.100000000000001</v>
      </c>
      <c r="L223">
        <v>72.2</v>
      </c>
      <c r="M223">
        <v>69.099999999999994</v>
      </c>
      <c r="N223">
        <v>4.2</v>
      </c>
      <c r="T223">
        <f t="shared" si="7"/>
        <v>0</v>
      </c>
      <c r="W223">
        <v>23519</v>
      </c>
      <c r="X223">
        <v>27595</v>
      </c>
      <c r="Y223">
        <v>18143</v>
      </c>
      <c r="Z223">
        <v>23856</v>
      </c>
      <c r="AA223">
        <v>14174</v>
      </c>
      <c r="AB223">
        <v>900</v>
      </c>
      <c r="AC223">
        <v>1745</v>
      </c>
      <c r="AD223">
        <v>585</v>
      </c>
      <c r="AE223">
        <v>210</v>
      </c>
      <c r="AF223">
        <v>3.1850850224076432</v>
      </c>
      <c r="AG223">
        <v>0.21966103602811335</v>
      </c>
      <c r="AH223">
        <v>0</v>
      </c>
      <c r="AI223">
        <v>1.5925425112038216</v>
      </c>
      <c r="AJ223">
        <v>2.1966103602811331</v>
      </c>
      <c r="AK223">
        <v>0.6040678490773117</v>
      </c>
      <c r="AL223">
        <v>1.3728814751757084</v>
      </c>
      <c r="AM223">
        <v>1.0983051801405666</v>
      </c>
      <c r="AN223">
        <v>0</v>
      </c>
      <c r="AO223">
        <v>0.32949155404217001</v>
      </c>
      <c r="AP223">
        <v>0</v>
      </c>
      <c r="AQ223">
        <v>0</v>
      </c>
      <c r="AR223">
        <v>0</v>
      </c>
      <c r="AS223">
        <v>0.32949155404217001</v>
      </c>
      <c r="AT223">
        <v>1.0433899211335382</v>
      </c>
      <c r="AU223">
        <v>1.2630509571616517</v>
      </c>
      <c r="AV223">
        <v>0</v>
      </c>
      <c r="AW223">
        <v>1.0433899211335382</v>
      </c>
      <c r="AX223">
        <v>0.6040678490773117</v>
      </c>
      <c r="AY223">
        <v>0.4393220720562267</v>
      </c>
    </row>
    <row r="224" spans="1:51">
      <c r="A224" s="83" t="s">
        <v>374</v>
      </c>
      <c r="B224">
        <v>1060</v>
      </c>
      <c r="C224">
        <v>1055</v>
      </c>
      <c r="D224">
        <v>0.9</v>
      </c>
      <c r="E224">
        <v>51170</v>
      </c>
      <c r="F224">
        <v>11.1</v>
      </c>
      <c r="G224">
        <v>505</v>
      </c>
      <c r="H224">
        <v>120</v>
      </c>
      <c r="I224">
        <v>50</v>
      </c>
      <c r="J224">
        <v>65.3</v>
      </c>
      <c r="K224">
        <v>34.700000000000003</v>
      </c>
      <c r="L224">
        <v>49.4</v>
      </c>
      <c r="M224">
        <v>46.6</v>
      </c>
      <c r="N224">
        <v>5.8</v>
      </c>
      <c r="T224">
        <f t="shared" si="7"/>
        <v>0</v>
      </c>
      <c r="W224">
        <v>27323</v>
      </c>
      <c r="X224">
        <v>39145</v>
      </c>
      <c r="Y224">
        <v>16820</v>
      </c>
      <c r="Z224">
        <v>33109</v>
      </c>
      <c r="AA224">
        <v>14133</v>
      </c>
      <c r="AB224">
        <v>190</v>
      </c>
      <c r="AC224">
        <v>595</v>
      </c>
      <c r="AD224">
        <v>255</v>
      </c>
      <c r="AE224">
        <v>270</v>
      </c>
      <c r="AF224">
        <v>0</v>
      </c>
      <c r="AG224">
        <v>2.001852755663184</v>
      </c>
      <c r="AH224">
        <v>0.90993307075599272</v>
      </c>
      <c r="AI224">
        <v>0</v>
      </c>
      <c r="AJ224">
        <v>0.54595984245359563</v>
      </c>
      <c r="AK224">
        <v>0</v>
      </c>
      <c r="AL224">
        <v>2.3658259839655811</v>
      </c>
      <c r="AM224">
        <v>0.54595984245359563</v>
      </c>
      <c r="AN224">
        <v>0</v>
      </c>
      <c r="AO224">
        <v>0</v>
      </c>
      <c r="AP224">
        <v>0</v>
      </c>
      <c r="AQ224">
        <v>0.36397322830239709</v>
      </c>
      <c r="AR224">
        <v>0</v>
      </c>
      <c r="AS224">
        <v>0.36397322830239709</v>
      </c>
      <c r="AT224">
        <v>1.0919196849071913</v>
      </c>
      <c r="AU224">
        <v>1.6378795273607871</v>
      </c>
      <c r="AV224">
        <v>0</v>
      </c>
      <c r="AW224">
        <v>2.1838393698143825</v>
      </c>
      <c r="AX224">
        <v>0.36397322830239709</v>
      </c>
      <c r="AY224">
        <v>1.8198661415119854</v>
      </c>
    </row>
    <row r="225" spans="1:51">
      <c r="A225" s="82" t="s">
        <v>778</v>
      </c>
      <c r="B225">
        <v>2390</v>
      </c>
      <c r="C225">
        <v>2285</v>
      </c>
      <c r="D225">
        <v>0.8</v>
      </c>
      <c r="E225">
        <v>53989</v>
      </c>
      <c r="F225">
        <v>12.7</v>
      </c>
      <c r="G225">
        <v>945</v>
      </c>
      <c r="H225">
        <v>335</v>
      </c>
      <c r="I225">
        <v>150</v>
      </c>
      <c r="J225">
        <v>88.4</v>
      </c>
      <c r="K225">
        <v>11.1</v>
      </c>
      <c r="L225">
        <v>58.7</v>
      </c>
      <c r="M225">
        <v>54.9</v>
      </c>
      <c r="N225">
        <v>6</v>
      </c>
      <c r="T225">
        <f t="shared" si="7"/>
        <v>0</v>
      </c>
      <c r="W225">
        <v>24695</v>
      </c>
      <c r="X225">
        <v>29638</v>
      </c>
      <c r="Y225">
        <v>18571</v>
      </c>
      <c r="Z225">
        <v>28981</v>
      </c>
      <c r="AA225">
        <v>13631</v>
      </c>
      <c r="AB225">
        <v>405</v>
      </c>
      <c r="AC225">
        <v>1580</v>
      </c>
      <c r="AD225">
        <v>810</v>
      </c>
      <c r="AE225">
        <v>390</v>
      </c>
      <c r="AF225">
        <v>2.485327923730102</v>
      </c>
      <c r="AG225">
        <v>1.074736399450855</v>
      </c>
      <c r="AH225">
        <v>0.73888127462246278</v>
      </c>
      <c r="AI225">
        <v>1.5449335742106038</v>
      </c>
      <c r="AJ225">
        <v>1.209078449382212</v>
      </c>
      <c r="AK225">
        <v>0</v>
      </c>
      <c r="AL225">
        <v>1.9479597240046747</v>
      </c>
      <c r="AM225">
        <v>0.80605229958814117</v>
      </c>
      <c r="AN225">
        <v>0.20151307489703529</v>
      </c>
      <c r="AO225">
        <v>0.13434204993135687</v>
      </c>
      <c r="AP225">
        <v>0.13434204993135687</v>
      </c>
      <c r="AQ225">
        <v>0.47019717475974904</v>
      </c>
      <c r="AR225">
        <v>0</v>
      </c>
      <c r="AS225">
        <v>0.33585512482839219</v>
      </c>
      <c r="AT225">
        <v>0.47019717475974904</v>
      </c>
      <c r="AU225">
        <v>1.6792756241419609</v>
      </c>
      <c r="AV225">
        <v>0.13434204993135687</v>
      </c>
      <c r="AW225">
        <v>0.47019717475974904</v>
      </c>
      <c r="AX225">
        <v>0.53736819972542749</v>
      </c>
      <c r="AY225">
        <v>0.87322332455381968</v>
      </c>
    </row>
    <row r="226" spans="1:51">
      <c r="A226" t="s">
        <v>227</v>
      </c>
      <c r="B226">
        <v>650</v>
      </c>
      <c r="C226">
        <v>650</v>
      </c>
      <c r="D226">
        <v>1.8</v>
      </c>
      <c r="E226">
        <v>23210</v>
      </c>
      <c r="F226">
        <v>0</v>
      </c>
      <c r="G226">
        <v>170</v>
      </c>
      <c r="H226">
        <v>45</v>
      </c>
      <c r="I226">
        <v>100</v>
      </c>
      <c r="J226">
        <v>5.9</v>
      </c>
      <c r="K226">
        <v>5.9</v>
      </c>
      <c r="L226">
        <v>51.9</v>
      </c>
      <c r="M226">
        <v>33.299999999999997</v>
      </c>
      <c r="N226">
        <v>35.700000000000003</v>
      </c>
      <c r="T226" t="str">
        <f t="shared" si="7"/>
        <v>Lake Manitoba First Nation</v>
      </c>
      <c r="W226">
        <v>13684</v>
      </c>
      <c r="X226">
        <v>13791</v>
      </c>
      <c r="Y226">
        <v>13565</v>
      </c>
      <c r="Z226">
        <v>5989</v>
      </c>
      <c r="AA226">
        <v>8224</v>
      </c>
      <c r="AB226">
        <v>245</v>
      </c>
      <c r="AC226">
        <v>385</v>
      </c>
      <c r="AD226">
        <v>90</v>
      </c>
      <c r="AE226">
        <v>30</v>
      </c>
      <c r="AF226">
        <v>1.1179177726430767</v>
      </c>
      <c r="AG226">
        <v>0</v>
      </c>
      <c r="AH226">
        <v>0</v>
      </c>
      <c r="AI226">
        <v>1.4905570301907689</v>
      </c>
      <c r="AJ226">
        <v>0</v>
      </c>
      <c r="AK226">
        <v>0</v>
      </c>
      <c r="AL226">
        <v>0.74527851509538445</v>
      </c>
      <c r="AM226">
        <v>0</v>
      </c>
      <c r="AN226">
        <v>0</v>
      </c>
      <c r="AO226">
        <v>0</v>
      </c>
      <c r="AP226">
        <v>0</v>
      </c>
      <c r="AQ226">
        <v>0</v>
      </c>
      <c r="AR226">
        <v>0</v>
      </c>
      <c r="AS226">
        <v>0.74527851509538445</v>
      </c>
      <c r="AT226">
        <v>1.8631962877384611</v>
      </c>
      <c r="AU226">
        <v>2.2358355452861534</v>
      </c>
      <c r="AV226">
        <v>0.74527851509538445</v>
      </c>
      <c r="AW226">
        <v>0</v>
      </c>
      <c r="AX226">
        <v>0</v>
      </c>
      <c r="AY226">
        <v>2.9811140603815378</v>
      </c>
    </row>
    <row r="227" spans="1:51">
      <c r="A227" t="s">
        <v>228</v>
      </c>
      <c r="B227">
        <v>545</v>
      </c>
      <c r="C227">
        <v>550</v>
      </c>
      <c r="D227">
        <v>2.2000000000000002</v>
      </c>
      <c r="E227">
        <v>24763</v>
      </c>
      <c r="F227">
        <v>0</v>
      </c>
      <c r="G227">
        <v>145</v>
      </c>
      <c r="H227">
        <v>45</v>
      </c>
      <c r="I227">
        <v>85</v>
      </c>
      <c r="J227">
        <v>27.6</v>
      </c>
      <c r="K227">
        <v>6.9</v>
      </c>
      <c r="L227">
        <v>52.9</v>
      </c>
      <c r="M227">
        <v>36.799999999999997</v>
      </c>
      <c r="N227">
        <v>27.8</v>
      </c>
      <c r="T227" t="str">
        <f t="shared" si="7"/>
        <v>Lake St. Martin First Nation</v>
      </c>
      <c r="W227">
        <v>11611</v>
      </c>
      <c r="X227">
        <v>12098</v>
      </c>
      <c r="Y227">
        <v>10865</v>
      </c>
      <c r="Z227">
        <v>8144</v>
      </c>
      <c r="AA227">
        <v>7200</v>
      </c>
      <c r="AB227">
        <v>215</v>
      </c>
      <c r="AC227">
        <v>330</v>
      </c>
      <c r="AD227">
        <v>75</v>
      </c>
      <c r="AE227">
        <v>25</v>
      </c>
      <c r="AF227">
        <v>1.3042374014169229</v>
      </c>
      <c r="AG227">
        <v>0</v>
      </c>
      <c r="AH227">
        <v>0</v>
      </c>
      <c r="AI227">
        <v>0</v>
      </c>
      <c r="AJ227">
        <v>0</v>
      </c>
      <c r="AK227">
        <v>0</v>
      </c>
      <c r="AL227">
        <v>0</v>
      </c>
      <c r="AM227">
        <v>0</v>
      </c>
      <c r="AN227">
        <v>0</v>
      </c>
      <c r="AO227">
        <v>0</v>
      </c>
      <c r="AP227">
        <v>0</v>
      </c>
      <c r="AQ227">
        <v>0</v>
      </c>
      <c r="AR227">
        <v>0</v>
      </c>
      <c r="AS227">
        <v>0.86949160094461519</v>
      </c>
      <c r="AT227">
        <v>1.3042374014169229</v>
      </c>
      <c r="AU227">
        <v>2.6084748028338458</v>
      </c>
      <c r="AV227">
        <v>0</v>
      </c>
      <c r="AW227">
        <v>0</v>
      </c>
      <c r="AX227">
        <v>0.86949160094461519</v>
      </c>
      <c r="AY227">
        <v>5.2169496056676916</v>
      </c>
    </row>
    <row r="228" spans="1:51">
      <c r="A228" t="s">
        <v>647</v>
      </c>
      <c r="B228">
        <v>385</v>
      </c>
      <c r="C228">
        <v>380</v>
      </c>
      <c r="D228">
        <v>1</v>
      </c>
      <c r="E228">
        <v>53864</v>
      </c>
      <c r="F228">
        <v>0</v>
      </c>
      <c r="G228">
        <v>150</v>
      </c>
      <c r="H228">
        <v>60</v>
      </c>
      <c r="I228">
        <v>20</v>
      </c>
      <c r="J228">
        <v>80</v>
      </c>
      <c r="K228">
        <v>20</v>
      </c>
      <c r="L228">
        <v>77.8</v>
      </c>
      <c r="M228">
        <v>76.2</v>
      </c>
      <c r="N228">
        <v>4.0999999999999996</v>
      </c>
      <c r="T228">
        <f t="shared" si="7"/>
        <v>0</v>
      </c>
      <c r="W228">
        <v>22540</v>
      </c>
      <c r="X228">
        <v>24769</v>
      </c>
      <c r="Y228">
        <v>19257</v>
      </c>
      <c r="Z228">
        <v>17685</v>
      </c>
      <c r="AA228">
        <v>14176</v>
      </c>
      <c r="AB228">
        <v>70</v>
      </c>
      <c r="AC228">
        <v>245</v>
      </c>
      <c r="AD228">
        <v>135</v>
      </c>
      <c r="AE228">
        <v>50</v>
      </c>
      <c r="AF228">
        <v>6.5733565031412917</v>
      </c>
      <c r="AG228">
        <v>0</v>
      </c>
      <c r="AH228">
        <v>0</v>
      </c>
      <c r="AI228">
        <v>0.9390509290201845</v>
      </c>
      <c r="AJ228">
        <v>0.62603395268012307</v>
      </c>
      <c r="AK228">
        <v>0.62603395268012307</v>
      </c>
      <c r="AL228">
        <v>0</v>
      </c>
      <c r="AM228">
        <v>0.62603395268012307</v>
      </c>
      <c r="AN228">
        <v>0</v>
      </c>
      <c r="AO228">
        <v>0.9390509290201845</v>
      </c>
      <c r="AP228">
        <v>0</v>
      </c>
      <c r="AQ228">
        <v>0</v>
      </c>
      <c r="AR228">
        <v>0</v>
      </c>
      <c r="AS228">
        <v>0.62603395268012307</v>
      </c>
      <c r="AT228">
        <v>1.2520679053602461</v>
      </c>
      <c r="AU228">
        <v>1.2520679053602461</v>
      </c>
      <c r="AV228">
        <v>0.62603395268012307</v>
      </c>
      <c r="AW228">
        <v>0.62603395268012307</v>
      </c>
      <c r="AX228">
        <v>0</v>
      </c>
      <c r="AY228">
        <v>0.9390509290201845</v>
      </c>
    </row>
    <row r="229" spans="1:51">
      <c r="A229" t="s">
        <v>663</v>
      </c>
      <c r="B229">
        <v>815</v>
      </c>
      <c r="C229">
        <v>775</v>
      </c>
      <c r="D229">
        <v>1.2</v>
      </c>
      <c r="E229">
        <v>58621</v>
      </c>
      <c r="F229">
        <v>0</v>
      </c>
      <c r="G229">
        <v>265</v>
      </c>
      <c r="H229">
        <v>115</v>
      </c>
      <c r="I229">
        <v>35</v>
      </c>
      <c r="J229">
        <v>90.6</v>
      </c>
      <c r="K229">
        <v>9.4</v>
      </c>
      <c r="L229">
        <v>69.5</v>
      </c>
      <c r="M229">
        <v>69.5</v>
      </c>
      <c r="N229">
        <v>0</v>
      </c>
      <c r="T229">
        <f t="shared" si="7"/>
        <v>0</v>
      </c>
      <c r="W229">
        <v>21367</v>
      </c>
      <c r="X229">
        <v>22863</v>
      </c>
      <c r="Y229">
        <v>19632</v>
      </c>
      <c r="Z229">
        <v>22224</v>
      </c>
      <c r="AA229">
        <v>16656</v>
      </c>
      <c r="AB229">
        <v>175</v>
      </c>
      <c r="AC229">
        <v>525</v>
      </c>
      <c r="AD229">
        <v>250</v>
      </c>
      <c r="AE229">
        <v>105</v>
      </c>
      <c r="AF229">
        <v>6.3306804203607943</v>
      </c>
      <c r="AG229">
        <v>0</v>
      </c>
      <c r="AH229">
        <v>0</v>
      </c>
      <c r="AI229">
        <v>0.70340893559564377</v>
      </c>
      <c r="AJ229">
        <v>1.0551134033934657</v>
      </c>
      <c r="AK229">
        <v>0.70340893559564377</v>
      </c>
      <c r="AL229">
        <v>0</v>
      </c>
      <c r="AM229">
        <v>0.8792611694945548</v>
      </c>
      <c r="AN229">
        <v>0</v>
      </c>
      <c r="AO229">
        <v>0</v>
      </c>
      <c r="AP229">
        <v>0.35170446779782188</v>
      </c>
      <c r="AQ229">
        <v>0.35170446779782188</v>
      </c>
      <c r="AR229">
        <v>0</v>
      </c>
      <c r="AS229">
        <v>0.52755670169673285</v>
      </c>
      <c r="AT229">
        <v>1.0551134033934657</v>
      </c>
      <c r="AU229">
        <v>1.2309656372923767</v>
      </c>
      <c r="AV229">
        <v>0.52755670169673285</v>
      </c>
      <c r="AW229">
        <v>1.2309656372923767</v>
      </c>
      <c r="AX229">
        <v>0.70340893559564377</v>
      </c>
      <c r="AY229">
        <v>0</v>
      </c>
    </row>
    <row r="230" spans="1:51">
      <c r="A230" t="s">
        <v>645</v>
      </c>
      <c r="B230">
        <v>895</v>
      </c>
      <c r="C230">
        <v>780</v>
      </c>
      <c r="D230">
        <v>1.1000000000000001</v>
      </c>
      <c r="E230">
        <v>41791</v>
      </c>
      <c r="F230">
        <v>13</v>
      </c>
      <c r="G230">
        <v>280</v>
      </c>
      <c r="H230">
        <v>135</v>
      </c>
      <c r="I230">
        <v>45</v>
      </c>
      <c r="J230">
        <v>96.4</v>
      </c>
      <c r="K230">
        <v>3.6</v>
      </c>
      <c r="L230">
        <v>71.900000000000006</v>
      </c>
      <c r="M230">
        <v>71.2</v>
      </c>
      <c r="N230">
        <v>2</v>
      </c>
      <c r="T230">
        <f t="shared" si="7"/>
        <v>0</v>
      </c>
      <c r="W230">
        <v>16825</v>
      </c>
      <c r="X230">
        <v>17943</v>
      </c>
      <c r="Y230">
        <v>15303</v>
      </c>
      <c r="Z230">
        <v>17392</v>
      </c>
      <c r="AA230">
        <v>13940</v>
      </c>
      <c r="AB230">
        <v>205</v>
      </c>
      <c r="AC230">
        <v>605</v>
      </c>
      <c r="AD230">
        <v>260</v>
      </c>
      <c r="AE230">
        <v>85</v>
      </c>
      <c r="AF230">
        <v>8.29494987301163</v>
      </c>
      <c r="AG230">
        <v>0</v>
      </c>
      <c r="AH230">
        <v>0</v>
      </c>
      <c r="AI230">
        <v>0.31301697634006154</v>
      </c>
      <c r="AJ230">
        <v>0.9390509290201845</v>
      </c>
      <c r="AK230">
        <v>0.31301697634006154</v>
      </c>
      <c r="AL230">
        <v>0.9390509290201845</v>
      </c>
      <c r="AM230">
        <v>0.46952546451009225</v>
      </c>
      <c r="AN230">
        <v>0</v>
      </c>
      <c r="AO230">
        <v>0.31301697634006154</v>
      </c>
      <c r="AP230">
        <v>0</v>
      </c>
      <c r="AQ230">
        <v>0</v>
      </c>
      <c r="AR230">
        <v>0</v>
      </c>
      <c r="AS230">
        <v>0</v>
      </c>
      <c r="AT230">
        <v>1.0955594171902154</v>
      </c>
      <c r="AU230">
        <v>1.2520679053602461</v>
      </c>
      <c r="AV230">
        <v>0</v>
      </c>
      <c r="AW230">
        <v>0.62603395268012307</v>
      </c>
      <c r="AX230">
        <v>0.31301697634006154</v>
      </c>
      <c r="AY230">
        <v>0.78254244085015379</v>
      </c>
    </row>
    <row r="231" spans="1:51">
      <c r="A231" t="s">
        <v>550</v>
      </c>
      <c r="B231">
        <v>540</v>
      </c>
      <c r="C231">
        <v>540</v>
      </c>
      <c r="D231">
        <v>0.8</v>
      </c>
      <c r="E231">
        <v>36317</v>
      </c>
      <c r="F231">
        <v>11.8</v>
      </c>
      <c r="G231">
        <v>235</v>
      </c>
      <c r="H231">
        <v>100</v>
      </c>
      <c r="I231">
        <v>10</v>
      </c>
      <c r="J231">
        <v>91.5</v>
      </c>
      <c r="K231">
        <v>8.5</v>
      </c>
      <c r="L231">
        <v>52.5</v>
      </c>
      <c r="M231">
        <v>51.5</v>
      </c>
      <c r="N231">
        <v>3.8</v>
      </c>
      <c r="T231">
        <f t="shared" si="7"/>
        <v>0</v>
      </c>
      <c r="W231">
        <v>13468</v>
      </c>
      <c r="X231">
        <v>11668</v>
      </c>
      <c r="Y231">
        <v>16518</v>
      </c>
      <c r="Z231">
        <v>14807</v>
      </c>
      <c r="AA231">
        <v>13746</v>
      </c>
      <c r="AB231">
        <v>45</v>
      </c>
      <c r="AC231">
        <v>330</v>
      </c>
      <c r="AD231">
        <v>195</v>
      </c>
      <c r="AE231">
        <v>155</v>
      </c>
      <c r="AF231">
        <v>8.1264022703669827</v>
      </c>
      <c r="AG231">
        <v>0</v>
      </c>
      <c r="AH231">
        <v>0.60195572373088757</v>
      </c>
      <c r="AI231">
        <v>0.60195572373088757</v>
      </c>
      <c r="AJ231">
        <v>0</v>
      </c>
      <c r="AK231">
        <v>0</v>
      </c>
      <c r="AL231">
        <v>0.9029335855963313</v>
      </c>
      <c r="AM231">
        <v>0.9029335855963313</v>
      </c>
      <c r="AN231">
        <v>0.9029335855963313</v>
      </c>
      <c r="AO231">
        <v>1.5048893093272189</v>
      </c>
      <c r="AP231">
        <v>0</v>
      </c>
      <c r="AQ231">
        <v>0</v>
      </c>
      <c r="AR231">
        <v>0</v>
      </c>
      <c r="AS231">
        <v>0</v>
      </c>
      <c r="AT231">
        <v>0.9029335855963313</v>
      </c>
      <c r="AU231">
        <v>1.2039114474617751</v>
      </c>
      <c r="AV231">
        <v>0</v>
      </c>
      <c r="AW231">
        <v>0</v>
      </c>
      <c r="AX231">
        <v>0.60195572373088757</v>
      </c>
      <c r="AY231">
        <v>0</v>
      </c>
    </row>
    <row r="232" spans="1:51">
      <c r="A232" t="s">
        <v>376</v>
      </c>
      <c r="B232">
        <v>1310</v>
      </c>
      <c r="C232">
        <v>1310</v>
      </c>
      <c r="D232">
        <v>1.2</v>
      </c>
      <c r="E232">
        <v>78709</v>
      </c>
      <c r="F232">
        <v>10.7</v>
      </c>
      <c r="G232">
        <v>470</v>
      </c>
      <c r="H232">
        <v>155</v>
      </c>
      <c r="I232">
        <v>60</v>
      </c>
      <c r="J232">
        <v>63.8</v>
      </c>
      <c r="K232">
        <v>35.1</v>
      </c>
      <c r="L232">
        <v>73.2</v>
      </c>
      <c r="M232">
        <v>64.900000000000006</v>
      </c>
      <c r="N232">
        <v>10.6</v>
      </c>
      <c r="T232">
        <f t="shared" si="7"/>
        <v>0</v>
      </c>
      <c r="W232">
        <v>41471</v>
      </c>
      <c r="X232">
        <v>55895</v>
      </c>
      <c r="Y232">
        <v>20188</v>
      </c>
      <c r="Z232">
        <v>59973</v>
      </c>
      <c r="AA232">
        <v>13836</v>
      </c>
      <c r="AB232">
        <v>335</v>
      </c>
      <c r="AC232">
        <v>965</v>
      </c>
      <c r="AD232">
        <v>330</v>
      </c>
      <c r="AE232">
        <v>0</v>
      </c>
      <c r="AF232">
        <v>0.21889299044759547</v>
      </c>
      <c r="AG232">
        <v>7.6612546656658411</v>
      </c>
      <c r="AH232">
        <v>0</v>
      </c>
      <c r="AI232">
        <v>0</v>
      </c>
      <c r="AJ232">
        <v>0</v>
      </c>
      <c r="AK232">
        <v>0</v>
      </c>
      <c r="AL232">
        <v>0.98501845701417967</v>
      </c>
      <c r="AM232">
        <v>0.76612546656658409</v>
      </c>
      <c r="AN232">
        <v>0</v>
      </c>
      <c r="AO232">
        <v>0.54723247611898873</v>
      </c>
      <c r="AP232">
        <v>0.21889299044759547</v>
      </c>
      <c r="AQ232">
        <v>0.21889299044759547</v>
      </c>
      <c r="AR232">
        <v>0</v>
      </c>
      <c r="AS232">
        <v>0.21889299044759547</v>
      </c>
      <c r="AT232">
        <v>1.6416974283569659</v>
      </c>
      <c r="AU232">
        <v>1.4228044379093705</v>
      </c>
      <c r="AV232">
        <v>0</v>
      </c>
      <c r="AW232">
        <v>0.54723247611898873</v>
      </c>
      <c r="AX232">
        <v>0.21889299044759547</v>
      </c>
      <c r="AY232">
        <v>0.76612546656658409</v>
      </c>
    </row>
    <row r="233" spans="1:51">
      <c r="A233" t="s">
        <v>378</v>
      </c>
      <c r="B233">
        <v>10</v>
      </c>
      <c r="C233" s="102"/>
      <c r="D233" s="102"/>
      <c r="E233" s="102"/>
      <c r="F233" s="102"/>
      <c r="G233" s="102"/>
      <c r="H233" s="102"/>
      <c r="I233" s="102"/>
      <c r="J233" s="102"/>
      <c r="K233" s="102"/>
      <c r="L233" s="102"/>
      <c r="M233" s="102"/>
      <c r="N233" s="102"/>
      <c r="T233">
        <f t="shared" si="7"/>
        <v>0</v>
      </c>
      <c r="AB233">
        <v>0</v>
      </c>
      <c r="AC233">
        <v>0</v>
      </c>
      <c r="AD233">
        <v>0</v>
      </c>
      <c r="AE233">
        <v>0</v>
      </c>
      <c r="AF233" t="e">
        <v>#N/A</v>
      </c>
      <c r="AG233" t="e">
        <v>#N/A</v>
      </c>
      <c r="AH233" t="e">
        <v>#N/A</v>
      </c>
      <c r="AI233" t="e">
        <v>#N/A</v>
      </c>
      <c r="AJ233" t="e">
        <v>#N/A</v>
      </c>
      <c r="AK233" t="e">
        <v>#N/A</v>
      </c>
      <c r="AL233" t="e">
        <v>#N/A</v>
      </c>
      <c r="AM233" t="e">
        <v>#N/A</v>
      </c>
      <c r="AN233" t="e">
        <v>#N/A</v>
      </c>
      <c r="AO233" t="e">
        <v>#N/A</v>
      </c>
      <c r="AP233" t="e">
        <v>#N/A</v>
      </c>
      <c r="AQ233" t="e">
        <v>#N/A</v>
      </c>
      <c r="AR233" t="e">
        <v>#N/A</v>
      </c>
      <c r="AS233" t="e">
        <v>#N/A</v>
      </c>
      <c r="AT233" t="e">
        <v>#N/A</v>
      </c>
      <c r="AU233" t="e">
        <v>#N/A</v>
      </c>
      <c r="AV233" t="e">
        <v>#N/A</v>
      </c>
      <c r="AW233" t="e">
        <v>#N/A</v>
      </c>
      <c r="AX233" t="e">
        <v>#N/A</v>
      </c>
      <c r="AY233" t="e">
        <v>#N/A</v>
      </c>
    </row>
    <row r="234" spans="1:51">
      <c r="A234" t="s">
        <v>229</v>
      </c>
      <c r="B234">
        <v>795</v>
      </c>
      <c r="C234">
        <v>790</v>
      </c>
      <c r="D234">
        <v>2</v>
      </c>
      <c r="E234">
        <v>21984</v>
      </c>
      <c r="F234">
        <v>0</v>
      </c>
      <c r="G234">
        <v>185</v>
      </c>
      <c r="H234">
        <v>45</v>
      </c>
      <c r="I234">
        <v>105</v>
      </c>
      <c r="J234">
        <v>16.2</v>
      </c>
      <c r="K234">
        <v>10.8</v>
      </c>
      <c r="L234">
        <v>35.1</v>
      </c>
      <c r="M234">
        <v>27.7</v>
      </c>
      <c r="N234">
        <v>18.2</v>
      </c>
      <c r="T234" t="str">
        <f t="shared" si="6"/>
        <v>Little Grand Rapids First Nation</v>
      </c>
      <c r="W234">
        <v>17080</v>
      </c>
      <c r="X234">
        <v>17668</v>
      </c>
      <c r="Y234">
        <v>16160</v>
      </c>
      <c r="Z234">
        <v>9312</v>
      </c>
      <c r="AA234">
        <v>7208</v>
      </c>
      <c r="AB234">
        <v>330</v>
      </c>
      <c r="AC234">
        <v>430</v>
      </c>
      <c r="AD234">
        <v>75</v>
      </c>
      <c r="AE234">
        <v>40</v>
      </c>
      <c r="AF234">
        <v>0</v>
      </c>
      <c r="AG234">
        <v>0</v>
      </c>
      <c r="AH234">
        <v>0.94853629193958033</v>
      </c>
      <c r="AI234">
        <v>0.94853629193958033</v>
      </c>
      <c r="AJ234">
        <v>0.94853629193958033</v>
      </c>
      <c r="AK234">
        <v>0</v>
      </c>
      <c r="AL234">
        <v>1.4228044379093705</v>
      </c>
      <c r="AM234">
        <v>0.94853629193958033</v>
      </c>
      <c r="AN234">
        <v>0</v>
      </c>
      <c r="AO234">
        <v>0</v>
      </c>
      <c r="AP234">
        <v>0</v>
      </c>
      <c r="AQ234">
        <v>0</v>
      </c>
      <c r="AR234">
        <v>0</v>
      </c>
      <c r="AS234">
        <v>0</v>
      </c>
      <c r="AT234">
        <v>2.845608875818741</v>
      </c>
      <c r="AU234">
        <v>3.3198770217885314</v>
      </c>
      <c r="AV234">
        <v>0</v>
      </c>
      <c r="AW234">
        <v>0</v>
      </c>
      <c r="AX234">
        <v>0</v>
      </c>
      <c r="AY234">
        <v>4.2684133137281108</v>
      </c>
    </row>
    <row r="235" spans="1:51">
      <c r="A235" t="s">
        <v>230</v>
      </c>
      <c r="B235">
        <v>250</v>
      </c>
      <c r="C235">
        <v>250</v>
      </c>
      <c r="D235">
        <v>2.5</v>
      </c>
      <c r="E235">
        <v>14925</v>
      </c>
      <c r="F235">
        <v>0</v>
      </c>
      <c r="G235">
        <v>80</v>
      </c>
      <c r="H235">
        <v>25</v>
      </c>
      <c r="I235">
        <v>15</v>
      </c>
      <c r="J235">
        <v>0</v>
      </c>
      <c r="K235">
        <v>0</v>
      </c>
      <c r="L235">
        <v>65.5</v>
      </c>
      <c r="M235">
        <v>44.8</v>
      </c>
      <c r="N235">
        <v>26.3</v>
      </c>
      <c r="T235" t="str">
        <f t="shared" si="6"/>
        <v>Little Saskatchewan First Nation</v>
      </c>
      <c r="W235">
        <v>5748</v>
      </c>
      <c r="X235">
        <v>4857</v>
      </c>
      <c r="Y235">
        <v>6460</v>
      </c>
      <c r="Z235">
        <v>1516</v>
      </c>
      <c r="AA235">
        <v>4464</v>
      </c>
      <c r="AB235">
        <v>100</v>
      </c>
      <c r="AC235">
        <v>155</v>
      </c>
      <c r="AD235">
        <v>30</v>
      </c>
      <c r="AE235">
        <v>10</v>
      </c>
      <c r="AF235">
        <v>0</v>
      </c>
      <c r="AG235">
        <v>0</v>
      </c>
      <c r="AH235">
        <v>0</v>
      </c>
      <c r="AI235">
        <v>0</v>
      </c>
      <c r="AJ235">
        <v>0</v>
      </c>
      <c r="AK235">
        <v>0</v>
      </c>
      <c r="AL235">
        <v>1.7389832018892304</v>
      </c>
      <c r="AM235">
        <v>0</v>
      </c>
      <c r="AN235">
        <v>0</v>
      </c>
      <c r="AO235">
        <v>0</v>
      </c>
      <c r="AP235">
        <v>0</v>
      </c>
      <c r="AQ235">
        <v>0</v>
      </c>
      <c r="AR235">
        <v>0</v>
      </c>
      <c r="AS235">
        <v>0</v>
      </c>
      <c r="AT235">
        <v>1.7389832018892304</v>
      </c>
      <c r="AU235">
        <v>0</v>
      </c>
      <c r="AV235">
        <v>0</v>
      </c>
      <c r="AW235">
        <v>0</v>
      </c>
      <c r="AX235">
        <v>0</v>
      </c>
      <c r="AY235">
        <v>8.6949160094461533</v>
      </c>
    </row>
    <row r="236" spans="1:51">
      <c r="A236" t="s">
        <v>712</v>
      </c>
      <c r="B236">
        <v>740</v>
      </c>
      <c r="C236">
        <v>740</v>
      </c>
      <c r="D236">
        <v>1.9</v>
      </c>
      <c r="E236">
        <v>23801</v>
      </c>
      <c r="F236">
        <v>0</v>
      </c>
      <c r="G236">
        <v>210</v>
      </c>
      <c r="H236">
        <v>80</v>
      </c>
      <c r="I236">
        <v>95</v>
      </c>
      <c r="J236">
        <v>4.8</v>
      </c>
      <c r="K236">
        <v>16.7</v>
      </c>
      <c r="L236">
        <v>37.9</v>
      </c>
      <c r="M236">
        <v>28.4</v>
      </c>
      <c r="N236">
        <v>27.8</v>
      </c>
      <c r="T236" t="str">
        <f t="shared" si="6"/>
        <v>Long Plain First Nation</v>
      </c>
      <c r="W236">
        <v>18621</v>
      </c>
      <c r="X236">
        <v>19519</v>
      </c>
      <c r="Y236">
        <v>17650</v>
      </c>
      <c r="Z236">
        <v>5920</v>
      </c>
      <c r="AA236">
        <v>9440</v>
      </c>
      <c r="AB236">
        <v>270</v>
      </c>
      <c r="AC236">
        <v>430</v>
      </c>
      <c r="AD236">
        <v>105</v>
      </c>
      <c r="AE236">
        <v>25</v>
      </c>
      <c r="AF236">
        <v>0.84599182794611216</v>
      </c>
      <c r="AG236">
        <v>0</v>
      </c>
      <c r="AH236">
        <v>0</v>
      </c>
      <c r="AI236">
        <v>1.6919836558922243</v>
      </c>
      <c r="AJ236">
        <v>0</v>
      </c>
      <c r="AK236">
        <v>0</v>
      </c>
      <c r="AL236">
        <v>0</v>
      </c>
      <c r="AM236">
        <v>0</v>
      </c>
      <c r="AN236">
        <v>0</v>
      </c>
      <c r="AO236">
        <v>0</v>
      </c>
      <c r="AP236">
        <v>0</v>
      </c>
      <c r="AQ236">
        <v>0</v>
      </c>
      <c r="AR236">
        <v>0</v>
      </c>
      <c r="AS236">
        <v>0.84599182794611216</v>
      </c>
      <c r="AT236">
        <v>1.2689877419191684</v>
      </c>
      <c r="AU236">
        <v>2.1149795698652807</v>
      </c>
      <c r="AV236">
        <v>0.84599182794611216</v>
      </c>
      <c r="AW236">
        <v>0</v>
      </c>
      <c r="AX236">
        <v>0</v>
      </c>
      <c r="AY236">
        <v>2.960971397811393</v>
      </c>
    </row>
    <row r="237" spans="1:51">
      <c r="A237" t="s">
        <v>231</v>
      </c>
      <c r="B237">
        <v>10</v>
      </c>
      <c r="C237" s="102"/>
      <c r="D237" s="102"/>
      <c r="E237" s="102"/>
      <c r="F237" s="102"/>
      <c r="G237" s="102"/>
      <c r="H237" s="102"/>
      <c r="I237" s="102"/>
      <c r="J237" s="102"/>
      <c r="K237" s="102"/>
      <c r="L237" s="102"/>
      <c r="M237" s="102"/>
      <c r="N237" s="102"/>
      <c r="T237">
        <f t="shared" si="6"/>
        <v>0</v>
      </c>
      <c r="AB237">
        <v>0</v>
      </c>
      <c r="AC237">
        <v>0</v>
      </c>
      <c r="AD237">
        <v>0</v>
      </c>
      <c r="AE237">
        <v>0</v>
      </c>
      <c r="AF237" t="e">
        <v>#N/A</v>
      </c>
      <c r="AG237" t="e">
        <v>#N/A</v>
      </c>
      <c r="AH237" t="e">
        <v>#N/A</v>
      </c>
      <c r="AI237" t="e">
        <v>#N/A</v>
      </c>
      <c r="AJ237" t="e">
        <v>#N/A</v>
      </c>
      <c r="AK237" t="e">
        <v>#N/A</v>
      </c>
      <c r="AL237" t="e">
        <v>#N/A</v>
      </c>
      <c r="AM237" t="e">
        <v>#N/A</v>
      </c>
      <c r="AN237" t="e">
        <v>#N/A</v>
      </c>
      <c r="AO237" t="e">
        <v>#N/A</v>
      </c>
      <c r="AP237" t="e">
        <v>#N/A</v>
      </c>
      <c r="AQ237" t="e">
        <v>#N/A</v>
      </c>
      <c r="AR237" t="e">
        <v>#N/A</v>
      </c>
      <c r="AS237" t="e">
        <v>#N/A</v>
      </c>
      <c r="AT237" t="e">
        <v>#N/A</v>
      </c>
      <c r="AU237" t="e">
        <v>#N/A</v>
      </c>
      <c r="AV237" t="e">
        <v>#N/A</v>
      </c>
      <c r="AW237" t="e">
        <v>#N/A</v>
      </c>
      <c r="AX237" t="e">
        <v>#N/A</v>
      </c>
      <c r="AY237" t="e">
        <v>#N/A</v>
      </c>
    </row>
    <row r="238" spans="1:51">
      <c r="A238" t="s">
        <v>618</v>
      </c>
      <c r="B238">
        <v>2040</v>
      </c>
      <c r="C238">
        <v>1845</v>
      </c>
      <c r="D238">
        <v>1.5</v>
      </c>
      <c r="E238">
        <v>53403</v>
      </c>
      <c r="F238">
        <v>6.2</v>
      </c>
      <c r="G238">
        <v>675</v>
      </c>
      <c r="H238">
        <v>260</v>
      </c>
      <c r="I238">
        <v>35</v>
      </c>
      <c r="J238">
        <v>85.9</v>
      </c>
      <c r="K238">
        <v>14.1</v>
      </c>
      <c r="L238">
        <v>75.2</v>
      </c>
      <c r="M238">
        <v>74.2</v>
      </c>
      <c r="N238">
        <v>1.3</v>
      </c>
      <c r="T238">
        <f t="shared" si="6"/>
        <v>0</v>
      </c>
      <c r="W238">
        <v>20624</v>
      </c>
      <c r="X238">
        <v>23014</v>
      </c>
      <c r="Y238">
        <v>17787</v>
      </c>
      <c r="Z238">
        <v>21051</v>
      </c>
      <c r="AA238">
        <v>16209</v>
      </c>
      <c r="AB238">
        <v>530</v>
      </c>
      <c r="AC238">
        <v>1215</v>
      </c>
      <c r="AD238">
        <v>440</v>
      </c>
      <c r="AE238">
        <v>275</v>
      </c>
      <c r="AF238">
        <v>7.3083258793054009</v>
      </c>
      <c r="AG238">
        <v>0</v>
      </c>
      <c r="AH238">
        <v>0</v>
      </c>
      <c r="AI238">
        <v>0.82735764671381895</v>
      </c>
      <c r="AJ238">
        <v>0.6205182350353643</v>
      </c>
      <c r="AK238">
        <v>0.5515717644758793</v>
      </c>
      <c r="AL238">
        <v>1.7236617639871228</v>
      </c>
      <c r="AM238">
        <v>0.20683941167845474</v>
      </c>
      <c r="AN238">
        <v>0</v>
      </c>
      <c r="AO238">
        <v>0.41367882335690948</v>
      </c>
      <c r="AP238">
        <v>0</v>
      </c>
      <c r="AQ238">
        <v>0.27578588223793965</v>
      </c>
      <c r="AR238">
        <v>0</v>
      </c>
      <c r="AS238">
        <v>0</v>
      </c>
      <c r="AT238">
        <v>0.48262529391639442</v>
      </c>
      <c r="AU238">
        <v>1.6547152934276379</v>
      </c>
      <c r="AV238">
        <v>0</v>
      </c>
      <c r="AW238">
        <v>0.5515717644758793</v>
      </c>
      <c r="AX238">
        <v>0.5515717644758793</v>
      </c>
      <c r="AY238">
        <v>0.27578588223793965</v>
      </c>
    </row>
    <row r="239" spans="1:51">
      <c r="A239" t="s">
        <v>617</v>
      </c>
      <c r="B239">
        <v>1020</v>
      </c>
      <c r="C239">
        <v>930</v>
      </c>
      <c r="D239">
        <v>1.5</v>
      </c>
      <c r="E239">
        <v>44664</v>
      </c>
      <c r="F239">
        <v>11.8</v>
      </c>
      <c r="G239">
        <v>320</v>
      </c>
      <c r="H239">
        <v>90</v>
      </c>
      <c r="I239">
        <v>35</v>
      </c>
      <c r="J239">
        <v>96.9</v>
      </c>
      <c r="K239">
        <v>4.7</v>
      </c>
      <c r="L239">
        <v>83.8</v>
      </c>
      <c r="M239">
        <v>82.4</v>
      </c>
      <c r="N239">
        <v>0</v>
      </c>
      <c r="T239">
        <f t="shared" si="6"/>
        <v>0</v>
      </c>
      <c r="W239">
        <v>14574</v>
      </c>
      <c r="X239">
        <v>17831</v>
      </c>
      <c r="Y239">
        <v>10938</v>
      </c>
      <c r="Z239">
        <v>21107</v>
      </c>
      <c r="AA239">
        <v>14991</v>
      </c>
      <c r="AB239">
        <v>280</v>
      </c>
      <c r="AC239">
        <v>560</v>
      </c>
      <c r="AD239">
        <v>205</v>
      </c>
      <c r="AE239">
        <v>160</v>
      </c>
      <c r="AF239">
        <v>10.942869904571257</v>
      </c>
      <c r="AG239">
        <v>0</v>
      </c>
      <c r="AH239">
        <v>0</v>
      </c>
      <c r="AI239">
        <v>0</v>
      </c>
      <c r="AJ239">
        <v>0</v>
      </c>
      <c r="AK239">
        <v>1.1451840597807128</v>
      </c>
      <c r="AL239">
        <v>0.6362133665448404</v>
      </c>
      <c r="AM239">
        <v>0.38172801992690431</v>
      </c>
      <c r="AN239">
        <v>0</v>
      </c>
      <c r="AO239">
        <v>0.2544853466179362</v>
      </c>
      <c r="AP239">
        <v>0.2544853466179362</v>
      </c>
      <c r="AQ239">
        <v>0.2544853466179362</v>
      </c>
      <c r="AR239">
        <v>0</v>
      </c>
      <c r="AS239">
        <v>0</v>
      </c>
      <c r="AT239">
        <v>0.50897069323587241</v>
      </c>
      <c r="AU239">
        <v>0.8906987131627766</v>
      </c>
      <c r="AV239">
        <v>0.2544853466179362</v>
      </c>
      <c r="AW239">
        <v>0</v>
      </c>
      <c r="AX239">
        <v>0</v>
      </c>
      <c r="AY239">
        <v>0</v>
      </c>
    </row>
    <row r="240" spans="1:51">
      <c r="A240" t="s">
        <v>709</v>
      </c>
      <c r="B240">
        <v>700</v>
      </c>
      <c r="C240">
        <v>700</v>
      </c>
      <c r="D240">
        <v>1.5</v>
      </c>
      <c r="E240">
        <v>43453</v>
      </c>
      <c r="F240">
        <v>26.5</v>
      </c>
      <c r="G240">
        <v>260</v>
      </c>
      <c r="H240">
        <v>100</v>
      </c>
      <c r="I240">
        <v>70</v>
      </c>
      <c r="J240">
        <v>59.6</v>
      </c>
      <c r="K240">
        <v>40.4</v>
      </c>
      <c r="L240">
        <v>60.4</v>
      </c>
      <c r="M240">
        <v>50</v>
      </c>
      <c r="N240">
        <v>17.2</v>
      </c>
      <c r="T240">
        <f t="shared" si="6"/>
        <v>0</v>
      </c>
      <c r="W240">
        <v>27114</v>
      </c>
      <c r="X240">
        <v>31859</v>
      </c>
      <c r="Y240">
        <v>20994</v>
      </c>
      <c r="Z240">
        <v>22315</v>
      </c>
      <c r="AA240">
        <v>14987</v>
      </c>
      <c r="AB240">
        <v>220</v>
      </c>
      <c r="AC240">
        <v>420</v>
      </c>
      <c r="AD240">
        <v>140</v>
      </c>
      <c r="AE240">
        <v>60</v>
      </c>
      <c r="AF240">
        <v>0</v>
      </c>
      <c r="AG240">
        <v>0.80952666294843489</v>
      </c>
      <c r="AH240">
        <v>0</v>
      </c>
      <c r="AI240">
        <v>0.80952666294843489</v>
      </c>
      <c r="AJ240">
        <v>0.53968444196562326</v>
      </c>
      <c r="AK240">
        <v>0</v>
      </c>
      <c r="AL240">
        <v>1.3492111049140583</v>
      </c>
      <c r="AM240">
        <v>1.3492111049140583</v>
      </c>
      <c r="AN240">
        <v>0</v>
      </c>
      <c r="AO240">
        <v>0</v>
      </c>
      <c r="AP240">
        <v>0</v>
      </c>
      <c r="AQ240">
        <v>0</v>
      </c>
      <c r="AR240">
        <v>0</v>
      </c>
      <c r="AS240">
        <v>0.53968444196562326</v>
      </c>
      <c r="AT240">
        <v>2.4285799888453048</v>
      </c>
      <c r="AU240">
        <v>1.6190533258968698</v>
      </c>
      <c r="AV240">
        <v>0</v>
      </c>
      <c r="AW240">
        <v>1.3492111049140583</v>
      </c>
      <c r="AX240">
        <v>1.0793688839312465</v>
      </c>
      <c r="AY240">
        <v>2.1587377678624931</v>
      </c>
    </row>
    <row r="241" spans="1:51">
      <c r="A241" t="s">
        <v>650</v>
      </c>
      <c r="B241">
        <v>5305</v>
      </c>
      <c r="C241">
        <v>5145</v>
      </c>
      <c r="D241">
        <v>1.4</v>
      </c>
      <c r="E241">
        <v>71821</v>
      </c>
      <c r="F241">
        <v>2.1</v>
      </c>
      <c r="G241">
        <v>1670</v>
      </c>
      <c r="H241">
        <v>495</v>
      </c>
      <c r="I241">
        <v>135</v>
      </c>
      <c r="J241">
        <v>93.1</v>
      </c>
      <c r="K241">
        <v>7.2</v>
      </c>
      <c r="L241">
        <v>79.900000000000006</v>
      </c>
      <c r="M241">
        <v>77</v>
      </c>
      <c r="N241">
        <v>3.5</v>
      </c>
      <c r="T241">
        <f t="shared" si="6"/>
        <v>0</v>
      </c>
      <c r="W241">
        <v>30281</v>
      </c>
      <c r="X241">
        <v>36486</v>
      </c>
      <c r="Y241">
        <v>22629</v>
      </c>
      <c r="Z241">
        <v>32921</v>
      </c>
      <c r="AA241">
        <v>20257</v>
      </c>
      <c r="AB241">
        <v>1365</v>
      </c>
      <c r="AC241">
        <v>3520</v>
      </c>
      <c r="AD241">
        <v>1210</v>
      </c>
      <c r="AE241">
        <v>420</v>
      </c>
      <c r="AF241">
        <v>2.3924864433635271</v>
      </c>
      <c r="AG241">
        <v>4.9843467570073491E-2</v>
      </c>
      <c r="AH241">
        <v>0.29906080542044089</v>
      </c>
      <c r="AI241">
        <v>1.1214780203266534</v>
      </c>
      <c r="AJ241">
        <v>1.5451474946722783</v>
      </c>
      <c r="AK241">
        <v>1.0965562865416167</v>
      </c>
      <c r="AL241">
        <v>1.3956170919620576</v>
      </c>
      <c r="AM241">
        <v>0.971947617616433</v>
      </c>
      <c r="AN241">
        <v>0.14953040271022044</v>
      </c>
      <c r="AO241">
        <v>0.62304334462591859</v>
      </c>
      <c r="AP241">
        <v>7.4765201355110222E-2</v>
      </c>
      <c r="AQ241">
        <v>0.37382600677555117</v>
      </c>
      <c r="AR241">
        <v>0</v>
      </c>
      <c r="AS241">
        <v>0.42366947434562469</v>
      </c>
      <c r="AT241">
        <v>1.07163455275658</v>
      </c>
      <c r="AU241">
        <v>1.1962432216817636</v>
      </c>
      <c r="AV241">
        <v>0.24921733785036743</v>
      </c>
      <c r="AW241">
        <v>0.52335640948577167</v>
      </c>
      <c r="AX241">
        <v>0.74765201355110233</v>
      </c>
      <c r="AY241">
        <v>1.2211649554668005</v>
      </c>
    </row>
    <row r="242" spans="1:51">
      <c r="A242" t="s">
        <v>644</v>
      </c>
      <c r="B242">
        <v>860</v>
      </c>
      <c r="C242">
        <v>855</v>
      </c>
      <c r="D242">
        <v>1.2</v>
      </c>
      <c r="E242">
        <v>51550</v>
      </c>
      <c r="F242">
        <v>6.5</v>
      </c>
      <c r="G242">
        <v>380</v>
      </c>
      <c r="H242">
        <v>115</v>
      </c>
      <c r="I242">
        <v>40</v>
      </c>
      <c r="J242">
        <v>69.7</v>
      </c>
      <c r="K242">
        <v>30.3</v>
      </c>
      <c r="L242">
        <v>55.7</v>
      </c>
      <c r="M242">
        <v>52.1</v>
      </c>
      <c r="N242">
        <v>5.0999999999999996</v>
      </c>
      <c r="T242">
        <f t="shared" si="6"/>
        <v>0</v>
      </c>
      <c r="W242">
        <v>21123</v>
      </c>
      <c r="X242">
        <v>25132</v>
      </c>
      <c r="Y242">
        <v>16801</v>
      </c>
      <c r="Z242">
        <v>17905</v>
      </c>
      <c r="AA242">
        <v>16376</v>
      </c>
      <c r="AB242">
        <v>160</v>
      </c>
      <c r="AC242">
        <v>470</v>
      </c>
      <c r="AD242">
        <v>200</v>
      </c>
      <c r="AE242">
        <v>200</v>
      </c>
      <c r="AF242">
        <v>0.60195572373088757</v>
      </c>
      <c r="AG242">
        <v>0</v>
      </c>
      <c r="AH242">
        <v>0</v>
      </c>
      <c r="AI242">
        <v>1.0032595395514792</v>
      </c>
      <c r="AJ242">
        <v>1.8058671711926626</v>
      </c>
      <c r="AK242">
        <v>0.80260763164118332</v>
      </c>
      <c r="AL242">
        <v>1.4045633553720709</v>
      </c>
      <c r="AM242">
        <v>1.8058671711926626</v>
      </c>
      <c r="AN242">
        <v>0</v>
      </c>
      <c r="AO242">
        <v>0.40130381582059166</v>
      </c>
      <c r="AP242">
        <v>0</v>
      </c>
      <c r="AQ242">
        <v>0.40130381582059166</v>
      </c>
      <c r="AR242">
        <v>0</v>
      </c>
      <c r="AS242">
        <v>0.80260763164118332</v>
      </c>
      <c r="AT242">
        <v>2.0065190791029583</v>
      </c>
      <c r="AU242">
        <v>1.6052152632823666</v>
      </c>
      <c r="AV242">
        <v>0.60195572373088757</v>
      </c>
      <c r="AW242">
        <v>1.0032595395514792</v>
      </c>
      <c r="AX242">
        <v>1.0032595395514792</v>
      </c>
      <c r="AY242">
        <v>0</v>
      </c>
    </row>
    <row r="243" spans="1:51">
      <c r="A243" t="s">
        <v>232</v>
      </c>
      <c r="B243">
        <v>145</v>
      </c>
      <c r="C243" s="102"/>
      <c r="D243" s="102"/>
      <c r="E243" s="102"/>
      <c r="F243" s="102"/>
      <c r="G243" s="102"/>
      <c r="H243" s="102"/>
      <c r="I243" s="102"/>
      <c r="J243" s="102"/>
      <c r="K243" s="102"/>
      <c r="L243" s="102"/>
      <c r="M243" s="102"/>
      <c r="N243" s="102"/>
      <c r="T243">
        <f t="shared" si="6"/>
        <v>0</v>
      </c>
      <c r="AB243">
        <v>0</v>
      </c>
      <c r="AC243">
        <v>0</v>
      </c>
      <c r="AD243">
        <v>0</v>
      </c>
      <c r="AE243">
        <v>0</v>
      </c>
      <c r="AF243" t="e">
        <v>#N/A</v>
      </c>
      <c r="AG243" t="e">
        <v>#N/A</v>
      </c>
      <c r="AH243" t="e">
        <v>#N/A</v>
      </c>
      <c r="AI243" t="e">
        <v>#N/A</v>
      </c>
      <c r="AJ243" t="e">
        <v>#N/A</v>
      </c>
      <c r="AK243" t="e">
        <v>#N/A</v>
      </c>
      <c r="AL243" t="e">
        <v>#N/A</v>
      </c>
      <c r="AM243" t="e">
        <v>#N/A</v>
      </c>
      <c r="AN243" t="e">
        <v>#N/A</v>
      </c>
      <c r="AO243" t="e">
        <v>#N/A</v>
      </c>
      <c r="AP243" t="e">
        <v>#N/A</v>
      </c>
      <c r="AQ243" t="e">
        <v>#N/A</v>
      </c>
      <c r="AR243" t="e">
        <v>#N/A</v>
      </c>
      <c r="AS243" t="e">
        <v>#N/A</v>
      </c>
      <c r="AT243" t="e">
        <v>#N/A</v>
      </c>
      <c r="AU243" t="e">
        <v>#N/A</v>
      </c>
      <c r="AV243" t="e">
        <v>#N/A</v>
      </c>
      <c r="AW243" t="e">
        <v>#N/A</v>
      </c>
      <c r="AX243" t="e">
        <v>#N/A</v>
      </c>
      <c r="AY243" t="e">
        <v>#N/A</v>
      </c>
    </row>
    <row r="244" spans="1:51">
      <c r="A244" t="s">
        <v>233</v>
      </c>
      <c r="B244">
        <v>192</v>
      </c>
      <c r="C244" s="102"/>
      <c r="D244" s="102"/>
      <c r="E244" s="102"/>
      <c r="F244" s="102"/>
      <c r="G244" s="102"/>
      <c r="H244" s="102"/>
      <c r="I244" s="102"/>
      <c r="J244" s="102"/>
      <c r="K244" s="102"/>
      <c r="L244" s="102"/>
      <c r="M244" s="102"/>
      <c r="N244" s="102"/>
      <c r="T244">
        <f t="shared" si="6"/>
        <v>0</v>
      </c>
      <c r="AB244">
        <v>0</v>
      </c>
      <c r="AC244">
        <v>0</v>
      </c>
      <c r="AD244">
        <v>0</v>
      </c>
      <c r="AE244">
        <v>0</v>
      </c>
      <c r="AF244" t="e">
        <v>#N/A</v>
      </c>
      <c r="AG244" t="e">
        <v>#N/A</v>
      </c>
      <c r="AH244" t="e">
        <v>#N/A</v>
      </c>
      <c r="AI244" t="e">
        <v>#N/A</v>
      </c>
      <c r="AJ244" t="e">
        <v>#N/A</v>
      </c>
      <c r="AK244" t="e">
        <v>#N/A</v>
      </c>
      <c r="AL244" t="e">
        <v>#N/A</v>
      </c>
      <c r="AM244" t="e">
        <v>#N/A</v>
      </c>
      <c r="AN244" t="e">
        <v>#N/A</v>
      </c>
      <c r="AO244" t="e">
        <v>#N/A</v>
      </c>
      <c r="AP244" t="e">
        <v>#N/A</v>
      </c>
      <c r="AQ244" t="e">
        <v>#N/A</v>
      </c>
      <c r="AR244" t="e">
        <v>#N/A</v>
      </c>
      <c r="AS244" t="e">
        <v>#N/A</v>
      </c>
      <c r="AT244" t="e">
        <v>#N/A</v>
      </c>
      <c r="AU244" t="e">
        <v>#N/A</v>
      </c>
      <c r="AV244" t="e">
        <v>#N/A</v>
      </c>
      <c r="AW244" t="e">
        <v>#N/A</v>
      </c>
      <c r="AX244" t="e">
        <v>#N/A</v>
      </c>
      <c r="AY244" t="e">
        <v>#N/A</v>
      </c>
    </row>
    <row r="245" spans="1:51">
      <c r="A245" t="s">
        <v>382</v>
      </c>
      <c r="B245">
        <v>750</v>
      </c>
      <c r="C245">
        <v>755</v>
      </c>
      <c r="D245">
        <v>0.8</v>
      </c>
      <c r="E245">
        <v>51736</v>
      </c>
      <c r="F245">
        <v>0</v>
      </c>
      <c r="G245">
        <v>350</v>
      </c>
      <c r="H245">
        <v>115</v>
      </c>
      <c r="I245">
        <v>10</v>
      </c>
      <c r="J245">
        <v>87.1</v>
      </c>
      <c r="K245">
        <v>12.9</v>
      </c>
      <c r="L245">
        <v>60</v>
      </c>
      <c r="M245">
        <v>59.2</v>
      </c>
      <c r="N245">
        <v>2.6</v>
      </c>
      <c r="T245">
        <f t="shared" si="6"/>
        <v>0</v>
      </c>
      <c r="W245">
        <v>21180</v>
      </c>
      <c r="X245">
        <v>22914</v>
      </c>
      <c r="Y245">
        <v>19004</v>
      </c>
      <c r="Z245">
        <v>27778</v>
      </c>
      <c r="AA245">
        <v>17184</v>
      </c>
      <c r="AB245">
        <v>95</v>
      </c>
      <c r="AC245">
        <v>440</v>
      </c>
      <c r="AD245">
        <v>210</v>
      </c>
      <c r="AE245">
        <v>210</v>
      </c>
      <c r="AF245">
        <v>2.2358355452861534</v>
      </c>
      <c r="AG245">
        <v>0</v>
      </c>
      <c r="AH245">
        <v>0.4065155536883916</v>
      </c>
      <c r="AI245">
        <v>0.4065155536883916</v>
      </c>
      <c r="AJ245">
        <v>0.60977333053258731</v>
      </c>
      <c r="AK245">
        <v>0.60977333053258731</v>
      </c>
      <c r="AL245">
        <v>3.86189776003972</v>
      </c>
      <c r="AM245">
        <v>0.4065155536883916</v>
      </c>
      <c r="AN245">
        <v>0.60977333053258731</v>
      </c>
      <c r="AO245">
        <v>0.81303110737678319</v>
      </c>
      <c r="AP245">
        <v>0.4065155536883916</v>
      </c>
      <c r="AQ245">
        <v>0.4065155536883916</v>
      </c>
      <c r="AR245">
        <v>0</v>
      </c>
      <c r="AS245">
        <v>0.4065155536883916</v>
      </c>
      <c r="AT245">
        <v>1.0162888842209787</v>
      </c>
      <c r="AU245">
        <v>2.0325777684419575</v>
      </c>
      <c r="AV245">
        <v>0.4065155536883916</v>
      </c>
      <c r="AW245">
        <v>0</v>
      </c>
      <c r="AX245">
        <v>1.0162888842209787</v>
      </c>
      <c r="AY245">
        <v>0.4065155536883916</v>
      </c>
    </row>
    <row r="246" spans="1:51">
      <c r="A246" t="s">
        <v>234</v>
      </c>
      <c r="B246">
        <v>470</v>
      </c>
      <c r="C246">
        <v>470</v>
      </c>
      <c r="D246">
        <v>2.5</v>
      </c>
      <c r="E246">
        <v>34082</v>
      </c>
      <c r="F246">
        <v>0</v>
      </c>
      <c r="G246">
        <v>90</v>
      </c>
      <c r="H246">
        <v>35</v>
      </c>
      <c r="I246">
        <v>30</v>
      </c>
      <c r="J246">
        <v>11.1</v>
      </c>
      <c r="K246">
        <v>0</v>
      </c>
      <c r="L246">
        <v>60.4</v>
      </c>
      <c r="M246">
        <v>47.2</v>
      </c>
      <c r="N246">
        <v>25</v>
      </c>
      <c r="T246" t="str">
        <f t="shared" si="6"/>
        <v>Manto Sipi Cree Nation</v>
      </c>
      <c r="W246">
        <v>16184</v>
      </c>
      <c r="X246">
        <v>18174</v>
      </c>
      <c r="Y246">
        <v>13930</v>
      </c>
      <c r="Z246">
        <v>13888</v>
      </c>
      <c r="AA246">
        <v>10384</v>
      </c>
      <c r="AB246">
        <v>200</v>
      </c>
      <c r="AC246">
        <v>220</v>
      </c>
      <c r="AD246">
        <v>10</v>
      </c>
      <c r="AE246">
        <v>10</v>
      </c>
      <c r="AF246">
        <v>0</v>
      </c>
      <c r="AG246">
        <v>0</v>
      </c>
      <c r="AH246">
        <v>1.0097321817421339</v>
      </c>
      <c r="AI246">
        <v>1.5145982726132008</v>
      </c>
      <c r="AJ246">
        <v>0</v>
      </c>
      <c r="AK246">
        <v>0</v>
      </c>
      <c r="AL246">
        <v>1.0097321817421339</v>
      </c>
      <c r="AM246">
        <v>1.0097321817421339</v>
      </c>
      <c r="AN246">
        <v>1.0097321817421339</v>
      </c>
      <c r="AO246">
        <v>0</v>
      </c>
      <c r="AP246">
        <v>0</v>
      </c>
      <c r="AQ246">
        <v>0</v>
      </c>
      <c r="AR246">
        <v>0</v>
      </c>
      <c r="AS246">
        <v>0</v>
      </c>
      <c r="AT246">
        <v>4.5437948178396024</v>
      </c>
      <c r="AU246">
        <v>1.5145982726132008</v>
      </c>
      <c r="AV246">
        <v>0</v>
      </c>
      <c r="AW246">
        <v>1.5145982726132008</v>
      </c>
      <c r="AX246">
        <v>0</v>
      </c>
      <c r="AY246">
        <v>3.5340626360974685</v>
      </c>
    </row>
    <row r="247" spans="1:51">
      <c r="A247" t="s">
        <v>235</v>
      </c>
      <c r="B247">
        <v>70</v>
      </c>
      <c r="C247">
        <v>70</v>
      </c>
      <c r="D247">
        <v>3</v>
      </c>
      <c r="E247">
        <v>32036</v>
      </c>
      <c r="F247">
        <v>0</v>
      </c>
      <c r="G247">
        <v>15</v>
      </c>
      <c r="H247">
        <v>10</v>
      </c>
      <c r="I247">
        <v>0</v>
      </c>
      <c r="J247">
        <v>0</v>
      </c>
      <c r="K247">
        <v>66.7</v>
      </c>
      <c r="L247">
        <v>57.1</v>
      </c>
      <c r="M247">
        <v>42.9</v>
      </c>
      <c r="N247">
        <v>50</v>
      </c>
      <c r="T247" t="str">
        <f t="shared" si="6"/>
        <v>Marcel Colomb First Nation</v>
      </c>
      <c r="W247">
        <v>21837</v>
      </c>
      <c r="X247">
        <v>25452</v>
      </c>
      <c r="Y247">
        <v>0</v>
      </c>
      <c r="Z247">
        <v>25664</v>
      </c>
      <c r="AA247">
        <v>5456</v>
      </c>
      <c r="AB247">
        <v>30</v>
      </c>
      <c r="AC247">
        <v>30</v>
      </c>
      <c r="AD247">
        <v>0</v>
      </c>
      <c r="AE247">
        <v>0</v>
      </c>
      <c r="AF247" t="e">
        <v>#N/A</v>
      </c>
      <c r="AG247" t="e">
        <v>#N/A</v>
      </c>
      <c r="AH247" t="e">
        <v>#N/A</v>
      </c>
      <c r="AI247" t="e">
        <v>#N/A</v>
      </c>
      <c r="AJ247" t="e">
        <v>#N/A</v>
      </c>
      <c r="AK247" t="e">
        <v>#N/A</v>
      </c>
      <c r="AL247" t="e">
        <v>#N/A</v>
      </c>
      <c r="AM247" t="e">
        <v>#N/A</v>
      </c>
      <c r="AN247" t="e">
        <v>#N/A</v>
      </c>
      <c r="AO247" t="e">
        <v>#N/A</v>
      </c>
      <c r="AP247" t="e">
        <v>#N/A</v>
      </c>
      <c r="AQ247" t="e">
        <v>#N/A</v>
      </c>
      <c r="AR247" t="e">
        <v>#N/A</v>
      </c>
      <c r="AS247" t="e">
        <v>#N/A</v>
      </c>
      <c r="AT247" t="e">
        <v>#N/A</v>
      </c>
      <c r="AU247" t="e">
        <v>#N/A</v>
      </c>
      <c r="AV247" t="e">
        <v>#N/A</v>
      </c>
      <c r="AW247" t="e">
        <v>#N/A</v>
      </c>
      <c r="AX247" t="e">
        <v>#N/A</v>
      </c>
      <c r="AY247" t="e">
        <v>#N/A</v>
      </c>
    </row>
    <row r="248" spans="1:51">
      <c r="A248" t="s">
        <v>236</v>
      </c>
      <c r="B248">
        <v>99</v>
      </c>
      <c r="C248" s="102"/>
      <c r="D248" s="102"/>
      <c r="E248" s="102"/>
      <c r="F248" s="102"/>
      <c r="G248" s="102"/>
      <c r="H248" s="102"/>
      <c r="I248" s="102"/>
      <c r="J248" s="102"/>
      <c r="K248" s="102"/>
      <c r="L248" s="102"/>
      <c r="M248" s="102"/>
      <c r="N248" s="102"/>
      <c r="T248">
        <f t="shared" si="6"/>
        <v>0</v>
      </c>
      <c r="AB248">
        <v>0</v>
      </c>
      <c r="AC248">
        <v>0</v>
      </c>
      <c r="AD248">
        <v>0</v>
      </c>
      <c r="AE248">
        <v>0</v>
      </c>
      <c r="AF248" t="e">
        <v>#N/A</v>
      </c>
      <c r="AG248" t="e">
        <v>#N/A</v>
      </c>
      <c r="AH248" t="e">
        <v>#N/A</v>
      </c>
      <c r="AI248" t="e">
        <v>#N/A</v>
      </c>
      <c r="AJ248" t="e">
        <v>#N/A</v>
      </c>
      <c r="AK248" t="e">
        <v>#N/A</v>
      </c>
      <c r="AL248" t="e">
        <v>#N/A</v>
      </c>
      <c r="AM248" t="e">
        <v>#N/A</v>
      </c>
      <c r="AN248" t="e">
        <v>#N/A</v>
      </c>
      <c r="AO248" t="e">
        <v>#N/A</v>
      </c>
      <c r="AP248" t="e">
        <v>#N/A</v>
      </c>
      <c r="AQ248" t="e">
        <v>#N/A</v>
      </c>
      <c r="AR248" t="e">
        <v>#N/A</v>
      </c>
      <c r="AS248" t="e">
        <v>#N/A</v>
      </c>
      <c r="AT248" t="e">
        <v>#N/A</v>
      </c>
      <c r="AU248" t="e">
        <v>#N/A</v>
      </c>
      <c r="AV248" t="e">
        <v>#N/A</v>
      </c>
      <c r="AW248" t="e">
        <v>#N/A</v>
      </c>
      <c r="AX248" t="e">
        <v>#N/A</v>
      </c>
      <c r="AY248" t="e">
        <v>#N/A</v>
      </c>
    </row>
    <row r="249" spans="1:51">
      <c r="A249" t="s">
        <v>237</v>
      </c>
      <c r="B249">
        <v>1460</v>
      </c>
      <c r="C249">
        <v>1465</v>
      </c>
      <c r="D249">
        <v>2.5</v>
      </c>
      <c r="E249">
        <v>27363</v>
      </c>
      <c r="F249">
        <v>0</v>
      </c>
      <c r="G249">
        <v>325</v>
      </c>
      <c r="H249">
        <v>115</v>
      </c>
      <c r="I249">
        <v>135</v>
      </c>
      <c r="J249">
        <v>4.5999999999999996</v>
      </c>
      <c r="K249">
        <v>41.5</v>
      </c>
      <c r="L249">
        <v>42.1</v>
      </c>
      <c r="M249">
        <v>31.1</v>
      </c>
      <c r="N249">
        <v>26.1</v>
      </c>
      <c r="T249" t="str">
        <f t="shared" si="6"/>
        <v>Mathias Colomb First Nation</v>
      </c>
      <c r="W249">
        <v>18214</v>
      </c>
      <c r="X249">
        <v>18641</v>
      </c>
      <c r="Y249">
        <v>17726</v>
      </c>
      <c r="Z249">
        <v>9280</v>
      </c>
      <c r="AA249">
        <v>11296</v>
      </c>
      <c r="AB249">
        <v>640</v>
      </c>
      <c r="AC249">
        <v>760</v>
      </c>
      <c r="AD249">
        <v>135</v>
      </c>
      <c r="AE249">
        <v>60</v>
      </c>
      <c r="AF249" t="e">
        <v>#VALUE!</v>
      </c>
      <c r="AG249" t="e">
        <v>#VALUE!</v>
      </c>
      <c r="AH249" t="e">
        <v>#VALUE!</v>
      </c>
      <c r="AI249" t="e">
        <v>#VALUE!</v>
      </c>
      <c r="AJ249" t="e">
        <v>#VALUE!</v>
      </c>
      <c r="AK249" t="e">
        <v>#VALUE!</v>
      </c>
      <c r="AL249" t="e">
        <v>#VALUE!</v>
      </c>
      <c r="AM249" t="e">
        <v>#VALUE!</v>
      </c>
      <c r="AN249" t="e">
        <v>#VALUE!</v>
      </c>
      <c r="AO249" t="e">
        <v>#VALUE!</v>
      </c>
      <c r="AP249" t="e">
        <v>#VALUE!</v>
      </c>
      <c r="AQ249" t="e">
        <v>#VALUE!</v>
      </c>
      <c r="AR249" t="e">
        <v>#VALUE!</v>
      </c>
      <c r="AS249" t="e">
        <v>#VALUE!</v>
      </c>
      <c r="AT249" t="e">
        <v>#VALUE!</v>
      </c>
      <c r="AU249" t="e">
        <v>#VALUE!</v>
      </c>
      <c r="AV249" t="e">
        <v>#VALUE!</v>
      </c>
      <c r="AW249" t="e">
        <v>#VALUE!</v>
      </c>
      <c r="AX249" t="e">
        <v>#VALUE!</v>
      </c>
      <c r="AY249" t="e">
        <v>#VALUE!</v>
      </c>
    </row>
    <row r="250" spans="1:51">
      <c r="A250" t="s">
        <v>384</v>
      </c>
      <c r="B250">
        <v>510</v>
      </c>
      <c r="C250">
        <v>510</v>
      </c>
      <c r="D250">
        <v>0.9</v>
      </c>
      <c r="E250">
        <v>40835</v>
      </c>
      <c r="F250">
        <v>19.399999999999999</v>
      </c>
      <c r="G250">
        <v>205</v>
      </c>
      <c r="H250">
        <v>95</v>
      </c>
      <c r="I250">
        <v>50</v>
      </c>
      <c r="J250">
        <v>87.8</v>
      </c>
      <c r="K250">
        <v>12.2</v>
      </c>
      <c r="L250">
        <v>73.099999999999994</v>
      </c>
      <c r="M250">
        <v>67.7</v>
      </c>
      <c r="N250">
        <v>7.4</v>
      </c>
      <c r="T250">
        <f t="shared" si="6"/>
        <v>0</v>
      </c>
      <c r="W250">
        <v>16896</v>
      </c>
      <c r="X250">
        <v>21195</v>
      </c>
      <c r="Y250">
        <v>12135</v>
      </c>
      <c r="Z250">
        <v>12719</v>
      </c>
      <c r="AA250">
        <v>10224</v>
      </c>
      <c r="AB250">
        <v>35</v>
      </c>
      <c r="AC250">
        <v>370</v>
      </c>
      <c r="AD250">
        <v>175</v>
      </c>
      <c r="AE250">
        <v>75</v>
      </c>
      <c r="AF250">
        <v>8.5159030327810843</v>
      </c>
      <c r="AG250">
        <v>0</v>
      </c>
      <c r="AH250">
        <v>0</v>
      </c>
      <c r="AI250">
        <v>0.69047862427954743</v>
      </c>
      <c r="AJ250">
        <v>0.46031908285303164</v>
      </c>
      <c r="AK250">
        <v>0</v>
      </c>
      <c r="AL250">
        <v>1.150797707132579</v>
      </c>
      <c r="AM250">
        <v>0.46031908285303164</v>
      </c>
      <c r="AN250">
        <v>0</v>
      </c>
      <c r="AO250">
        <v>0</v>
      </c>
      <c r="AP250">
        <v>0</v>
      </c>
      <c r="AQ250">
        <v>0</v>
      </c>
      <c r="AR250">
        <v>0</v>
      </c>
      <c r="AS250">
        <v>0.46031908285303164</v>
      </c>
      <c r="AT250">
        <v>0.69047862427954743</v>
      </c>
      <c r="AU250">
        <v>2.0714358728386424</v>
      </c>
      <c r="AV250">
        <v>0</v>
      </c>
      <c r="AW250">
        <v>0.46031908285303164</v>
      </c>
      <c r="AX250">
        <v>0.46031908285303164</v>
      </c>
      <c r="AY250">
        <v>0.69047862427954743</v>
      </c>
    </row>
    <row r="251" spans="1:51">
      <c r="A251" t="s">
        <v>779</v>
      </c>
      <c r="B251">
        <v>495</v>
      </c>
      <c r="C251">
        <v>490</v>
      </c>
      <c r="D251">
        <v>0.6</v>
      </c>
      <c r="E251">
        <v>47650</v>
      </c>
      <c r="F251">
        <v>9.4</v>
      </c>
      <c r="G251">
        <v>250</v>
      </c>
      <c r="H251">
        <v>75</v>
      </c>
      <c r="I251">
        <v>40</v>
      </c>
      <c r="J251">
        <v>82</v>
      </c>
      <c r="K251">
        <v>20</v>
      </c>
      <c r="L251">
        <v>54.9</v>
      </c>
      <c r="M251">
        <v>53.7</v>
      </c>
      <c r="N251">
        <v>0</v>
      </c>
      <c r="T251">
        <f t="shared" si="6"/>
        <v>0</v>
      </c>
      <c r="W251">
        <v>24649</v>
      </c>
      <c r="X251">
        <v>32646</v>
      </c>
      <c r="Y251">
        <v>16369</v>
      </c>
      <c r="Z251">
        <v>19032</v>
      </c>
      <c r="AA251">
        <v>12611</v>
      </c>
      <c r="AB251">
        <v>85</v>
      </c>
      <c r="AC251">
        <v>265</v>
      </c>
      <c r="AD251">
        <v>135</v>
      </c>
      <c r="AE251">
        <v>150</v>
      </c>
      <c r="AF251">
        <v>0.69559328075569227</v>
      </c>
      <c r="AG251">
        <v>0</v>
      </c>
      <c r="AH251">
        <v>0</v>
      </c>
      <c r="AI251">
        <v>1.7389832018892304</v>
      </c>
      <c r="AJ251">
        <v>0.69559328075569227</v>
      </c>
      <c r="AK251">
        <v>0</v>
      </c>
      <c r="AL251">
        <v>0.69559328075569227</v>
      </c>
      <c r="AM251">
        <v>0.69559328075569227</v>
      </c>
      <c r="AN251">
        <v>0</v>
      </c>
      <c r="AO251">
        <v>0</v>
      </c>
      <c r="AP251">
        <v>0</v>
      </c>
      <c r="AQ251">
        <v>0</v>
      </c>
      <c r="AR251">
        <v>0</v>
      </c>
      <c r="AS251">
        <v>1.3911865615113845</v>
      </c>
      <c r="AT251">
        <v>1.7389832018892304</v>
      </c>
      <c r="AU251">
        <v>3.4779664037784608</v>
      </c>
      <c r="AV251">
        <v>0</v>
      </c>
      <c r="AW251">
        <v>1.0433899211335382</v>
      </c>
      <c r="AX251">
        <v>1.0433899211335382</v>
      </c>
      <c r="AY251">
        <v>1.0433899211335382</v>
      </c>
    </row>
    <row r="252" spans="1:51">
      <c r="A252" t="s">
        <v>238</v>
      </c>
      <c r="B252">
        <v>80</v>
      </c>
      <c r="C252" s="102"/>
      <c r="D252" s="102"/>
      <c r="E252" s="102"/>
      <c r="F252" s="102"/>
      <c r="G252" s="102"/>
      <c r="H252" s="102"/>
      <c r="I252" s="102"/>
      <c r="J252" s="102"/>
      <c r="K252" s="102"/>
      <c r="L252" s="102"/>
      <c r="M252" s="102"/>
      <c r="N252" s="102"/>
      <c r="T252">
        <f t="shared" si="6"/>
        <v>0</v>
      </c>
      <c r="AB252">
        <v>0</v>
      </c>
      <c r="AC252">
        <v>0</v>
      </c>
      <c r="AD252">
        <v>0</v>
      </c>
      <c r="AE252">
        <v>0</v>
      </c>
      <c r="AF252" t="e">
        <v>#N/A</v>
      </c>
      <c r="AG252" t="e">
        <v>#N/A</v>
      </c>
      <c r="AH252" t="e">
        <v>#N/A</v>
      </c>
      <c r="AI252" t="e">
        <v>#N/A</v>
      </c>
      <c r="AJ252" t="e">
        <v>#N/A</v>
      </c>
      <c r="AK252" t="e">
        <v>#N/A</v>
      </c>
      <c r="AL252" t="e">
        <v>#N/A</v>
      </c>
      <c r="AM252" t="e">
        <v>#N/A</v>
      </c>
      <c r="AN252" t="e">
        <v>#N/A</v>
      </c>
      <c r="AO252" t="e">
        <v>#N/A</v>
      </c>
      <c r="AP252" t="e">
        <v>#N/A</v>
      </c>
      <c r="AQ252" t="e">
        <v>#N/A</v>
      </c>
      <c r="AR252" t="e">
        <v>#N/A</v>
      </c>
      <c r="AS252" t="e">
        <v>#N/A</v>
      </c>
      <c r="AT252" t="e">
        <v>#N/A</v>
      </c>
      <c r="AU252" t="e">
        <v>#N/A</v>
      </c>
      <c r="AV252" t="e">
        <v>#N/A</v>
      </c>
      <c r="AW252" t="e">
        <v>#N/A</v>
      </c>
      <c r="AX252" t="e">
        <v>#N/A</v>
      </c>
      <c r="AY252" t="e">
        <v>#N/A</v>
      </c>
    </row>
    <row r="253" spans="1:51">
      <c r="A253" t="s">
        <v>385</v>
      </c>
      <c r="B253">
        <v>1090</v>
      </c>
      <c r="C253">
        <v>1095</v>
      </c>
      <c r="D253">
        <v>0.9</v>
      </c>
      <c r="E253">
        <v>47979</v>
      </c>
      <c r="F253">
        <v>10</v>
      </c>
      <c r="G253">
        <v>510</v>
      </c>
      <c r="H253">
        <v>140</v>
      </c>
      <c r="I253">
        <v>30</v>
      </c>
      <c r="J253">
        <v>77.5</v>
      </c>
      <c r="K253">
        <v>23.5</v>
      </c>
      <c r="L253">
        <v>57.1</v>
      </c>
      <c r="M253">
        <v>54.8</v>
      </c>
      <c r="N253">
        <v>4</v>
      </c>
      <c r="T253">
        <f t="shared" si="6"/>
        <v>0</v>
      </c>
      <c r="W253">
        <v>21681</v>
      </c>
      <c r="X253">
        <v>31049</v>
      </c>
      <c r="Y253">
        <v>12714</v>
      </c>
      <c r="Z253">
        <v>24102</v>
      </c>
      <c r="AA253">
        <v>13468</v>
      </c>
      <c r="AB253">
        <v>205</v>
      </c>
      <c r="AC253">
        <v>585</v>
      </c>
      <c r="AD253">
        <v>275</v>
      </c>
      <c r="AE253">
        <v>290</v>
      </c>
      <c r="AF253">
        <v>2.3243834876737237</v>
      </c>
      <c r="AG253">
        <v>0.61983559671299304</v>
      </c>
      <c r="AH253">
        <v>0.30991779835649652</v>
      </c>
      <c r="AI253">
        <v>0.92975339506948962</v>
      </c>
      <c r="AJ253">
        <v>0</v>
      </c>
      <c r="AK253">
        <v>1.8595067901389792</v>
      </c>
      <c r="AL253">
        <v>1.3946300926042343</v>
      </c>
      <c r="AM253">
        <v>0.46487669753474481</v>
      </c>
      <c r="AN253">
        <v>0.46487669753474481</v>
      </c>
      <c r="AO253">
        <v>0.46487669753474481</v>
      </c>
      <c r="AP253">
        <v>0</v>
      </c>
      <c r="AQ253">
        <v>0.61983559671299304</v>
      </c>
      <c r="AR253">
        <v>0</v>
      </c>
      <c r="AS253">
        <v>0</v>
      </c>
      <c r="AT253">
        <v>1.5495889917824828</v>
      </c>
      <c r="AU253">
        <v>2.6343012860302206</v>
      </c>
      <c r="AV253">
        <v>0</v>
      </c>
      <c r="AW253">
        <v>0.30991779835649652</v>
      </c>
      <c r="AX253">
        <v>1.0847122942477381</v>
      </c>
      <c r="AY253">
        <v>0.30991779835649652</v>
      </c>
    </row>
    <row r="254" spans="1:51">
      <c r="A254" t="s">
        <v>667</v>
      </c>
      <c r="B254">
        <v>970</v>
      </c>
      <c r="C254">
        <v>845</v>
      </c>
      <c r="D254">
        <v>1</v>
      </c>
      <c r="E254">
        <v>40077</v>
      </c>
      <c r="F254">
        <v>17.600000000000001</v>
      </c>
      <c r="G254">
        <v>345</v>
      </c>
      <c r="H254">
        <v>110</v>
      </c>
      <c r="I254">
        <v>15</v>
      </c>
      <c r="J254">
        <v>87</v>
      </c>
      <c r="K254">
        <v>13</v>
      </c>
      <c r="L254">
        <v>63.4</v>
      </c>
      <c r="M254">
        <v>62.1</v>
      </c>
      <c r="N254">
        <v>2.1</v>
      </c>
      <c r="T254">
        <f t="shared" si="6"/>
        <v>0</v>
      </c>
      <c r="W254">
        <v>12368</v>
      </c>
      <c r="X254">
        <v>12764</v>
      </c>
      <c r="Y254">
        <v>11831</v>
      </c>
      <c r="Z254">
        <v>20147</v>
      </c>
      <c r="AA254">
        <v>12665</v>
      </c>
      <c r="AB254">
        <v>210</v>
      </c>
      <c r="AC254">
        <v>575</v>
      </c>
      <c r="AD254">
        <v>280</v>
      </c>
      <c r="AE254">
        <v>170</v>
      </c>
      <c r="AF254">
        <v>8.2287968006923382</v>
      </c>
      <c r="AG254">
        <v>0</v>
      </c>
      <c r="AH254">
        <v>0</v>
      </c>
      <c r="AI254">
        <v>0.32269791375264073</v>
      </c>
      <c r="AJ254">
        <v>0.32269791375264073</v>
      </c>
      <c r="AK254">
        <v>0.96809374125792225</v>
      </c>
      <c r="AL254">
        <v>0.64539582750528146</v>
      </c>
      <c r="AM254">
        <v>0.8067447843816018</v>
      </c>
      <c r="AN254">
        <v>0</v>
      </c>
      <c r="AO254">
        <v>0</v>
      </c>
      <c r="AP254">
        <v>0</v>
      </c>
      <c r="AQ254">
        <v>0</v>
      </c>
      <c r="AR254">
        <v>0</v>
      </c>
      <c r="AS254">
        <v>0</v>
      </c>
      <c r="AT254">
        <v>0.48404687062896112</v>
      </c>
      <c r="AU254">
        <v>0.48404687062896112</v>
      </c>
      <c r="AV254">
        <v>0.48404687062896112</v>
      </c>
      <c r="AW254">
        <v>1.1294426981342425</v>
      </c>
      <c r="AX254">
        <v>0.48404687062896112</v>
      </c>
      <c r="AY254">
        <v>0.32269791375264073</v>
      </c>
    </row>
    <row r="255" spans="1:51">
      <c r="A255" t="s">
        <v>387</v>
      </c>
      <c r="B255">
        <v>1150</v>
      </c>
      <c r="C255">
        <v>1150</v>
      </c>
      <c r="D255">
        <v>1.2</v>
      </c>
      <c r="E255">
        <v>44298</v>
      </c>
      <c r="F255">
        <v>17.399999999999999</v>
      </c>
      <c r="G255">
        <v>400</v>
      </c>
      <c r="H255">
        <v>185</v>
      </c>
      <c r="I255">
        <v>65</v>
      </c>
      <c r="J255">
        <v>93.8</v>
      </c>
      <c r="K255">
        <v>6.3</v>
      </c>
      <c r="L255">
        <v>85.7</v>
      </c>
      <c r="M255">
        <v>84.6</v>
      </c>
      <c r="N255">
        <v>1.3</v>
      </c>
      <c r="T255">
        <f t="shared" si="6"/>
        <v>0</v>
      </c>
      <c r="W255">
        <v>17759</v>
      </c>
      <c r="X255">
        <v>20067</v>
      </c>
      <c r="Y255">
        <v>14423</v>
      </c>
      <c r="Z255">
        <v>19976</v>
      </c>
      <c r="AA255">
        <v>9690</v>
      </c>
      <c r="AB255">
        <v>275</v>
      </c>
      <c r="AC255">
        <v>745</v>
      </c>
      <c r="AD255">
        <v>325</v>
      </c>
      <c r="AE255">
        <v>115</v>
      </c>
      <c r="AF255">
        <v>5.9079363084051337</v>
      </c>
      <c r="AG255">
        <v>0</v>
      </c>
      <c r="AH255">
        <v>0</v>
      </c>
      <c r="AI255">
        <v>0.41459202164246556</v>
      </c>
      <c r="AJ255">
        <v>2.0729601082123281</v>
      </c>
      <c r="AK255">
        <v>0.62188803246369839</v>
      </c>
      <c r="AL255">
        <v>1.0364800541061641</v>
      </c>
      <c r="AM255">
        <v>0.20729601082123278</v>
      </c>
      <c r="AN255">
        <v>0.20729601082123278</v>
      </c>
      <c r="AO255">
        <v>0.41459202164246556</v>
      </c>
      <c r="AP255">
        <v>0.20729601082123278</v>
      </c>
      <c r="AQ255">
        <v>0</v>
      </c>
      <c r="AR255">
        <v>0</v>
      </c>
      <c r="AS255">
        <v>0</v>
      </c>
      <c r="AT255">
        <v>1.0364800541061641</v>
      </c>
      <c r="AU255">
        <v>1.865664097391095</v>
      </c>
      <c r="AV255">
        <v>0</v>
      </c>
      <c r="AW255">
        <v>1.1401280595167802</v>
      </c>
      <c r="AX255">
        <v>0.3109440162318492</v>
      </c>
      <c r="AY255">
        <v>0.20729601082123278</v>
      </c>
    </row>
    <row r="256" spans="1:51">
      <c r="A256" t="s">
        <v>387</v>
      </c>
      <c r="B256">
        <v>535</v>
      </c>
      <c r="C256">
        <v>535</v>
      </c>
      <c r="D256">
        <v>1</v>
      </c>
      <c r="E256">
        <v>53097</v>
      </c>
      <c r="F256">
        <v>0</v>
      </c>
      <c r="G256">
        <v>230</v>
      </c>
      <c r="H256">
        <v>55</v>
      </c>
      <c r="I256">
        <v>55</v>
      </c>
      <c r="J256">
        <v>91.3</v>
      </c>
      <c r="K256">
        <v>10.9</v>
      </c>
      <c r="L256">
        <v>45.3</v>
      </c>
      <c r="M256">
        <v>40.700000000000003</v>
      </c>
      <c r="N256">
        <v>12.8</v>
      </c>
      <c r="T256">
        <f t="shared" si="6"/>
        <v>0</v>
      </c>
      <c r="W256">
        <v>17759</v>
      </c>
      <c r="X256">
        <v>20067</v>
      </c>
      <c r="Y256">
        <v>14423</v>
      </c>
      <c r="Z256">
        <v>19976</v>
      </c>
      <c r="AA256">
        <v>9690</v>
      </c>
      <c r="AB256">
        <v>275</v>
      </c>
      <c r="AC256">
        <v>745</v>
      </c>
      <c r="AD256">
        <v>325</v>
      </c>
      <c r="AE256">
        <v>115</v>
      </c>
      <c r="AF256">
        <v>5.9079363084051337</v>
      </c>
      <c r="AG256">
        <v>0</v>
      </c>
      <c r="AH256">
        <v>0</v>
      </c>
      <c r="AI256">
        <v>0.41459202164246556</v>
      </c>
      <c r="AJ256">
        <v>2.0729601082123281</v>
      </c>
      <c r="AK256">
        <v>0.62188803246369839</v>
      </c>
      <c r="AL256">
        <v>1.0364800541061641</v>
      </c>
      <c r="AM256">
        <v>0.20729601082123278</v>
      </c>
      <c r="AN256">
        <v>0.20729601082123278</v>
      </c>
      <c r="AO256">
        <v>0.41459202164246556</v>
      </c>
      <c r="AP256">
        <v>0.20729601082123278</v>
      </c>
      <c r="AQ256">
        <v>0</v>
      </c>
      <c r="AR256">
        <v>0</v>
      </c>
      <c r="AS256">
        <v>0</v>
      </c>
      <c r="AT256">
        <v>1.0364800541061641</v>
      </c>
      <c r="AU256">
        <v>1.865664097391095</v>
      </c>
      <c r="AV256">
        <v>0</v>
      </c>
      <c r="AW256">
        <v>1.1401280595167802</v>
      </c>
      <c r="AX256">
        <v>0.3109440162318492</v>
      </c>
      <c r="AY256">
        <v>0.20729601082123278</v>
      </c>
    </row>
    <row r="257" spans="1:51">
      <c r="A257" t="s">
        <v>388</v>
      </c>
      <c r="B257">
        <v>2375</v>
      </c>
      <c r="C257">
        <v>2375</v>
      </c>
      <c r="D257">
        <v>0.9</v>
      </c>
      <c r="E257">
        <v>48466</v>
      </c>
      <c r="F257">
        <v>8.8000000000000007</v>
      </c>
      <c r="G257">
        <v>1110</v>
      </c>
      <c r="H257">
        <v>330</v>
      </c>
      <c r="I257">
        <v>90</v>
      </c>
      <c r="J257">
        <v>77</v>
      </c>
      <c r="K257">
        <v>23</v>
      </c>
      <c r="L257">
        <v>58.7</v>
      </c>
      <c r="M257">
        <v>56.5</v>
      </c>
      <c r="N257">
        <v>3.9</v>
      </c>
      <c r="T257">
        <f t="shared" si="6"/>
        <v>0</v>
      </c>
      <c r="W257">
        <v>24544</v>
      </c>
      <c r="X257">
        <v>29266</v>
      </c>
      <c r="Y257">
        <v>19288</v>
      </c>
      <c r="Z257">
        <v>24703</v>
      </c>
      <c r="AA257">
        <v>16261</v>
      </c>
      <c r="AB257">
        <v>400</v>
      </c>
      <c r="AC257">
        <v>1340</v>
      </c>
      <c r="AD257">
        <v>525</v>
      </c>
      <c r="AE257">
        <v>625</v>
      </c>
      <c r="AF257">
        <v>1.0793688839312465</v>
      </c>
      <c r="AG257">
        <v>0.20238166573710872</v>
      </c>
      <c r="AH257">
        <v>0.20238166573710872</v>
      </c>
      <c r="AI257">
        <v>1.3492111049140583</v>
      </c>
      <c r="AJ257">
        <v>1.2817505496683552</v>
      </c>
      <c r="AK257">
        <v>0.20238166573710872</v>
      </c>
      <c r="AL257">
        <v>1.4841322154054639</v>
      </c>
      <c r="AM257">
        <v>1.2817505496683552</v>
      </c>
      <c r="AN257">
        <v>0.6071449972113262</v>
      </c>
      <c r="AO257">
        <v>0.20238166573710872</v>
      </c>
      <c r="AP257">
        <v>0</v>
      </c>
      <c r="AQ257">
        <v>0.33730277622851457</v>
      </c>
      <c r="AR257">
        <v>0</v>
      </c>
      <c r="AS257">
        <v>0.20238166573710872</v>
      </c>
      <c r="AT257">
        <v>1.4841322154054639</v>
      </c>
      <c r="AU257">
        <v>2.361119433599602</v>
      </c>
      <c r="AV257">
        <v>0.20238166573710872</v>
      </c>
      <c r="AW257">
        <v>1.4166716601597611</v>
      </c>
      <c r="AX257">
        <v>0.94444777343984077</v>
      </c>
      <c r="AY257">
        <v>0.74206610770273196</v>
      </c>
    </row>
    <row r="258" spans="1:51">
      <c r="A258" t="s">
        <v>672</v>
      </c>
      <c r="B258">
        <v>680</v>
      </c>
      <c r="C258">
        <v>615</v>
      </c>
      <c r="D258">
        <v>1.2</v>
      </c>
      <c r="E258">
        <v>50722</v>
      </c>
      <c r="F258">
        <v>16.7</v>
      </c>
      <c r="G258">
        <v>225</v>
      </c>
      <c r="H258">
        <v>90</v>
      </c>
      <c r="I258">
        <v>25</v>
      </c>
      <c r="J258">
        <v>91.1</v>
      </c>
      <c r="K258">
        <v>6.7</v>
      </c>
      <c r="L258">
        <v>75.7</v>
      </c>
      <c r="M258">
        <v>74.8</v>
      </c>
      <c r="N258">
        <v>2.4</v>
      </c>
      <c r="T258">
        <f t="shared" si="6"/>
        <v>0</v>
      </c>
      <c r="W258">
        <v>19719</v>
      </c>
      <c r="X258">
        <v>17231</v>
      </c>
      <c r="Y258">
        <v>22825</v>
      </c>
      <c r="Z258">
        <v>14563</v>
      </c>
      <c r="AA258">
        <v>15608</v>
      </c>
      <c r="AB258">
        <v>115</v>
      </c>
      <c r="AC258">
        <v>470</v>
      </c>
      <c r="AD258">
        <v>200</v>
      </c>
      <c r="AE258">
        <v>90</v>
      </c>
      <c r="AF258">
        <v>5.7759084919892301</v>
      </c>
      <c r="AG258">
        <v>0.37263925754769223</v>
      </c>
      <c r="AH258">
        <v>0</v>
      </c>
      <c r="AI258">
        <v>0.74527851509538445</v>
      </c>
      <c r="AJ258">
        <v>0</v>
      </c>
      <c r="AK258">
        <v>0.37263925754769223</v>
      </c>
      <c r="AL258">
        <v>1.3042374014169229</v>
      </c>
      <c r="AM258">
        <v>1.1179177726430767</v>
      </c>
      <c r="AN258">
        <v>0.37263925754769223</v>
      </c>
      <c r="AO258">
        <v>0.37263925754769223</v>
      </c>
      <c r="AP258">
        <v>0</v>
      </c>
      <c r="AQ258">
        <v>0</v>
      </c>
      <c r="AR258">
        <v>0.37263925754769223</v>
      </c>
      <c r="AS258">
        <v>0</v>
      </c>
      <c r="AT258">
        <v>1.1179177726430767</v>
      </c>
      <c r="AU258">
        <v>1.4905570301907689</v>
      </c>
      <c r="AV258">
        <v>0</v>
      </c>
      <c r="AW258">
        <v>0.93159814386923057</v>
      </c>
      <c r="AX258">
        <v>0.74527851509538445</v>
      </c>
      <c r="AY258">
        <v>0.37263925754769223</v>
      </c>
    </row>
    <row r="259" spans="1:51">
      <c r="A259" t="s">
        <v>494</v>
      </c>
      <c r="B259">
        <v>595</v>
      </c>
      <c r="C259">
        <v>590</v>
      </c>
      <c r="D259">
        <v>2.4</v>
      </c>
      <c r="E259">
        <v>32236</v>
      </c>
      <c r="F259">
        <v>0</v>
      </c>
      <c r="G259">
        <v>150</v>
      </c>
      <c r="H259">
        <v>50</v>
      </c>
      <c r="I259">
        <v>50</v>
      </c>
      <c r="J259">
        <v>6.7</v>
      </c>
      <c r="K259">
        <v>0</v>
      </c>
      <c r="L259">
        <v>45.1</v>
      </c>
      <c r="M259">
        <v>29.6</v>
      </c>
      <c r="N259">
        <v>34.4</v>
      </c>
      <c r="T259" t="str">
        <f t="shared" si="6"/>
        <v>Misipawistik Cree Nation</v>
      </c>
      <c r="AB259">
        <v>0</v>
      </c>
      <c r="AC259">
        <v>0</v>
      </c>
      <c r="AD259">
        <v>0</v>
      </c>
      <c r="AE259">
        <v>0</v>
      </c>
      <c r="AF259">
        <v>3.5340626360974685</v>
      </c>
      <c r="AG259">
        <v>0</v>
      </c>
      <c r="AH259">
        <v>1.0097321817421339</v>
      </c>
      <c r="AI259">
        <v>0</v>
      </c>
      <c r="AJ259">
        <v>0</v>
      </c>
      <c r="AK259">
        <v>0</v>
      </c>
      <c r="AL259">
        <v>1.0097321817421339</v>
      </c>
      <c r="AM259">
        <v>0</v>
      </c>
      <c r="AN259">
        <v>0</v>
      </c>
      <c r="AO259">
        <v>0</v>
      </c>
      <c r="AP259">
        <v>0</v>
      </c>
      <c r="AQ259">
        <v>0</v>
      </c>
      <c r="AR259">
        <v>0</v>
      </c>
      <c r="AS259">
        <v>0</v>
      </c>
      <c r="AT259">
        <v>1.5145982726132008</v>
      </c>
      <c r="AU259">
        <v>2.0194643634842677</v>
      </c>
      <c r="AV259">
        <v>0</v>
      </c>
      <c r="AW259">
        <v>1.0097321817421339</v>
      </c>
      <c r="AX259">
        <v>0</v>
      </c>
      <c r="AY259">
        <v>4.0389287269685354</v>
      </c>
    </row>
    <row r="260" spans="1:51">
      <c r="A260" t="s">
        <v>611</v>
      </c>
      <c r="B260">
        <v>1400</v>
      </c>
      <c r="C260">
        <v>1325</v>
      </c>
      <c r="D260">
        <v>1.3</v>
      </c>
      <c r="E260">
        <v>58255</v>
      </c>
      <c r="F260">
        <v>11</v>
      </c>
      <c r="G260">
        <v>500</v>
      </c>
      <c r="H260">
        <v>85</v>
      </c>
      <c r="I260">
        <v>65</v>
      </c>
      <c r="J260">
        <v>88</v>
      </c>
      <c r="K260">
        <v>12</v>
      </c>
      <c r="L260">
        <v>71.8</v>
      </c>
      <c r="M260">
        <v>70.400000000000006</v>
      </c>
      <c r="N260">
        <v>2.6</v>
      </c>
      <c r="T260">
        <f t="shared" si="6"/>
        <v>0</v>
      </c>
      <c r="W260">
        <v>24180</v>
      </c>
      <c r="X260">
        <v>27205</v>
      </c>
      <c r="Y260">
        <v>20460</v>
      </c>
      <c r="Z260">
        <v>26013</v>
      </c>
      <c r="AA260">
        <v>14597</v>
      </c>
      <c r="AB260">
        <v>330</v>
      </c>
      <c r="AC260">
        <v>870</v>
      </c>
      <c r="AD260">
        <v>290</v>
      </c>
      <c r="AE260">
        <v>180</v>
      </c>
      <c r="AF260">
        <v>5.9961044169037754</v>
      </c>
      <c r="AG260">
        <v>0</v>
      </c>
      <c r="AH260">
        <v>0.2032577768441958</v>
      </c>
      <c r="AI260">
        <v>0.71140221895468525</v>
      </c>
      <c r="AJ260">
        <v>0.81303110737678319</v>
      </c>
      <c r="AK260">
        <v>0.71140221895468525</v>
      </c>
      <c r="AL260">
        <v>1.7276911031756641</v>
      </c>
      <c r="AM260">
        <v>0.2032577768441958</v>
      </c>
      <c r="AN260">
        <v>0</v>
      </c>
      <c r="AO260">
        <v>0.60977333053258731</v>
      </c>
      <c r="AP260">
        <v>0</v>
      </c>
      <c r="AQ260">
        <v>0</v>
      </c>
      <c r="AR260">
        <v>0</v>
      </c>
      <c r="AS260">
        <v>0.50814444211048937</v>
      </c>
      <c r="AT260">
        <v>0.91465999579888102</v>
      </c>
      <c r="AU260">
        <v>1.2195466610651746</v>
      </c>
      <c r="AV260">
        <v>0.2032577768441958</v>
      </c>
      <c r="AW260">
        <v>0.81303110737678319</v>
      </c>
      <c r="AX260">
        <v>0.50814444211048937</v>
      </c>
      <c r="AY260">
        <v>0.50814444211048937</v>
      </c>
    </row>
    <row r="261" spans="1:51">
      <c r="A261" t="s">
        <v>389</v>
      </c>
      <c r="B261">
        <v>212</v>
      </c>
      <c r="C261" s="102"/>
      <c r="D261" s="102"/>
      <c r="E261" s="102"/>
      <c r="F261" s="102"/>
      <c r="G261" s="102"/>
      <c r="H261" s="102"/>
      <c r="I261" s="102"/>
      <c r="J261" s="102"/>
      <c r="K261" s="102"/>
      <c r="L261" s="102"/>
      <c r="M261" s="102"/>
      <c r="N261" s="102"/>
      <c r="T261">
        <f t="shared" si="6"/>
        <v>0</v>
      </c>
      <c r="AB261">
        <v>0</v>
      </c>
      <c r="AC261">
        <v>0</v>
      </c>
      <c r="AD261">
        <v>0</v>
      </c>
      <c r="AE261">
        <v>0</v>
      </c>
      <c r="AF261" t="e">
        <v>#N/A</v>
      </c>
      <c r="AG261" t="e">
        <v>#N/A</v>
      </c>
      <c r="AH261" t="e">
        <v>#N/A</v>
      </c>
      <c r="AI261" t="e">
        <v>#N/A</v>
      </c>
      <c r="AJ261" t="e">
        <v>#N/A</v>
      </c>
      <c r="AK261" t="e">
        <v>#N/A</v>
      </c>
      <c r="AL261" t="e">
        <v>#N/A</v>
      </c>
      <c r="AM261" t="e">
        <v>#N/A</v>
      </c>
      <c r="AN261" t="e">
        <v>#N/A</v>
      </c>
      <c r="AO261" t="e">
        <v>#N/A</v>
      </c>
      <c r="AP261" t="e">
        <v>#N/A</v>
      </c>
      <c r="AQ261" t="e">
        <v>#N/A</v>
      </c>
      <c r="AR261" t="e">
        <v>#N/A</v>
      </c>
      <c r="AS261" t="e">
        <v>#N/A</v>
      </c>
      <c r="AT261" t="e">
        <v>#N/A</v>
      </c>
      <c r="AU261" t="e">
        <v>#N/A</v>
      </c>
      <c r="AV261" t="e">
        <v>#N/A</v>
      </c>
      <c r="AW261" t="e">
        <v>#N/A</v>
      </c>
      <c r="AX261" t="e">
        <v>#N/A</v>
      </c>
      <c r="AY261" t="e">
        <v>#N/A</v>
      </c>
    </row>
    <row r="262" spans="1:51">
      <c r="A262" t="s">
        <v>390</v>
      </c>
      <c r="B262">
        <v>6070</v>
      </c>
      <c r="C262">
        <v>6065</v>
      </c>
      <c r="D262">
        <v>1.1000000000000001</v>
      </c>
      <c r="E262">
        <v>53562</v>
      </c>
      <c r="F262">
        <v>8.5</v>
      </c>
      <c r="G262">
        <v>2495</v>
      </c>
      <c r="H262">
        <v>720</v>
      </c>
      <c r="I262">
        <v>175</v>
      </c>
      <c r="J262">
        <v>77.2</v>
      </c>
      <c r="K262">
        <v>23</v>
      </c>
      <c r="L262">
        <v>67</v>
      </c>
      <c r="M262">
        <v>64.099999999999994</v>
      </c>
      <c r="N262">
        <v>4.4000000000000004</v>
      </c>
      <c r="T262">
        <f t="shared" ref="T262:T326" si="8">IFERROR(VLOOKUP(A262,$U$12:$U$74,1,0),0)</f>
        <v>0</v>
      </c>
      <c r="W262">
        <v>24711</v>
      </c>
      <c r="X262">
        <v>29558</v>
      </c>
      <c r="Y262">
        <v>19251</v>
      </c>
      <c r="Z262">
        <v>25259</v>
      </c>
      <c r="AA262">
        <v>14898</v>
      </c>
      <c r="AB262">
        <v>1285</v>
      </c>
      <c r="AC262">
        <v>3705</v>
      </c>
      <c r="AD262">
        <v>1260</v>
      </c>
      <c r="AE262">
        <v>1080</v>
      </c>
      <c r="AF262">
        <v>0.51194365289262389</v>
      </c>
      <c r="AG262">
        <v>4.8756538370726091E-2</v>
      </c>
      <c r="AH262">
        <v>0.1706478842975413</v>
      </c>
      <c r="AI262">
        <v>0.75572634474625433</v>
      </c>
      <c r="AJ262">
        <v>3.4129576859508264</v>
      </c>
      <c r="AK262">
        <v>0.41443057615117174</v>
      </c>
      <c r="AL262">
        <v>1.4626961511217826</v>
      </c>
      <c r="AM262">
        <v>0.29253923022435652</v>
      </c>
      <c r="AN262">
        <v>0.1706478842975413</v>
      </c>
      <c r="AO262">
        <v>0.48756538370726094</v>
      </c>
      <c r="AP262">
        <v>9.7513076741452182E-2</v>
      </c>
      <c r="AQ262">
        <v>0.56070019126335002</v>
      </c>
      <c r="AR262">
        <v>0</v>
      </c>
      <c r="AS262">
        <v>0.58507846044871303</v>
      </c>
      <c r="AT262">
        <v>1.0726438441559738</v>
      </c>
      <c r="AU262">
        <v>2.5353399952777567</v>
      </c>
      <c r="AV262">
        <v>0.14626961511217826</v>
      </c>
      <c r="AW262">
        <v>1.3164265360096044</v>
      </c>
      <c r="AX262">
        <v>0.75572634474625433</v>
      </c>
      <c r="AY262">
        <v>0.78010461393161745</v>
      </c>
    </row>
    <row r="263" spans="1:51">
      <c r="A263" s="83" t="s">
        <v>391</v>
      </c>
      <c r="B263">
        <v>1635</v>
      </c>
      <c r="C263">
        <v>1630</v>
      </c>
      <c r="D263">
        <v>1.2</v>
      </c>
      <c r="E263">
        <v>53528</v>
      </c>
      <c r="F263">
        <v>7.6</v>
      </c>
      <c r="G263">
        <v>665</v>
      </c>
      <c r="H263">
        <v>215</v>
      </c>
      <c r="I263">
        <v>125</v>
      </c>
      <c r="J263">
        <v>74.400000000000006</v>
      </c>
      <c r="K263">
        <v>25.6</v>
      </c>
      <c r="L263">
        <v>68.599999999999994</v>
      </c>
      <c r="M263">
        <v>64.3</v>
      </c>
      <c r="N263">
        <v>5.6</v>
      </c>
      <c r="T263">
        <f>IFERROR(VLOOKUP(A263,$U$12:$U$74,1,0),0)</f>
        <v>0</v>
      </c>
      <c r="W263">
        <v>22178</v>
      </c>
      <c r="X263">
        <v>28275</v>
      </c>
      <c r="Y263">
        <v>14976</v>
      </c>
      <c r="Z263">
        <v>24874</v>
      </c>
      <c r="AA263">
        <v>13231</v>
      </c>
      <c r="AB263">
        <v>335</v>
      </c>
      <c r="AC263">
        <v>995</v>
      </c>
      <c r="AD263">
        <v>355</v>
      </c>
      <c r="AE263">
        <v>285</v>
      </c>
      <c r="AF263">
        <v>1.7684574934466752</v>
      </c>
      <c r="AG263">
        <v>0</v>
      </c>
      <c r="AH263">
        <v>0.2652686240170013</v>
      </c>
      <c r="AI263">
        <v>1.3263431200850062</v>
      </c>
      <c r="AJ263">
        <v>1.3263431200850062</v>
      </c>
      <c r="AK263">
        <v>0.97265162139567141</v>
      </c>
      <c r="AL263">
        <v>1.9453032427913428</v>
      </c>
      <c r="AM263">
        <v>0.97265162139567141</v>
      </c>
      <c r="AN263">
        <v>0.17684574934466751</v>
      </c>
      <c r="AO263">
        <v>0.61896012270633638</v>
      </c>
      <c r="AP263">
        <v>0.17684574934466751</v>
      </c>
      <c r="AQ263">
        <v>0.17684574934466751</v>
      </c>
      <c r="AR263">
        <v>0</v>
      </c>
      <c r="AS263">
        <v>0.61896012270633638</v>
      </c>
      <c r="AT263">
        <v>0.5305372480340026</v>
      </c>
      <c r="AU263">
        <v>1.7684574934466752</v>
      </c>
      <c r="AV263">
        <v>0.17684574934466751</v>
      </c>
      <c r="AW263">
        <v>0.70738299737867005</v>
      </c>
      <c r="AX263">
        <v>1.2379202454126728</v>
      </c>
      <c r="AY263">
        <v>0.61896012270633638</v>
      </c>
    </row>
    <row r="264" spans="1:51">
      <c r="A264" s="82" t="s">
        <v>780</v>
      </c>
      <c r="B264">
        <v>2725</v>
      </c>
      <c r="C264">
        <v>2665</v>
      </c>
      <c r="D264">
        <v>1.3</v>
      </c>
      <c r="E264">
        <v>53705</v>
      </c>
      <c r="F264">
        <v>7.3</v>
      </c>
      <c r="G264">
        <v>870</v>
      </c>
      <c r="H264">
        <v>235</v>
      </c>
      <c r="I264">
        <v>85</v>
      </c>
      <c r="J264">
        <v>82.2</v>
      </c>
      <c r="K264">
        <v>18.399999999999999</v>
      </c>
      <c r="L264">
        <v>72.400000000000006</v>
      </c>
      <c r="M264">
        <v>70.599999999999994</v>
      </c>
      <c r="N264">
        <v>2.1</v>
      </c>
      <c r="T264">
        <f>IFERROR(VLOOKUP(A264,$U$12:$U$74,1,0),0)</f>
        <v>0</v>
      </c>
      <c r="W264">
        <v>22528</v>
      </c>
      <c r="X264">
        <v>26879</v>
      </c>
      <c r="Y264">
        <v>17678</v>
      </c>
      <c r="Z264">
        <v>26513</v>
      </c>
      <c r="AA264">
        <v>12028</v>
      </c>
      <c r="AB264">
        <v>710</v>
      </c>
      <c r="AC264">
        <v>1670</v>
      </c>
      <c r="AD264">
        <v>630</v>
      </c>
      <c r="AE264">
        <v>335</v>
      </c>
      <c r="AF264">
        <v>5.6472134906712128</v>
      </c>
      <c r="AG264">
        <v>0.10756597125088024</v>
      </c>
      <c r="AH264">
        <v>0</v>
      </c>
      <c r="AI264">
        <v>1.1832256837596826</v>
      </c>
      <c r="AJ264">
        <v>1.4521406118868834</v>
      </c>
      <c r="AK264">
        <v>0.75296179875616176</v>
      </c>
      <c r="AL264">
        <v>1.2370086693851228</v>
      </c>
      <c r="AM264">
        <v>0.8067447843816018</v>
      </c>
      <c r="AN264">
        <v>0</v>
      </c>
      <c r="AO264">
        <v>0.16134895687632037</v>
      </c>
      <c r="AP264">
        <v>0</v>
      </c>
      <c r="AQ264">
        <v>0.21513194250176049</v>
      </c>
      <c r="AR264">
        <v>0.10756597125088024</v>
      </c>
      <c r="AS264">
        <v>0.10756597125088024</v>
      </c>
      <c r="AT264">
        <v>1.1832256837596826</v>
      </c>
      <c r="AU264">
        <v>1.2907916550105629</v>
      </c>
      <c r="AV264">
        <v>0</v>
      </c>
      <c r="AW264">
        <v>0.37648089937808088</v>
      </c>
      <c r="AX264">
        <v>0.8067447843816018</v>
      </c>
      <c r="AY264">
        <v>0</v>
      </c>
    </row>
    <row r="265" spans="1:51">
      <c r="A265" t="s">
        <v>620</v>
      </c>
      <c r="B265">
        <v>760</v>
      </c>
      <c r="C265">
        <v>760</v>
      </c>
      <c r="D265">
        <v>1.4</v>
      </c>
      <c r="E265">
        <v>50596</v>
      </c>
      <c r="F265">
        <v>7.1</v>
      </c>
      <c r="G265">
        <v>260</v>
      </c>
      <c r="H265">
        <v>85</v>
      </c>
      <c r="I265">
        <v>35</v>
      </c>
      <c r="J265">
        <v>86.5</v>
      </c>
      <c r="K265">
        <v>13.5</v>
      </c>
      <c r="L265">
        <v>78.599999999999994</v>
      </c>
      <c r="M265">
        <v>76.099999999999994</v>
      </c>
      <c r="N265">
        <v>4.3</v>
      </c>
      <c r="T265">
        <f t="shared" si="8"/>
        <v>0</v>
      </c>
      <c r="W265">
        <v>16757</v>
      </c>
      <c r="X265">
        <v>17295</v>
      </c>
      <c r="Y265">
        <v>16016</v>
      </c>
      <c r="Z265">
        <v>20270</v>
      </c>
      <c r="AA265">
        <v>13443</v>
      </c>
      <c r="AB265">
        <v>170</v>
      </c>
      <c r="AC265">
        <v>490</v>
      </c>
      <c r="AD265">
        <v>205</v>
      </c>
      <c r="AE265">
        <v>60</v>
      </c>
      <c r="AF265">
        <v>8.0778574539370709</v>
      </c>
      <c r="AG265">
        <v>0</v>
      </c>
      <c r="AH265">
        <v>0</v>
      </c>
      <c r="AI265">
        <v>0.67315478782808935</v>
      </c>
      <c r="AJ265">
        <v>0.33657739391404468</v>
      </c>
      <c r="AK265">
        <v>0.33657739391404468</v>
      </c>
      <c r="AL265">
        <v>0.84144348478511155</v>
      </c>
      <c r="AM265">
        <v>0</v>
      </c>
      <c r="AN265">
        <v>0</v>
      </c>
      <c r="AO265">
        <v>0</v>
      </c>
      <c r="AP265">
        <v>0</v>
      </c>
      <c r="AQ265">
        <v>0.50486609087106693</v>
      </c>
      <c r="AR265">
        <v>0</v>
      </c>
      <c r="AS265">
        <v>0</v>
      </c>
      <c r="AT265">
        <v>0.50486609087106693</v>
      </c>
      <c r="AU265">
        <v>1.0097321817421339</v>
      </c>
      <c r="AV265">
        <v>0</v>
      </c>
      <c r="AW265">
        <v>0.50486609087106693</v>
      </c>
      <c r="AX265">
        <v>1.1780208786991562</v>
      </c>
      <c r="AY265">
        <v>0.84144348478511155</v>
      </c>
    </row>
    <row r="266" spans="1:51">
      <c r="A266" t="s">
        <v>758</v>
      </c>
      <c r="B266">
        <v>740</v>
      </c>
      <c r="C266">
        <v>740</v>
      </c>
      <c r="D266">
        <v>2.1</v>
      </c>
      <c r="E266">
        <v>22802</v>
      </c>
      <c r="F266">
        <v>0</v>
      </c>
      <c r="G266">
        <v>165</v>
      </c>
      <c r="H266">
        <v>55</v>
      </c>
      <c r="I266">
        <v>40</v>
      </c>
      <c r="J266">
        <v>6.1</v>
      </c>
      <c r="K266">
        <v>0</v>
      </c>
      <c r="L266">
        <v>42.4</v>
      </c>
      <c r="M266">
        <v>23.5</v>
      </c>
      <c r="N266">
        <v>44.4</v>
      </c>
      <c r="T266" t="str">
        <f t="shared" si="8"/>
        <v>Mosakahiken Cree Nation</v>
      </c>
      <c r="W266">
        <v>13321</v>
      </c>
      <c r="X266">
        <v>15038</v>
      </c>
      <c r="Y266">
        <v>11031</v>
      </c>
      <c r="Z266">
        <v>7184</v>
      </c>
      <c r="AA266">
        <v>8672</v>
      </c>
      <c r="AB266">
        <v>315</v>
      </c>
      <c r="AC266">
        <v>410</v>
      </c>
      <c r="AD266">
        <v>70</v>
      </c>
      <c r="AE266">
        <v>30</v>
      </c>
      <c r="AF266">
        <v>1.7389832018892304</v>
      </c>
      <c r="AG266">
        <v>0</v>
      </c>
      <c r="AH266">
        <v>0</v>
      </c>
      <c r="AI266">
        <v>0.86949160094461519</v>
      </c>
      <c r="AJ266">
        <v>0</v>
      </c>
      <c r="AK266">
        <v>0</v>
      </c>
      <c r="AL266">
        <v>0.86949160094461519</v>
      </c>
      <c r="AM266">
        <v>0.86949160094461519</v>
      </c>
      <c r="AN266">
        <v>0.86949160094461519</v>
      </c>
      <c r="AO266">
        <v>0</v>
      </c>
      <c r="AP266">
        <v>0</v>
      </c>
      <c r="AQ266">
        <v>0</v>
      </c>
      <c r="AR266">
        <v>0</v>
      </c>
      <c r="AS266">
        <v>0.86949160094461519</v>
      </c>
      <c r="AT266">
        <v>1.7389832018892304</v>
      </c>
      <c r="AU266">
        <v>2.6084748028338458</v>
      </c>
      <c r="AV266">
        <v>0</v>
      </c>
      <c r="AW266">
        <v>0</v>
      </c>
      <c r="AX266">
        <v>0</v>
      </c>
      <c r="AY266">
        <v>3.4779664037784608</v>
      </c>
    </row>
    <row r="267" spans="1:51">
      <c r="A267" t="s">
        <v>684</v>
      </c>
      <c r="B267">
        <v>685</v>
      </c>
      <c r="C267">
        <v>690</v>
      </c>
      <c r="D267">
        <v>1.2</v>
      </c>
      <c r="E267">
        <v>40055</v>
      </c>
      <c r="F267">
        <v>10.5</v>
      </c>
      <c r="G267">
        <v>260</v>
      </c>
      <c r="H267">
        <v>160</v>
      </c>
      <c r="I267">
        <v>40</v>
      </c>
      <c r="J267">
        <v>98.1</v>
      </c>
      <c r="K267">
        <v>0</v>
      </c>
      <c r="L267">
        <v>64.8</v>
      </c>
      <c r="M267">
        <v>63</v>
      </c>
      <c r="N267">
        <v>4.3</v>
      </c>
      <c r="T267">
        <f t="shared" si="8"/>
        <v>0</v>
      </c>
      <c r="W267">
        <v>14898</v>
      </c>
      <c r="X267">
        <v>13755</v>
      </c>
      <c r="Y267">
        <v>16192</v>
      </c>
      <c r="Z267">
        <v>14098</v>
      </c>
      <c r="AA267">
        <v>14176</v>
      </c>
      <c r="AB267">
        <v>155</v>
      </c>
      <c r="AC267">
        <v>365</v>
      </c>
      <c r="AD267">
        <v>190</v>
      </c>
      <c r="AE267">
        <v>165</v>
      </c>
      <c r="AF267">
        <v>6.8334692017900744</v>
      </c>
      <c r="AG267">
        <v>0.44086898076065001</v>
      </c>
      <c r="AH267">
        <v>0.66130347114097499</v>
      </c>
      <c r="AI267">
        <v>0.44086898076065001</v>
      </c>
      <c r="AJ267">
        <v>0</v>
      </c>
      <c r="AK267">
        <v>0.66130347114097499</v>
      </c>
      <c r="AL267">
        <v>0.88173796152130002</v>
      </c>
      <c r="AM267">
        <v>0</v>
      </c>
      <c r="AN267">
        <v>0</v>
      </c>
      <c r="AO267">
        <v>0.44086898076065001</v>
      </c>
      <c r="AP267">
        <v>0</v>
      </c>
      <c r="AQ267">
        <v>0</v>
      </c>
      <c r="AR267">
        <v>0</v>
      </c>
      <c r="AS267">
        <v>0</v>
      </c>
      <c r="AT267">
        <v>0.44086898076065001</v>
      </c>
      <c r="AU267">
        <v>3.3065173557048748</v>
      </c>
      <c r="AV267">
        <v>0</v>
      </c>
      <c r="AW267">
        <v>0.44086898076065001</v>
      </c>
      <c r="AX267">
        <v>0.44086898076065001</v>
      </c>
      <c r="AY267">
        <v>0</v>
      </c>
    </row>
    <row r="268" spans="1:51">
      <c r="A268" t="s">
        <v>698</v>
      </c>
      <c r="B268">
        <v>930</v>
      </c>
      <c r="C268">
        <v>935</v>
      </c>
      <c r="D268">
        <v>1.1000000000000001</v>
      </c>
      <c r="E268">
        <v>43105</v>
      </c>
      <c r="F268">
        <v>18.899999999999999</v>
      </c>
      <c r="G268">
        <v>395</v>
      </c>
      <c r="H268">
        <v>115</v>
      </c>
      <c r="I268">
        <v>125</v>
      </c>
      <c r="J268">
        <v>82.3</v>
      </c>
      <c r="K268">
        <v>19</v>
      </c>
      <c r="L268">
        <v>55.9</v>
      </c>
      <c r="M268">
        <v>49.7</v>
      </c>
      <c r="N268">
        <v>12.3</v>
      </c>
      <c r="T268">
        <f t="shared" si="8"/>
        <v>0</v>
      </c>
      <c r="W268">
        <v>20306</v>
      </c>
      <c r="X268">
        <v>24090</v>
      </c>
      <c r="Y268">
        <v>14728</v>
      </c>
      <c r="Z268">
        <v>17774</v>
      </c>
      <c r="AA268">
        <v>10020</v>
      </c>
      <c r="AB268">
        <v>205</v>
      </c>
      <c r="AC268">
        <v>535</v>
      </c>
      <c r="AD268">
        <v>215</v>
      </c>
      <c r="AE268">
        <v>185</v>
      </c>
      <c r="AF268">
        <v>5.6033903171986319</v>
      </c>
      <c r="AG268">
        <v>0</v>
      </c>
      <c r="AH268">
        <v>0</v>
      </c>
      <c r="AI268">
        <v>0.5796610672964102</v>
      </c>
      <c r="AJ268">
        <v>1.1593221345928204</v>
      </c>
      <c r="AK268">
        <v>0.5796610672964102</v>
      </c>
      <c r="AL268">
        <v>0.77288142306188024</v>
      </c>
      <c r="AM268">
        <v>1.1593221345928204</v>
      </c>
      <c r="AN268">
        <v>0</v>
      </c>
      <c r="AO268">
        <v>0</v>
      </c>
      <c r="AP268">
        <v>0.38644071153094012</v>
      </c>
      <c r="AQ268">
        <v>0</v>
      </c>
      <c r="AR268">
        <v>0</v>
      </c>
      <c r="AS268">
        <v>0.38644071153094012</v>
      </c>
      <c r="AT268">
        <v>1.5457628461237605</v>
      </c>
      <c r="AU268">
        <v>0.96610177882735027</v>
      </c>
      <c r="AV268">
        <v>0.38644071153094012</v>
      </c>
      <c r="AW268">
        <v>0.96610177882735027</v>
      </c>
      <c r="AX268">
        <v>0.38644071153094012</v>
      </c>
      <c r="AY268">
        <v>0.5796610672964102</v>
      </c>
    </row>
    <row r="269" spans="1:51">
      <c r="A269" t="s">
        <v>696</v>
      </c>
      <c r="B269">
        <v>645</v>
      </c>
      <c r="C269">
        <v>645</v>
      </c>
      <c r="D269">
        <v>1</v>
      </c>
      <c r="E269">
        <v>42479</v>
      </c>
      <c r="F269">
        <v>36.799999999999997</v>
      </c>
      <c r="G269">
        <v>270</v>
      </c>
      <c r="H269">
        <v>105</v>
      </c>
      <c r="I269">
        <v>55</v>
      </c>
      <c r="J269">
        <v>81.5</v>
      </c>
      <c r="K269">
        <v>18.5</v>
      </c>
      <c r="L269">
        <v>64.099999999999994</v>
      </c>
      <c r="M269">
        <v>60.2</v>
      </c>
      <c r="N269">
        <v>7.6</v>
      </c>
      <c r="T269">
        <f t="shared" si="8"/>
        <v>0</v>
      </c>
      <c r="W269">
        <v>18317</v>
      </c>
      <c r="X269">
        <v>21835</v>
      </c>
      <c r="Y269">
        <v>12678</v>
      </c>
      <c r="Z269">
        <v>20140</v>
      </c>
      <c r="AA269">
        <v>10693</v>
      </c>
      <c r="AB269">
        <v>130</v>
      </c>
      <c r="AC269">
        <v>355</v>
      </c>
      <c r="AD269">
        <v>170</v>
      </c>
      <c r="AE269">
        <v>150</v>
      </c>
      <c r="AF269">
        <v>7.5882903355166427</v>
      </c>
      <c r="AG269">
        <v>0</v>
      </c>
      <c r="AH269">
        <v>0</v>
      </c>
      <c r="AI269">
        <v>0</v>
      </c>
      <c r="AJ269">
        <v>0.47426814596979017</v>
      </c>
      <c r="AK269">
        <v>0.94853629193958033</v>
      </c>
      <c r="AL269">
        <v>1.1856703649244755</v>
      </c>
      <c r="AM269">
        <v>0</v>
      </c>
      <c r="AN269">
        <v>0</v>
      </c>
      <c r="AO269">
        <v>0</v>
      </c>
      <c r="AP269">
        <v>0</v>
      </c>
      <c r="AQ269">
        <v>0.71140221895468525</v>
      </c>
      <c r="AR269">
        <v>0</v>
      </c>
      <c r="AS269">
        <v>0</v>
      </c>
      <c r="AT269">
        <v>1.1856703649244755</v>
      </c>
      <c r="AU269">
        <v>0</v>
      </c>
      <c r="AV269">
        <v>0</v>
      </c>
      <c r="AW269">
        <v>0.71140221895468525</v>
      </c>
      <c r="AX269">
        <v>1.1856703649244755</v>
      </c>
      <c r="AY269">
        <v>0.47426814596979017</v>
      </c>
    </row>
    <row r="270" spans="1:51">
      <c r="A270" t="s">
        <v>704</v>
      </c>
      <c r="B270">
        <v>80</v>
      </c>
      <c r="C270">
        <v>80</v>
      </c>
      <c r="D270">
        <v>0</v>
      </c>
      <c r="E270">
        <v>73637</v>
      </c>
      <c r="F270">
        <v>0</v>
      </c>
      <c r="G270">
        <v>40</v>
      </c>
      <c r="H270">
        <v>15</v>
      </c>
      <c r="I270">
        <v>0</v>
      </c>
      <c r="J270">
        <v>100</v>
      </c>
      <c r="K270">
        <v>25</v>
      </c>
      <c r="L270">
        <v>53.3</v>
      </c>
      <c r="M270">
        <v>46.7</v>
      </c>
      <c r="N270">
        <v>25</v>
      </c>
      <c r="T270">
        <f t="shared" si="8"/>
        <v>0</v>
      </c>
      <c r="W270">
        <v>36953</v>
      </c>
      <c r="X270">
        <v>40932</v>
      </c>
      <c r="Y270">
        <v>33139</v>
      </c>
      <c r="Z270">
        <v>46208</v>
      </c>
      <c r="AA270">
        <v>34944</v>
      </c>
      <c r="AB270">
        <v>10</v>
      </c>
      <c r="AC270">
        <v>55</v>
      </c>
      <c r="AD270">
        <v>55</v>
      </c>
      <c r="AE270">
        <v>10</v>
      </c>
      <c r="AF270">
        <v>0</v>
      </c>
      <c r="AG270">
        <v>3.9127122042507687</v>
      </c>
      <c r="AH270">
        <v>3.9127122042507687</v>
      </c>
      <c r="AI270">
        <v>0</v>
      </c>
      <c r="AJ270">
        <v>0</v>
      </c>
      <c r="AK270">
        <v>0</v>
      </c>
      <c r="AL270">
        <v>3.9127122042507687</v>
      </c>
      <c r="AM270">
        <v>0</v>
      </c>
      <c r="AN270">
        <v>0</v>
      </c>
      <c r="AO270">
        <v>0</v>
      </c>
      <c r="AP270">
        <v>0</v>
      </c>
      <c r="AQ270">
        <v>0</v>
      </c>
      <c r="AR270">
        <v>0</v>
      </c>
      <c r="AS270">
        <v>3.9127122042507687</v>
      </c>
      <c r="AT270">
        <v>0</v>
      </c>
      <c r="AU270">
        <v>0</v>
      </c>
      <c r="AV270">
        <v>0</v>
      </c>
      <c r="AW270">
        <v>0</v>
      </c>
      <c r="AX270">
        <v>0</v>
      </c>
      <c r="AY270">
        <v>0</v>
      </c>
    </row>
    <row r="271" spans="1:51">
      <c r="A271" t="s">
        <v>240</v>
      </c>
      <c r="B271">
        <v>20</v>
      </c>
      <c r="C271" s="102"/>
      <c r="D271" s="102"/>
      <c r="E271" s="102"/>
      <c r="F271" s="102"/>
      <c r="G271" s="102"/>
      <c r="H271" s="102"/>
      <c r="I271" s="102"/>
      <c r="J271" s="102"/>
      <c r="K271" s="102"/>
      <c r="L271" s="102"/>
      <c r="M271" s="102"/>
      <c r="N271" s="102"/>
      <c r="T271">
        <f t="shared" si="8"/>
        <v>0</v>
      </c>
      <c r="AB271">
        <v>0</v>
      </c>
      <c r="AC271">
        <v>0</v>
      </c>
      <c r="AD271">
        <v>0</v>
      </c>
      <c r="AE271">
        <v>0</v>
      </c>
      <c r="AF271" t="e">
        <v>#N/A</v>
      </c>
      <c r="AG271" t="e">
        <v>#N/A</v>
      </c>
      <c r="AH271" t="e">
        <v>#N/A</v>
      </c>
      <c r="AI271" t="e">
        <v>#N/A</v>
      </c>
      <c r="AJ271" t="e">
        <v>#N/A</v>
      </c>
      <c r="AK271" t="e">
        <v>#N/A</v>
      </c>
      <c r="AL271" t="e">
        <v>#N/A</v>
      </c>
      <c r="AM271" t="e">
        <v>#N/A</v>
      </c>
      <c r="AN271" t="e">
        <v>#N/A</v>
      </c>
      <c r="AO271" t="e">
        <v>#N/A</v>
      </c>
      <c r="AP271" t="e">
        <v>#N/A</v>
      </c>
      <c r="AQ271" t="e">
        <v>#N/A</v>
      </c>
      <c r="AR271" t="e">
        <v>#N/A</v>
      </c>
      <c r="AS271" t="e">
        <v>#N/A</v>
      </c>
      <c r="AT271" t="e">
        <v>#N/A</v>
      </c>
      <c r="AU271" t="e">
        <v>#N/A</v>
      </c>
      <c r="AV271" t="e">
        <v>#N/A</v>
      </c>
      <c r="AW271" t="e">
        <v>#N/A</v>
      </c>
      <c r="AX271" t="e">
        <v>#N/A</v>
      </c>
      <c r="AY271" t="e">
        <v>#N/A</v>
      </c>
    </row>
    <row r="272" spans="1:51">
      <c r="A272" t="s">
        <v>394</v>
      </c>
      <c r="B272">
        <v>3190</v>
      </c>
      <c r="C272">
        <v>3190</v>
      </c>
      <c r="D272">
        <v>0.9</v>
      </c>
      <c r="E272">
        <v>47886</v>
      </c>
      <c r="F272">
        <v>8.9</v>
      </c>
      <c r="G272">
        <v>1500</v>
      </c>
      <c r="H272">
        <v>480</v>
      </c>
      <c r="I272">
        <v>65</v>
      </c>
      <c r="J272">
        <v>70.3</v>
      </c>
      <c r="K272">
        <v>30</v>
      </c>
      <c r="L272">
        <v>55.6</v>
      </c>
      <c r="M272">
        <v>53.7</v>
      </c>
      <c r="N272">
        <v>3.4</v>
      </c>
      <c r="T272">
        <f t="shared" si="8"/>
        <v>0</v>
      </c>
      <c r="W272">
        <v>22432</v>
      </c>
      <c r="X272">
        <v>27277</v>
      </c>
      <c r="Y272">
        <v>17127</v>
      </c>
      <c r="Z272">
        <v>23932</v>
      </c>
      <c r="AA272">
        <v>15494</v>
      </c>
      <c r="AB272">
        <v>540</v>
      </c>
      <c r="AC272">
        <v>1755</v>
      </c>
      <c r="AD272">
        <v>580</v>
      </c>
      <c r="AE272">
        <v>875</v>
      </c>
      <c r="AF272">
        <v>0.63881015579604383</v>
      </c>
      <c r="AG272">
        <v>0</v>
      </c>
      <c r="AH272">
        <v>0.15970253894901096</v>
      </c>
      <c r="AI272">
        <v>0.9582152336940658</v>
      </c>
      <c r="AJ272">
        <v>2.0228988266874723</v>
      </c>
      <c r="AK272">
        <v>1.3840886708914284</v>
      </c>
      <c r="AL272">
        <v>1.8099621080887911</v>
      </c>
      <c r="AM272">
        <v>0.26617089824835166</v>
      </c>
      <c r="AN272">
        <v>0.31940507789802192</v>
      </c>
      <c r="AO272">
        <v>0.31940507789802192</v>
      </c>
      <c r="AP272">
        <v>0.15970253894901096</v>
      </c>
      <c r="AQ272">
        <v>0.2129367185986813</v>
      </c>
      <c r="AR272">
        <v>0</v>
      </c>
      <c r="AS272">
        <v>0.2129367185986813</v>
      </c>
      <c r="AT272">
        <v>1.0114494133437362</v>
      </c>
      <c r="AU272">
        <v>2.8214115214325273</v>
      </c>
      <c r="AV272">
        <v>0.15970253894901096</v>
      </c>
      <c r="AW272">
        <v>1.8631962877384611</v>
      </c>
      <c r="AX272">
        <v>0.53234179649670332</v>
      </c>
      <c r="AY272">
        <v>0.58557597614637358</v>
      </c>
    </row>
    <row r="273" spans="1:51">
      <c r="A273" t="s">
        <v>396</v>
      </c>
      <c r="B273">
        <v>54</v>
      </c>
      <c r="C273" s="102"/>
      <c r="D273" s="102"/>
      <c r="E273" s="102"/>
      <c r="F273" s="102"/>
      <c r="G273" s="102"/>
      <c r="H273" s="102"/>
      <c r="I273" s="102"/>
      <c r="J273" s="102"/>
      <c r="K273" s="102"/>
      <c r="L273" s="102"/>
      <c r="M273" s="102"/>
      <c r="N273" s="102"/>
      <c r="T273">
        <f t="shared" si="8"/>
        <v>0</v>
      </c>
      <c r="AB273">
        <v>0</v>
      </c>
      <c r="AC273">
        <v>0</v>
      </c>
      <c r="AD273">
        <v>0</v>
      </c>
      <c r="AE273">
        <v>0</v>
      </c>
      <c r="AF273" t="e">
        <v>#N/A</v>
      </c>
      <c r="AG273" t="e">
        <v>#N/A</v>
      </c>
      <c r="AH273" t="e">
        <v>#N/A</v>
      </c>
      <c r="AI273" t="e">
        <v>#N/A</v>
      </c>
      <c r="AJ273" t="e">
        <v>#N/A</v>
      </c>
      <c r="AK273" t="e">
        <v>#N/A</v>
      </c>
      <c r="AL273" t="e">
        <v>#N/A</v>
      </c>
      <c r="AM273" t="e">
        <v>#N/A</v>
      </c>
      <c r="AN273" t="e">
        <v>#N/A</v>
      </c>
      <c r="AO273" t="e">
        <v>#N/A</v>
      </c>
      <c r="AP273" t="e">
        <v>#N/A</v>
      </c>
      <c r="AQ273" t="e">
        <v>#N/A</v>
      </c>
      <c r="AR273" t="e">
        <v>#N/A</v>
      </c>
      <c r="AS273" t="e">
        <v>#N/A</v>
      </c>
      <c r="AT273" t="e">
        <v>#N/A</v>
      </c>
      <c r="AU273" t="e">
        <v>#N/A</v>
      </c>
      <c r="AV273" t="e">
        <v>#N/A</v>
      </c>
      <c r="AW273" t="e">
        <v>#N/A</v>
      </c>
      <c r="AX273" t="e">
        <v>#N/A</v>
      </c>
      <c r="AY273" t="e">
        <v>#N/A</v>
      </c>
    </row>
    <row r="274" spans="1:51">
      <c r="A274" t="s">
        <v>241</v>
      </c>
      <c r="B274">
        <v>1710</v>
      </c>
      <c r="C274">
        <v>1710</v>
      </c>
      <c r="D274">
        <v>2.2000000000000002</v>
      </c>
      <c r="E274">
        <v>30467</v>
      </c>
      <c r="F274">
        <v>0</v>
      </c>
      <c r="G274">
        <v>405</v>
      </c>
      <c r="H274">
        <v>175</v>
      </c>
      <c r="I274">
        <v>140</v>
      </c>
      <c r="J274">
        <v>2.5</v>
      </c>
      <c r="K274">
        <v>17.3</v>
      </c>
      <c r="L274">
        <v>45.1</v>
      </c>
      <c r="M274">
        <v>32.799999999999997</v>
      </c>
      <c r="N274">
        <v>26.1</v>
      </c>
      <c r="T274" t="str">
        <f t="shared" si="8"/>
        <v>Nisichawayasihk Cree Nation</v>
      </c>
      <c r="W274">
        <v>22146</v>
      </c>
      <c r="X274">
        <v>21872</v>
      </c>
      <c r="Y274">
        <v>22482</v>
      </c>
      <c r="Z274">
        <v>9184</v>
      </c>
      <c r="AA274">
        <v>11179</v>
      </c>
      <c r="AB274">
        <v>730</v>
      </c>
      <c r="AC274">
        <v>915</v>
      </c>
      <c r="AD274">
        <v>225</v>
      </c>
      <c r="AE274">
        <v>70</v>
      </c>
      <c r="AF274">
        <v>0.35978962797708219</v>
      </c>
      <c r="AG274">
        <v>0</v>
      </c>
      <c r="AH274">
        <v>0</v>
      </c>
      <c r="AI274">
        <v>1.9788429538739523</v>
      </c>
      <c r="AJ274">
        <v>0</v>
      </c>
      <c r="AK274">
        <v>0</v>
      </c>
      <c r="AL274">
        <v>0.71957925595416439</v>
      </c>
      <c r="AM274">
        <v>0.35978962797708219</v>
      </c>
      <c r="AN274">
        <v>0</v>
      </c>
      <c r="AO274">
        <v>0</v>
      </c>
      <c r="AP274">
        <v>0</v>
      </c>
      <c r="AQ274">
        <v>0</v>
      </c>
      <c r="AR274">
        <v>0</v>
      </c>
      <c r="AS274">
        <v>0.35978962797708219</v>
      </c>
      <c r="AT274">
        <v>2.5185273958395751</v>
      </c>
      <c r="AU274">
        <v>2.5185273958395751</v>
      </c>
      <c r="AV274">
        <v>0.35978962797708219</v>
      </c>
      <c r="AW274">
        <v>0</v>
      </c>
      <c r="AX274">
        <v>0.71957925595416439</v>
      </c>
      <c r="AY274">
        <v>2.8783170238166575</v>
      </c>
    </row>
    <row r="275" spans="1:51">
      <c r="A275" t="s">
        <v>397</v>
      </c>
      <c r="B275">
        <v>1920</v>
      </c>
      <c r="C275">
        <v>1920</v>
      </c>
      <c r="D275">
        <v>1.5</v>
      </c>
      <c r="E275">
        <v>54303</v>
      </c>
      <c r="F275">
        <v>6.9</v>
      </c>
      <c r="G275">
        <v>635</v>
      </c>
      <c r="H275">
        <v>160</v>
      </c>
      <c r="I275">
        <v>55</v>
      </c>
      <c r="J275">
        <v>84.3</v>
      </c>
      <c r="K275">
        <v>15.7</v>
      </c>
      <c r="L275">
        <v>69</v>
      </c>
      <c r="M275">
        <v>66.5</v>
      </c>
      <c r="N275">
        <v>3.6</v>
      </c>
      <c r="T275">
        <f t="shared" si="8"/>
        <v>0</v>
      </c>
      <c r="W275">
        <v>23755</v>
      </c>
      <c r="X275">
        <v>29188</v>
      </c>
      <c r="Y275">
        <v>17355</v>
      </c>
      <c r="Z275">
        <v>28331</v>
      </c>
      <c r="AA275">
        <v>15639</v>
      </c>
      <c r="AB275">
        <v>510</v>
      </c>
      <c r="AC275">
        <v>1190</v>
      </c>
      <c r="AD275">
        <v>335</v>
      </c>
      <c r="AE275">
        <v>185</v>
      </c>
      <c r="AF275">
        <v>1.1294426981342425</v>
      </c>
      <c r="AG275">
        <v>0</v>
      </c>
      <c r="AH275">
        <v>0.16134895687632037</v>
      </c>
      <c r="AI275">
        <v>1.6134895687632036</v>
      </c>
      <c r="AJ275">
        <v>2.5009088315829655</v>
      </c>
      <c r="AK275">
        <v>0.96809374125792225</v>
      </c>
      <c r="AL275">
        <v>1.2907916550105629</v>
      </c>
      <c r="AM275">
        <v>1.0487682196960824</v>
      </c>
      <c r="AN275">
        <v>0.16134895687632037</v>
      </c>
      <c r="AO275">
        <v>0.4033723921908009</v>
      </c>
      <c r="AP275">
        <v>0.16134895687632037</v>
      </c>
      <c r="AQ275">
        <v>0.16134895687632037</v>
      </c>
      <c r="AR275">
        <v>0</v>
      </c>
      <c r="AS275">
        <v>0</v>
      </c>
      <c r="AT275">
        <v>1.6134895687632036</v>
      </c>
      <c r="AU275">
        <v>1.2907916550105629</v>
      </c>
      <c r="AV275">
        <v>0</v>
      </c>
      <c r="AW275">
        <v>1.2101171765724028</v>
      </c>
      <c r="AX275">
        <v>1.371466133448723</v>
      </c>
      <c r="AY275">
        <v>0.24202343531448056</v>
      </c>
    </row>
    <row r="276" spans="1:51">
      <c r="A276" t="s">
        <v>759</v>
      </c>
      <c r="B276">
        <v>22380</v>
      </c>
      <c r="C276">
        <v>22325</v>
      </c>
      <c r="D276">
        <v>1.4</v>
      </c>
      <c r="E276">
        <v>57418</v>
      </c>
      <c r="F276">
        <v>11.5</v>
      </c>
      <c r="G276">
        <v>8090</v>
      </c>
      <c r="H276">
        <v>3250</v>
      </c>
      <c r="I276">
        <v>1310</v>
      </c>
      <c r="J276">
        <v>63</v>
      </c>
      <c r="K276">
        <v>28.2</v>
      </c>
      <c r="L276">
        <v>65.400000000000006</v>
      </c>
      <c r="M276">
        <v>57.4</v>
      </c>
      <c r="N276">
        <v>12.1</v>
      </c>
      <c r="T276">
        <f t="shared" si="8"/>
        <v>0</v>
      </c>
      <c r="W276">
        <v>29521</v>
      </c>
      <c r="X276">
        <v>37188</v>
      </c>
      <c r="Y276">
        <v>20615</v>
      </c>
      <c r="Z276">
        <v>30072</v>
      </c>
      <c r="AA276">
        <v>14629</v>
      </c>
      <c r="AB276">
        <v>5880</v>
      </c>
      <c r="AC276">
        <v>14705</v>
      </c>
      <c r="AD276">
        <v>4865</v>
      </c>
      <c r="AE276">
        <v>1780</v>
      </c>
      <c r="AF276">
        <v>0.69656072620875997</v>
      </c>
      <c r="AG276">
        <v>1.1028878164972031</v>
      </c>
      <c r="AH276">
        <v>0.16688434065418206</v>
      </c>
      <c r="AI276">
        <v>0.61674647633067281</v>
      </c>
      <c r="AJ276">
        <v>2.1694964285043667</v>
      </c>
      <c r="AK276">
        <v>0.24669859053226917</v>
      </c>
      <c r="AL276">
        <v>1.7776810200119393</v>
      </c>
      <c r="AM276">
        <v>0.60949063543266491</v>
      </c>
      <c r="AN276">
        <v>0.16688434065418206</v>
      </c>
      <c r="AO276">
        <v>0.18139602245019792</v>
      </c>
      <c r="AP276">
        <v>0.14511681796015832</v>
      </c>
      <c r="AQ276">
        <v>0.24669859053226917</v>
      </c>
      <c r="AR276">
        <v>0</v>
      </c>
      <c r="AS276">
        <v>0.38455956759441956</v>
      </c>
      <c r="AT276">
        <v>1.4947032249896308</v>
      </c>
      <c r="AU276">
        <v>1.8067043836039711</v>
      </c>
      <c r="AV276">
        <v>0.2249310678382454</v>
      </c>
      <c r="AW276">
        <v>1.3278188843354486</v>
      </c>
      <c r="AX276">
        <v>0.52242054465656995</v>
      </c>
      <c r="AY276">
        <v>1.2770279980493933</v>
      </c>
    </row>
    <row r="277" spans="1:51">
      <c r="A277" t="s">
        <v>760</v>
      </c>
      <c r="B277">
        <v>82035</v>
      </c>
      <c r="C277">
        <v>81925</v>
      </c>
      <c r="D277">
        <v>1.7</v>
      </c>
      <c r="E277">
        <v>46359</v>
      </c>
      <c r="F277">
        <v>16.8</v>
      </c>
      <c r="G277">
        <v>24825</v>
      </c>
      <c r="H277">
        <v>9055</v>
      </c>
      <c r="I277">
        <v>6215</v>
      </c>
      <c r="J277">
        <v>42</v>
      </c>
      <c r="K277">
        <v>27.4</v>
      </c>
      <c r="L277">
        <v>60.3</v>
      </c>
      <c r="M277">
        <v>50</v>
      </c>
      <c r="N277">
        <v>17.100000000000001</v>
      </c>
      <c r="T277">
        <f t="shared" si="8"/>
        <v>0</v>
      </c>
      <c r="AB277">
        <v>0</v>
      </c>
      <c r="AC277">
        <v>0</v>
      </c>
      <c r="AD277">
        <v>0</v>
      </c>
      <c r="AE277">
        <v>0</v>
      </c>
      <c r="AF277">
        <v>0.59550262749279403</v>
      </c>
      <c r="AG277">
        <v>1.1744635153330105</v>
      </c>
      <c r="AH277">
        <v>0.38991243466790082</v>
      </c>
      <c r="AI277">
        <v>0.76800934101253204</v>
      </c>
      <c r="AJ277">
        <v>0.90270636389780678</v>
      </c>
      <c r="AK277">
        <v>0.16069118519646824</v>
      </c>
      <c r="AL277">
        <v>1.3871430251518655</v>
      </c>
      <c r="AM277">
        <v>0.83181319395818853</v>
      </c>
      <c r="AN277">
        <v>0.13233391722062088</v>
      </c>
      <c r="AO277">
        <v>0.1536018682025064</v>
      </c>
      <c r="AP277">
        <v>0.11815528323269724</v>
      </c>
      <c r="AQ277">
        <v>0.18668534750766161</v>
      </c>
      <c r="AR277">
        <v>4.7262113293078892E-3</v>
      </c>
      <c r="AS277">
        <v>0.39700175166186269</v>
      </c>
      <c r="AT277">
        <v>1.9212049053636568</v>
      </c>
      <c r="AU277">
        <v>2.1078902528713184</v>
      </c>
      <c r="AV277">
        <v>0.20086398149558529</v>
      </c>
      <c r="AW277">
        <v>0.98541506216069485</v>
      </c>
      <c r="AX277">
        <v>0.46316871027217316</v>
      </c>
      <c r="AY277">
        <v>1.8550379467533464</v>
      </c>
    </row>
    <row r="278" spans="1:51">
      <c r="A278" t="s">
        <v>485</v>
      </c>
      <c r="B278">
        <v>46415</v>
      </c>
      <c r="C278">
        <v>42875</v>
      </c>
      <c r="D278">
        <v>1.3</v>
      </c>
      <c r="E278">
        <v>52661</v>
      </c>
      <c r="F278">
        <v>10.4</v>
      </c>
      <c r="G278">
        <v>15990</v>
      </c>
      <c r="H278">
        <v>5200</v>
      </c>
      <c r="I278">
        <v>2280</v>
      </c>
      <c r="J278">
        <v>76.2</v>
      </c>
      <c r="K278">
        <v>19.7</v>
      </c>
      <c r="L278">
        <v>65.7</v>
      </c>
      <c r="M278">
        <v>62.7</v>
      </c>
      <c r="N278">
        <v>4.5999999999999996</v>
      </c>
      <c r="T278">
        <f t="shared" si="8"/>
        <v>0</v>
      </c>
      <c r="AB278">
        <v>0</v>
      </c>
      <c r="AC278">
        <v>0</v>
      </c>
      <c r="AD278">
        <v>0</v>
      </c>
      <c r="AE278">
        <v>0</v>
      </c>
      <c r="AF278">
        <v>3.4624566558390533</v>
      </c>
      <c r="AG278">
        <v>5.4473261055481663E-2</v>
      </c>
      <c r="AH278">
        <v>0.11235110092693093</v>
      </c>
      <c r="AI278">
        <v>0.86135844043980381</v>
      </c>
      <c r="AJ278">
        <v>1.3073582653315599</v>
      </c>
      <c r="AK278">
        <v>0.60601502924223349</v>
      </c>
      <c r="AL278">
        <v>1.3379994746752684</v>
      </c>
      <c r="AM278">
        <v>0.79667144293641934</v>
      </c>
      <c r="AN278">
        <v>0.1566106255345098</v>
      </c>
      <c r="AO278">
        <v>0.39833572146820967</v>
      </c>
      <c r="AP278">
        <v>9.5328206847092908E-2</v>
      </c>
      <c r="AQ278">
        <v>0.24172509593369987</v>
      </c>
      <c r="AR278">
        <v>0</v>
      </c>
      <c r="AS278">
        <v>0.39152656383627443</v>
      </c>
      <c r="AT278">
        <v>1.0758469058457629</v>
      </c>
      <c r="AU278">
        <v>2.0904113930041084</v>
      </c>
      <c r="AV278">
        <v>0.17022894079838019</v>
      </c>
      <c r="AW278">
        <v>0.7898622853044841</v>
      </c>
      <c r="AX278">
        <v>0.64686997503384469</v>
      </c>
      <c r="AY278">
        <v>0.88178591333560941</v>
      </c>
    </row>
    <row r="279" spans="1:51">
      <c r="A279" t="s">
        <v>637</v>
      </c>
      <c r="B279">
        <v>1820</v>
      </c>
      <c r="C279">
        <v>1535</v>
      </c>
      <c r="D279">
        <v>1.1000000000000001</v>
      </c>
      <c r="E279">
        <v>62264</v>
      </c>
      <c r="F279">
        <v>0</v>
      </c>
      <c r="G279">
        <v>550</v>
      </c>
      <c r="H279">
        <v>235</v>
      </c>
      <c r="I279">
        <v>40</v>
      </c>
      <c r="J279">
        <v>90</v>
      </c>
      <c r="K279">
        <v>9.1</v>
      </c>
      <c r="L279">
        <v>74.8</v>
      </c>
      <c r="M279">
        <v>71.599999999999994</v>
      </c>
      <c r="N279">
        <v>3.8</v>
      </c>
      <c r="T279">
        <f t="shared" si="8"/>
        <v>0</v>
      </c>
      <c r="W279">
        <v>26073</v>
      </c>
      <c r="X279">
        <v>26971</v>
      </c>
      <c r="Y279">
        <v>24914</v>
      </c>
      <c r="Z279">
        <v>28005</v>
      </c>
      <c r="AA279">
        <v>19829</v>
      </c>
      <c r="AB279">
        <v>405</v>
      </c>
      <c r="AC279">
        <v>1300</v>
      </c>
      <c r="AD279">
        <v>490</v>
      </c>
      <c r="AE279">
        <v>95</v>
      </c>
      <c r="AF279">
        <v>6.0081457543945458</v>
      </c>
      <c r="AG279">
        <v>0</v>
      </c>
      <c r="AH279">
        <v>0.2225239168294276</v>
      </c>
      <c r="AI279">
        <v>0.37087319471571267</v>
      </c>
      <c r="AJ279">
        <v>2.9669855577257014</v>
      </c>
      <c r="AK279">
        <v>0.37087319471571267</v>
      </c>
      <c r="AL279">
        <v>0.66757175048828288</v>
      </c>
      <c r="AM279">
        <v>0.29669855577257015</v>
      </c>
      <c r="AN279">
        <v>0.14834927788628507</v>
      </c>
      <c r="AO279">
        <v>0.14834927788628507</v>
      </c>
      <c r="AP279">
        <v>0</v>
      </c>
      <c r="AQ279">
        <v>0</v>
      </c>
      <c r="AR279">
        <v>0</v>
      </c>
      <c r="AS279">
        <v>0.29669855577257015</v>
      </c>
      <c r="AT279">
        <v>0.81592102837456781</v>
      </c>
      <c r="AU279">
        <v>1.0384449452039957</v>
      </c>
      <c r="AV279">
        <v>0</v>
      </c>
      <c r="AW279">
        <v>0.2225239168294276</v>
      </c>
      <c r="AX279">
        <v>0.66757175048828288</v>
      </c>
      <c r="AY279">
        <v>1.2609688620334232</v>
      </c>
    </row>
    <row r="280" spans="1:51">
      <c r="A280" t="s">
        <v>761</v>
      </c>
      <c r="B280">
        <v>38680</v>
      </c>
      <c r="C280">
        <v>38100</v>
      </c>
      <c r="D280">
        <v>1.2</v>
      </c>
      <c r="E280">
        <v>53604</v>
      </c>
      <c r="F280">
        <v>7.8</v>
      </c>
      <c r="G280">
        <v>13900</v>
      </c>
      <c r="H280">
        <v>4390</v>
      </c>
      <c r="I280">
        <v>2175</v>
      </c>
      <c r="J280">
        <v>79.2</v>
      </c>
      <c r="K280">
        <v>12.9</v>
      </c>
      <c r="L280">
        <v>64.5</v>
      </c>
      <c r="M280">
        <v>59.9</v>
      </c>
      <c r="N280">
        <v>7</v>
      </c>
      <c r="T280">
        <f t="shared" si="8"/>
        <v>0</v>
      </c>
      <c r="W280">
        <v>25670</v>
      </c>
      <c r="X280">
        <v>30838</v>
      </c>
      <c r="Y280">
        <v>19421</v>
      </c>
      <c r="Z280">
        <v>26226</v>
      </c>
      <c r="AA280">
        <v>13882</v>
      </c>
      <c r="AB280">
        <v>9060</v>
      </c>
      <c r="AC280">
        <v>24885</v>
      </c>
      <c r="AD280">
        <v>9800</v>
      </c>
      <c r="AE280">
        <v>4740</v>
      </c>
      <c r="AF280">
        <v>1.3557788428233493</v>
      </c>
      <c r="AG280">
        <v>0.37273678156170631</v>
      </c>
      <c r="AH280">
        <v>0.4177928760361983</v>
      </c>
      <c r="AI280">
        <v>1.0240021471475447</v>
      </c>
      <c r="AJ280">
        <v>1.60153935813876</v>
      </c>
      <c r="AK280">
        <v>0.41369686744760814</v>
      </c>
      <c r="AL280">
        <v>1.4704670833038744</v>
      </c>
      <c r="AM280">
        <v>0.95027399255292155</v>
      </c>
      <c r="AN280">
        <v>0.21299244660668931</v>
      </c>
      <c r="AO280">
        <v>0.434176910390559</v>
      </c>
      <c r="AP280">
        <v>0.15155231777783662</v>
      </c>
      <c r="AQ280">
        <v>0.64716935699724831</v>
      </c>
      <c r="AR280">
        <v>0</v>
      </c>
      <c r="AS280">
        <v>0.39731283309324739</v>
      </c>
      <c r="AT280">
        <v>1.1223063532737092</v>
      </c>
      <c r="AU280">
        <v>1.8472998734541708</v>
      </c>
      <c r="AV280">
        <v>0.2580485410811813</v>
      </c>
      <c r="AW280">
        <v>0.8355857520723966</v>
      </c>
      <c r="AX280">
        <v>0.58163321957980552</v>
      </c>
      <c r="AY280">
        <v>1.2820506882287261</v>
      </c>
    </row>
    <row r="281" spans="1:51">
      <c r="A281" t="s">
        <v>643</v>
      </c>
      <c r="B281">
        <v>2935</v>
      </c>
      <c r="C281">
        <v>2655</v>
      </c>
      <c r="D281">
        <v>1.4</v>
      </c>
      <c r="E281">
        <v>46146</v>
      </c>
      <c r="F281">
        <v>15.1</v>
      </c>
      <c r="G281">
        <v>900</v>
      </c>
      <c r="H281">
        <v>330</v>
      </c>
      <c r="I281">
        <v>160</v>
      </c>
      <c r="J281">
        <v>83.3</v>
      </c>
      <c r="K281">
        <v>16.7</v>
      </c>
      <c r="L281">
        <v>67.099999999999994</v>
      </c>
      <c r="M281">
        <v>65</v>
      </c>
      <c r="N281">
        <v>3.1</v>
      </c>
      <c r="T281">
        <f t="shared" si="8"/>
        <v>0</v>
      </c>
      <c r="W281">
        <v>18924</v>
      </c>
      <c r="X281">
        <v>23127</v>
      </c>
      <c r="Y281">
        <v>13301</v>
      </c>
      <c r="Z281">
        <v>17677</v>
      </c>
      <c r="AA281">
        <v>10889</v>
      </c>
      <c r="AB281">
        <v>790</v>
      </c>
      <c r="AC281">
        <v>1810</v>
      </c>
      <c r="AD281">
        <v>615</v>
      </c>
      <c r="AE281">
        <v>320</v>
      </c>
      <c r="AF281">
        <v>5.8006642468612792</v>
      </c>
      <c r="AG281">
        <v>0</v>
      </c>
      <c r="AH281">
        <v>0.10944649522379774</v>
      </c>
      <c r="AI281">
        <v>0.60195572373088757</v>
      </c>
      <c r="AJ281">
        <v>1.9700369140283593</v>
      </c>
      <c r="AK281">
        <v>0.38306273328329205</v>
      </c>
      <c r="AL281">
        <v>1.2039114474617751</v>
      </c>
      <c r="AM281">
        <v>1.3680811902974714</v>
      </c>
      <c r="AN281">
        <v>0.10944649522379774</v>
      </c>
      <c r="AO281">
        <v>0</v>
      </c>
      <c r="AP281">
        <v>0.1641697428356966</v>
      </c>
      <c r="AQ281">
        <v>0.10944649522379774</v>
      </c>
      <c r="AR281">
        <v>0</v>
      </c>
      <c r="AS281">
        <v>0.10944649522379774</v>
      </c>
      <c r="AT281">
        <v>0.54723247611898873</v>
      </c>
      <c r="AU281">
        <v>1.6964206759688647</v>
      </c>
      <c r="AV281">
        <v>0.1641697428356966</v>
      </c>
      <c r="AW281">
        <v>0.49250922850708984</v>
      </c>
      <c r="AX281">
        <v>0.60195572373088757</v>
      </c>
      <c r="AY281">
        <v>0.32833948567139321</v>
      </c>
    </row>
    <row r="282" spans="1:51">
      <c r="A282" t="s">
        <v>242</v>
      </c>
      <c r="B282">
        <v>625</v>
      </c>
      <c r="C282">
        <v>625</v>
      </c>
      <c r="D282">
        <v>2.4</v>
      </c>
      <c r="E282">
        <v>32068</v>
      </c>
      <c r="F282">
        <v>0</v>
      </c>
      <c r="G282">
        <v>140</v>
      </c>
      <c r="H282">
        <v>55</v>
      </c>
      <c r="I282">
        <v>30</v>
      </c>
      <c r="J282">
        <v>0</v>
      </c>
      <c r="K282">
        <v>17.899999999999999</v>
      </c>
      <c r="L282">
        <v>36.200000000000003</v>
      </c>
      <c r="M282">
        <v>30</v>
      </c>
      <c r="N282">
        <v>20.7</v>
      </c>
      <c r="T282" t="str">
        <f t="shared" si="8"/>
        <v>Northlands First Nation</v>
      </c>
      <c r="W282">
        <v>22587</v>
      </c>
      <c r="X282">
        <v>23045</v>
      </c>
      <c r="Y282">
        <v>21978</v>
      </c>
      <c r="Z282">
        <v>9280</v>
      </c>
      <c r="AA282">
        <v>9536</v>
      </c>
      <c r="AB282">
        <v>230</v>
      </c>
      <c r="AC282">
        <v>355</v>
      </c>
      <c r="AD282">
        <v>55</v>
      </c>
      <c r="AE282">
        <v>40</v>
      </c>
      <c r="AF282">
        <v>0</v>
      </c>
      <c r="AG282">
        <v>0</v>
      </c>
      <c r="AH282">
        <v>1.0793688839312465</v>
      </c>
      <c r="AI282">
        <v>1.0793688839312465</v>
      </c>
      <c r="AJ282">
        <v>0</v>
      </c>
      <c r="AK282">
        <v>0</v>
      </c>
      <c r="AL282">
        <v>1.6190533258968698</v>
      </c>
      <c r="AM282">
        <v>1.0793688839312465</v>
      </c>
      <c r="AN282">
        <v>0</v>
      </c>
      <c r="AO282">
        <v>0</v>
      </c>
      <c r="AP282">
        <v>0</v>
      </c>
      <c r="AQ282">
        <v>0</v>
      </c>
      <c r="AR282">
        <v>0</v>
      </c>
      <c r="AS282">
        <v>0</v>
      </c>
      <c r="AT282">
        <v>4.3174755357249861</v>
      </c>
      <c r="AU282">
        <v>2.6984222098281165</v>
      </c>
      <c r="AV282">
        <v>1.0793688839312465</v>
      </c>
      <c r="AW282">
        <v>0</v>
      </c>
      <c r="AX282">
        <v>0</v>
      </c>
      <c r="AY282">
        <v>3.2381066517937396</v>
      </c>
    </row>
    <row r="283" spans="1:51">
      <c r="A283" t="s">
        <v>398</v>
      </c>
      <c r="B283">
        <v>456</v>
      </c>
      <c r="C283" s="102"/>
      <c r="D283" s="102"/>
      <c r="E283" s="102"/>
      <c r="F283" s="102"/>
      <c r="G283" s="102"/>
      <c r="H283" s="102"/>
      <c r="I283" s="102"/>
      <c r="J283" s="102"/>
      <c r="K283" s="102"/>
      <c r="L283" s="102"/>
      <c r="M283" s="102"/>
      <c r="N283" s="102"/>
      <c r="T283">
        <f t="shared" si="8"/>
        <v>0</v>
      </c>
      <c r="AB283">
        <v>0</v>
      </c>
      <c r="AC283">
        <v>0</v>
      </c>
      <c r="AD283">
        <v>0</v>
      </c>
      <c r="AE283">
        <v>0</v>
      </c>
      <c r="AF283" t="e">
        <v>#N/A</v>
      </c>
      <c r="AG283" t="e">
        <v>#N/A</v>
      </c>
      <c r="AH283" t="e">
        <v>#N/A</v>
      </c>
      <c r="AI283" t="e">
        <v>#N/A</v>
      </c>
      <c r="AJ283" t="e">
        <v>#N/A</v>
      </c>
      <c r="AK283" t="e">
        <v>#N/A</v>
      </c>
      <c r="AL283" t="e">
        <v>#N/A</v>
      </c>
      <c r="AM283" t="e">
        <v>#N/A</v>
      </c>
      <c r="AN283" t="e">
        <v>#N/A</v>
      </c>
      <c r="AO283" t="e">
        <v>#N/A</v>
      </c>
      <c r="AP283" t="e">
        <v>#N/A</v>
      </c>
      <c r="AQ283" t="e">
        <v>#N/A</v>
      </c>
      <c r="AR283" t="e">
        <v>#N/A</v>
      </c>
      <c r="AS283" t="e">
        <v>#N/A</v>
      </c>
      <c r="AT283" t="e">
        <v>#N/A</v>
      </c>
      <c r="AU283" t="e">
        <v>#N/A</v>
      </c>
      <c r="AV283" t="e">
        <v>#N/A</v>
      </c>
      <c r="AW283" t="e">
        <v>#N/A</v>
      </c>
      <c r="AX283" t="e">
        <v>#N/A</v>
      </c>
      <c r="AY283" t="e">
        <v>#N/A</v>
      </c>
    </row>
    <row r="284" spans="1:51">
      <c r="A284" t="s">
        <v>243</v>
      </c>
      <c r="B284">
        <v>3920</v>
      </c>
      <c r="C284">
        <v>3920</v>
      </c>
      <c r="D284">
        <v>2.1</v>
      </c>
      <c r="E284">
        <v>31782</v>
      </c>
      <c r="F284">
        <v>0</v>
      </c>
      <c r="G284">
        <v>890</v>
      </c>
      <c r="H284">
        <v>275</v>
      </c>
      <c r="I284">
        <v>325</v>
      </c>
      <c r="J284">
        <v>4.5</v>
      </c>
      <c r="K284">
        <v>3.9</v>
      </c>
      <c r="L284">
        <v>52</v>
      </c>
      <c r="M284">
        <v>32.700000000000003</v>
      </c>
      <c r="N284">
        <v>37.299999999999997</v>
      </c>
      <c r="T284" t="str">
        <f t="shared" si="8"/>
        <v>Norway House Cree Nation</v>
      </c>
      <c r="W284">
        <v>18500</v>
      </c>
      <c r="X284">
        <v>19706</v>
      </c>
      <c r="Y284">
        <v>17157</v>
      </c>
      <c r="Z284">
        <v>10928</v>
      </c>
      <c r="AA284">
        <v>10144</v>
      </c>
      <c r="AB284">
        <v>1485</v>
      </c>
      <c r="AC284">
        <v>2305</v>
      </c>
      <c r="AD284">
        <v>500</v>
      </c>
      <c r="AE284">
        <v>130</v>
      </c>
      <c r="AF284">
        <v>0.4910070217099004</v>
      </c>
      <c r="AG284">
        <v>0</v>
      </c>
      <c r="AH284">
        <v>0.2455035108549502</v>
      </c>
      <c r="AI284">
        <v>1.0433899211335382</v>
      </c>
      <c r="AJ284">
        <v>0.2455035108549502</v>
      </c>
      <c r="AK284">
        <v>0</v>
      </c>
      <c r="AL284">
        <v>1.2888934319884886</v>
      </c>
      <c r="AM284">
        <v>0.42963114399616287</v>
      </c>
      <c r="AN284">
        <v>0.1227517554274751</v>
      </c>
      <c r="AO284">
        <v>0.1227517554274751</v>
      </c>
      <c r="AP284">
        <v>0.1227517554274751</v>
      </c>
      <c r="AQ284">
        <v>0.1227517554274751</v>
      </c>
      <c r="AR284">
        <v>0</v>
      </c>
      <c r="AS284">
        <v>0.36825526628242528</v>
      </c>
      <c r="AT284">
        <v>2.4550351085495019</v>
      </c>
      <c r="AU284">
        <v>2.6391627416907149</v>
      </c>
      <c r="AV284">
        <v>0.2455035108549502</v>
      </c>
      <c r="AW284">
        <v>0.79788641027858809</v>
      </c>
      <c r="AX284">
        <v>0.30687938856868774</v>
      </c>
      <c r="AY284">
        <v>1.7799004536983889</v>
      </c>
    </row>
    <row r="285" spans="1:51">
      <c r="A285" t="s">
        <v>641</v>
      </c>
      <c r="B285">
        <v>560</v>
      </c>
      <c r="C285">
        <v>560</v>
      </c>
      <c r="D285">
        <v>1.1000000000000001</v>
      </c>
      <c r="E285">
        <v>54083</v>
      </c>
      <c r="F285">
        <v>0</v>
      </c>
      <c r="G285">
        <v>230</v>
      </c>
      <c r="H285">
        <v>55</v>
      </c>
      <c r="I285">
        <v>15</v>
      </c>
      <c r="J285">
        <v>78.3</v>
      </c>
      <c r="K285">
        <v>19.600000000000001</v>
      </c>
      <c r="L285">
        <v>54.8</v>
      </c>
      <c r="M285">
        <v>54.8</v>
      </c>
      <c r="N285">
        <v>0</v>
      </c>
      <c r="T285">
        <f t="shared" si="8"/>
        <v>0</v>
      </c>
      <c r="W285">
        <v>21166</v>
      </c>
      <c r="X285">
        <v>23561</v>
      </c>
      <c r="Y285">
        <v>18004</v>
      </c>
      <c r="Z285">
        <v>22479</v>
      </c>
      <c r="AA285">
        <v>13453</v>
      </c>
      <c r="AB285">
        <v>85</v>
      </c>
      <c r="AC285">
        <v>280</v>
      </c>
      <c r="AD285">
        <v>95</v>
      </c>
      <c r="AE285">
        <v>180</v>
      </c>
      <c r="AF285">
        <v>0.61375877713737548</v>
      </c>
      <c r="AG285">
        <v>0</v>
      </c>
      <c r="AH285">
        <v>0</v>
      </c>
      <c r="AI285">
        <v>1.227517554274751</v>
      </c>
      <c r="AJ285">
        <v>0</v>
      </c>
      <c r="AK285">
        <v>0</v>
      </c>
      <c r="AL285">
        <v>1.8412763314121265</v>
      </c>
      <c r="AM285">
        <v>1.8412763314121265</v>
      </c>
      <c r="AN285">
        <v>0</v>
      </c>
      <c r="AO285">
        <v>0.61375877713737548</v>
      </c>
      <c r="AP285">
        <v>0</v>
      </c>
      <c r="AQ285">
        <v>0</v>
      </c>
      <c r="AR285">
        <v>0</v>
      </c>
      <c r="AS285">
        <v>0</v>
      </c>
      <c r="AT285">
        <v>1.5343969428434387</v>
      </c>
      <c r="AU285">
        <v>3.0687938856868775</v>
      </c>
      <c r="AV285">
        <v>0</v>
      </c>
      <c r="AW285">
        <v>0.92063816570606327</v>
      </c>
      <c r="AX285">
        <v>1.5343969428434387</v>
      </c>
      <c r="AY285">
        <v>0.61375877713737548</v>
      </c>
    </row>
    <row r="286" spans="1:51">
      <c r="A286" t="s">
        <v>401</v>
      </c>
      <c r="B286">
        <v>360</v>
      </c>
      <c r="C286">
        <v>355</v>
      </c>
      <c r="D286">
        <v>1.2</v>
      </c>
      <c r="E286">
        <v>40865</v>
      </c>
      <c r="F286">
        <v>0</v>
      </c>
      <c r="G286">
        <v>155</v>
      </c>
      <c r="H286">
        <v>60</v>
      </c>
      <c r="I286">
        <v>60</v>
      </c>
      <c r="J286">
        <v>80.599999999999994</v>
      </c>
      <c r="K286">
        <v>19.399999999999999</v>
      </c>
      <c r="L286">
        <v>64.8</v>
      </c>
      <c r="M286">
        <v>63</v>
      </c>
      <c r="N286">
        <v>0</v>
      </c>
      <c r="T286">
        <f t="shared" si="8"/>
        <v>0</v>
      </c>
      <c r="W286">
        <v>28494</v>
      </c>
      <c r="X286">
        <v>34717</v>
      </c>
      <c r="Y286">
        <v>18693</v>
      </c>
      <c r="Z286">
        <v>35665</v>
      </c>
      <c r="AA286">
        <v>11756</v>
      </c>
      <c r="AB286">
        <v>90</v>
      </c>
      <c r="AC286">
        <v>215</v>
      </c>
      <c r="AD286">
        <v>85</v>
      </c>
      <c r="AE286">
        <v>50</v>
      </c>
      <c r="AF286">
        <v>0</v>
      </c>
      <c r="AG286">
        <v>0</v>
      </c>
      <c r="AH286">
        <v>0</v>
      </c>
      <c r="AI286">
        <v>2.2358355452861534</v>
      </c>
      <c r="AJ286">
        <v>0.89433421811446145</v>
      </c>
      <c r="AK286">
        <v>0.89433421811446145</v>
      </c>
      <c r="AL286">
        <v>0</v>
      </c>
      <c r="AM286">
        <v>0.89433421811446145</v>
      </c>
      <c r="AN286">
        <v>0</v>
      </c>
      <c r="AO286">
        <v>1.7886684362289229</v>
      </c>
      <c r="AP286">
        <v>0</v>
      </c>
      <c r="AQ286">
        <v>0</v>
      </c>
      <c r="AR286">
        <v>0</v>
      </c>
      <c r="AS286">
        <v>0</v>
      </c>
      <c r="AT286">
        <v>2.6830026543433845</v>
      </c>
      <c r="AU286">
        <v>1.7886684362289229</v>
      </c>
      <c r="AV286">
        <v>0.89433421811446145</v>
      </c>
      <c r="AW286">
        <v>2.2358355452861534</v>
      </c>
      <c r="AX286">
        <v>0.89433421811446145</v>
      </c>
      <c r="AY286">
        <v>0</v>
      </c>
    </row>
    <row r="287" spans="1:51">
      <c r="A287" t="s">
        <v>633</v>
      </c>
      <c r="B287">
        <v>1120</v>
      </c>
      <c r="C287">
        <v>1020</v>
      </c>
      <c r="D287">
        <v>1.1000000000000001</v>
      </c>
      <c r="E287">
        <v>59293</v>
      </c>
      <c r="F287">
        <v>6.5</v>
      </c>
      <c r="G287">
        <v>360</v>
      </c>
      <c r="H287">
        <v>145</v>
      </c>
      <c r="I287">
        <v>30</v>
      </c>
      <c r="J287">
        <v>90.3</v>
      </c>
      <c r="K287">
        <v>9.6999999999999993</v>
      </c>
      <c r="L287">
        <v>73.7</v>
      </c>
      <c r="M287">
        <v>71.900000000000006</v>
      </c>
      <c r="N287">
        <v>2.4</v>
      </c>
      <c r="T287">
        <f t="shared" si="8"/>
        <v>0</v>
      </c>
      <c r="W287">
        <v>24616</v>
      </c>
      <c r="X287">
        <v>28137</v>
      </c>
      <c r="Y287">
        <v>20639</v>
      </c>
      <c r="Z287">
        <v>26688</v>
      </c>
      <c r="AA287">
        <v>18686</v>
      </c>
      <c r="AB287">
        <v>255</v>
      </c>
      <c r="AC287">
        <v>740</v>
      </c>
      <c r="AD287">
        <v>280</v>
      </c>
      <c r="AE287">
        <v>115</v>
      </c>
      <c r="AF287">
        <v>4.5958841764215377</v>
      </c>
      <c r="AG287">
        <v>0</v>
      </c>
      <c r="AH287">
        <v>0.24842617169846148</v>
      </c>
      <c r="AI287">
        <v>0.49685234339692297</v>
      </c>
      <c r="AJ287">
        <v>1.4905570301907689</v>
      </c>
      <c r="AK287">
        <v>0.86949160094461519</v>
      </c>
      <c r="AL287">
        <v>0.99370468679384594</v>
      </c>
      <c r="AM287">
        <v>0.74527851509538445</v>
      </c>
      <c r="AN287">
        <v>0</v>
      </c>
      <c r="AO287">
        <v>0.49685234339692297</v>
      </c>
      <c r="AP287">
        <v>0.37263925754769223</v>
      </c>
      <c r="AQ287">
        <v>0.24842617169846148</v>
      </c>
      <c r="AR287">
        <v>0</v>
      </c>
      <c r="AS287">
        <v>0.37263925754769223</v>
      </c>
      <c r="AT287">
        <v>0.74527851509538445</v>
      </c>
      <c r="AU287">
        <v>2.8569009745323073</v>
      </c>
      <c r="AV287">
        <v>0</v>
      </c>
      <c r="AW287">
        <v>0.24842617169846148</v>
      </c>
      <c r="AX287">
        <v>0.49685234339692297</v>
      </c>
      <c r="AY287">
        <v>0.49685234339692297</v>
      </c>
    </row>
    <row r="288" spans="1:51">
      <c r="A288" t="s">
        <v>843</v>
      </c>
      <c r="B288">
        <v>340</v>
      </c>
      <c r="C288">
        <v>345</v>
      </c>
      <c r="D288">
        <v>1.9</v>
      </c>
      <c r="E288">
        <v>21725</v>
      </c>
      <c r="F288">
        <v>0</v>
      </c>
      <c r="G288">
        <v>90</v>
      </c>
      <c r="H288">
        <v>35</v>
      </c>
      <c r="I288">
        <v>35</v>
      </c>
      <c r="J288">
        <v>0</v>
      </c>
      <c r="K288">
        <v>0</v>
      </c>
      <c r="L288">
        <v>62.5</v>
      </c>
      <c r="M288">
        <v>40</v>
      </c>
      <c r="N288">
        <v>36</v>
      </c>
      <c r="T288" t="str">
        <f t="shared" si="8"/>
        <v>OChiChakKoSipi First Nation</v>
      </c>
      <c r="W288">
        <v>11227</v>
      </c>
      <c r="X288">
        <v>11632</v>
      </c>
      <c r="Y288">
        <v>10823</v>
      </c>
      <c r="Z288">
        <v>7088</v>
      </c>
      <c r="AA288">
        <v>8320</v>
      </c>
      <c r="AB288">
        <v>150</v>
      </c>
      <c r="AC288">
        <v>185</v>
      </c>
      <c r="AD288">
        <v>40</v>
      </c>
      <c r="AE288">
        <v>0</v>
      </c>
      <c r="AF288" t="e">
        <v>#N/A</v>
      </c>
      <c r="AG288" t="e">
        <v>#N/A</v>
      </c>
      <c r="AH288" t="e">
        <v>#N/A</v>
      </c>
      <c r="AI288" t="e">
        <v>#N/A</v>
      </c>
      <c r="AJ288" t="e">
        <v>#N/A</v>
      </c>
      <c r="AK288" t="e">
        <v>#N/A</v>
      </c>
      <c r="AL288" t="e">
        <v>#N/A</v>
      </c>
      <c r="AM288" t="e">
        <v>#N/A</v>
      </c>
      <c r="AN288" t="e">
        <v>#N/A</v>
      </c>
      <c r="AO288" t="e">
        <v>#N/A</v>
      </c>
      <c r="AP288" t="e">
        <v>#N/A</v>
      </c>
      <c r="AQ288" t="e">
        <v>#N/A</v>
      </c>
      <c r="AR288" t="e">
        <v>#N/A</v>
      </c>
      <c r="AS288" t="e">
        <v>#N/A</v>
      </c>
      <c r="AT288" t="e">
        <v>#N/A</v>
      </c>
      <c r="AU288" t="e">
        <v>#N/A</v>
      </c>
      <c r="AV288" t="e">
        <v>#N/A</v>
      </c>
      <c r="AW288" t="e">
        <v>#N/A</v>
      </c>
      <c r="AX288" t="e">
        <v>#N/A</v>
      </c>
      <c r="AY288" t="e">
        <v>#N/A</v>
      </c>
    </row>
    <row r="289" spans="1:51">
      <c r="A289" t="s">
        <v>682</v>
      </c>
      <c r="B289">
        <v>955</v>
      </c>
      <c r="C289">
        <v>950</v>
      </c>
      <c r="D289">
        <v>0.9</v>
      </c>
      <c r="E289">
        <v>50225</v>
      </c>
      <c r="F289">
        <v>18.600000000000001</v>
      </c>
      <c r="G289">
        <v>405</v>
      </c>
      <c r="H289">
        <v>150</v>
      </c>
      <c r="I289">
        <v>60</v>
      </c>
      <c r="J289">
        <v>84</v>
      </c>
      <c r="K289">
        <v>16</v>
      </c>
      <c r="L289">
        <v>68.400000000000006</v>
      </c>
      <c r="M289">
        <v>63.2</v>
      </c>
      <c r="N289">
        <v>7.5</v>
      </c>
      <c r="T289">
        <f t="shared" si="8"/>
        <v>0</v>
      </c>
      <c r="W289">
        <v>19271</v>
      </c>
      <c r="X289">
        <v>23786</v>
      </c>
      <c r="Y289">
        <v>13940</v>
      </c>
      <c r="Z289">
        <v>15270</v>
      </c>
      <c r="AA289">
        <v>11838</v>
      </c>
      <c r="AB289">
        <v>180</v>
      </c>
      <c r="AC289">
        <v>570</v>
      </c>
      <c r="AD289">
        <v>275</v>
      </c>
      <c r="AE289">
        <v>185</v>
      </c>
      <c r="AF289">
        <v>5.0200835828123065</v>
      </c>
      <c r="AG289">
        <v>0</v>
      </c>
      <c r="AH289">
        <v>0</v>
      </c>
      <c r="AI289">
        <v>1.033546619990769</v>
      </c>
      <c r="AJ289">
        <v>0.44294855142461537</v>
      </c>
      <c r="AK289">
        <v>0.44294855142461537</v>
      </c>
      <c r="AL289">
        <v>1.6241446885569231</v>
      </c>
      <c r="AM289">
        <v>0.44294855142461537</v>
      </c>
      <c r="AN289">
        <v>0.29529903428307686</v>
      </c>
      <c r="AO289">
        <v>0</v>
      </c>
      <c r="AP289">
        <v>0</v>
      </c>
      <c r="AQ289">
        <v>0.44294855142461537</v>
      </c>
      <c r="AR289">
        <v>0</v>
      </c>
      <c r="AS289">
        <v>0.44294855142461537</v>
      </c>
      <c r="AT289">
        <v>0.88589710284923073</v>
      </c>
      <c r="AU289">
        <v>2.3623922742646148</v>
      </c>
      <c r="AV289">
        <v>0</v>
      </c>
      <c r="AW289">
        <v>0.59059806856615371</v>
      </c>
      <c r="AX289">
        <v>0.59059806856615371</v>
      </c>
      <c r="AY289">
        <v>0.73824758570769222</v>
      </c>
    </row>
    <row r="290" spans="1:51">
      <c r="A290" t="s">
        <v>664</v>
      </c>
      <c r="B290">
        <v>510</v>
      </c>
      <c r="C290">
        <v>435</v>
      </c>
      <c r="D290">
        <v>0.8</v>
      </c>
      <c r="E290">
        <v>41234</v>
      </c>
      <c r="F290">
        <v>0</v>
      </c>
      <c r="G290">
        <v>165</v>
      </c>
      <c r="H290">
        <v>35</v>
      </c>
      <c r="I290">
        <v>25</v>
      </c>
      <c r="J290">
        <v>90.9</v>
      </c>
      <c r="K290">
        <v>9.1</v>
      </c>
      <c r="L290">
        <v>59.8</v>
      </c>
      <c r="M290">
        <v>58.5</v>
      </c>
      <c r="N290">
        <v>0</v>
      </c>
      <c r="T290">
        <f t="shared" si="8"/>
        <v>0</v>
      </c>
      <c r="W290">
        <v>13855</v>
      </c>
      <c r="X290">
        <v>14719</v>
      </c>
      <c r="Y290">
        <v>12391</v>
      </c>
      <c r="Z290">
        <v>19454</v>
      </c>
      <c r="AA290">
        <v>13836</v>
      </c>
      <c r="AB290">
        <v>95</v>
      </c>
      <c r="AC290">
        <v>350</v>
      </c>
      <c r="AD290">
        <v>145</v>
      </c>
      <c r="AE290">
        <v>60</v>
      </c>
      <c r="AF290">
        <v>6.3881015579604385</v>
      </c>
      <c r="AG290">
        <v>0</v>
      </c>
      <c r="AH290">
        <v>0</v>
      </c>
      <c r="AI290">
        <v>0</v>
      </c>
      <c r="AJ290">
        <v>1.5970253894901096</v>
      </c>
      <c r="AK290">
        <v>0</v>
      </c>
      <c r="AL290">
        <v>0.9582152336940658</v>
      </c>
      <c r="AM290">
        <v>1.9164304673881316</v>
      </c>
      <c r="AN290">
        <v>0</v>
      </c>
      <c r="AO290">
        <v>0</v>
      </c>
      <c r="AP290">
        <v>0</v>
      </c>
      <c r="AQ290">
        <v>0</v>
      </c>
      <c r="AR290">
        <v>0</v>
      </c>
      <c r="AS290">
        <v>0</v>
      </c>
      <c r="AT290">
        <v>2.5552406231841753</v>
      </c>
      <c r="AU290">
        <v>0.63881015579604383</v>
      </c>
      <c r="AV290">
        <v>0</v>
      </c>
      <c r="AW290">
        <v>0.9582152336940658</v>
      </c>
      <c r="AX290">
        <v>0.63881015579604383</v>
      </c>
      <c r="AY290">
        <v>0</v>
      </c>
    </row>
    <row r="291" spans="1:51">
      <c r="A291" t="s">
        <v>245</v>
      </c>
      <c r="B291">
        <f>SUM(B292:B296)</f>
        <v>2410</v>
      </c>
      <c r="C291">
        <f>SUM(C292:C296)</f>
        <v>2400</v>
      </c>
      <c r="D291" s="116">
        <f>(D292*$B292+D293*$B293+D294*$B294+D295*$B295+D296*$B296)/$B291</f>
        <v>1.8950207468879667</v>
      </c>
      <c r="E291" s="117">
        <f>(E292*$B292+E293*$B293+E294*$B294+E295*$B295+E296*$B296)/$B291</f>
        <v>32214.134854771783</v>
      </c>
      <c r="F291" s="116">
        <f>(F292*$B292+F293*$B293+F294*$B294+F295*$B295+F296*$B296)/$B291</f>
        <v>0</v>
      </c>
      <c r="G291">
        <f>SUM(G292:G296)</f>
        <v>635</v>
      </c>
      <c r="H291">
        <f>SUM(H292:H296)</f>
        <v>215</v>
      </c>
      <c r="I291">
        <f>SUM(I292:I296)</f>
        <v>210</v>
      </c>
      <c r="J291" s="116">
        <f>(J292*$B292+J293*$B293+J294*$B294+J295*$B295+J296*$B296)/$B291</f>
        <v>34.354564315352697</v>
      </c>
      <c r="K291" s="116">
        <f>(K292*$B292+K293*$B293+K294*$B294+K295*$B295+K296*$B296)/$B291</f>
        <v>20.84771784232365</v>
      </c>
      <c r="L291" s="116">
        <f>(L292*$B292+L293*$B293+L294*$B294+L295*$B295+L296*$B296)/$B291</f>
        <v>56.436514522821575</v>
      </c>
      <c r="M291" s="116">
        <f>(M292*$B292+M293*$B293+M294*$B294+M295*$B295+M296*$B296)/$B291</f>
        <v>42.652904564315349</v>
      </c>
      <c r="N291" s="116">
        <f>(N292*$B292+N293*$B293+N294*$B294+N295*$B295+N296*$B296)/$B291</f>
        <v>23.85331950207469</v>
      </c>
      <c r="T291" t="str">
        <f t="shared" si="8"/>
        <v>Opaskwayak Cree Nation</v>
      </c>
      <c r="W291">
        <v>19581.914937759335</v>
      </c>
      <c r="X291">
        <v>19656.230290456431</v>
      </c>
      <c r="Y291">
        <v>19178.33195020747</v>
      </c>
      <c r="Z291">
        <v>8919.4522821576757</v>
      </c>
      <c r="AA291">
        <v>11456.132780082988</v>
      </c>
      <c r="AB291">
        <v>845</v>
      </c>
      <c r="AC291">
        <v>1380</v>
      </c>
      <c r="AD291">
        <v>345</v>
      </c>
      <c r="AE291">
        <v>60</v>
      </c>
      <c r="AF291">
        <v>0.71957925595416439</v>
      </c>
      <c r="AG291">
        <v>0.1798948139885411</v>
      </c>
      <c r="AH291">
        <v>0</v>
      </c>
      <c r="AI291">
        <v>0.80952666294843489</v>
      </c>
      <c r="AJ291">
        <v>1.0793688839312465</v>
      </c>
      <c r="AK291">
        <v>0.1798948139885411</v>
      </c>
      <c r="AL291">
        <v>1.3492111049140583</v>
      </c>
      <c r="AM291">
        <v>0.4497370349713527</v>
      </c>
      <c r="AN291">
        <v>0.1798948139885411</v>
      </c>
      <c r="AO291">
        <v>0</v>
      </c>
      <c r="AP291">
        <v>0.62963184895989377</v>
      </c>
      <c r="AQ291">
        <v>0</v>
      </c>
      <c r="AR291">
        <v>0</v>
      </c>
      <c r="AS291">
        <v>0.4497370349713527</v>
      </c>
      <c r="AT291">
        <v>1.7090007328911405</v>
      </c>
      <c r="AU291">
        <v>2.7883696168223868</v>
      </c>
      <c r="AV291">
        <v>0.53968444196562326</v>
      </c>
      <c r="AW291">
        <v>1.3492111049140583</v>
      </c>
      <c r="AX291">
        <v>0.35978962797708219</v>
      </c>
      <c r="AY291">
        <v>1.5291059189025993</v>
      </c>
    </row>
    <row r="292" spans="1:51">
      <c r="A292" t="s">
        <v>801</v>
      </c>
      <c r="B292">
        <v>1995</v>
      </c>
      <c r="C292">
        <v>1995</v>
      </c>
      <c r="D292">
        <v>2</v>
      </c>
      <c r="E292">
        <v>30278</v>
      </c>
      <c r="F292">
        <v>0</v>
      </c>
      <c r="G292">
        <v>510</v>
      </c>
      <c r="H292">
        <v>165</v>
      </c>
      <c r="I292">
        <v>175</v>
      </c>
      <c r="J292">
        <v>24.5</v>
      </c>
      <c r="K292">
        <v>23.5</v>
      </c>
      <c r="L292">
        <v>55.1</v>
      </c>
      <c r="M292">
        <v>41.3</v>
      </c>
      <c r="N292">
        <v>25.7</v>
      </c>
      <c r="T292">
        <f t="shared" si="8"/>
        <v>0</v>
      </c>
      <c r="W292">
        <v>18610</v>
      </c>
      <c r="X292">
        <v>17932</v>
      </c>
      <c r="Y292">
        <v>19311</v>
      </c>
      <c r="Z292">
        <v>7192</v>
      </c>
      <c r="AA292">
        <v>11136</v>
      </c>
      <c r="AB292">
        <v>760</v>
      </c>
      <c r="AC292">
        <v>1195</v>
      </c>
      <c r="AD292">
        <v>280</v>
      </c>
      <c r="AE292">
        <v>40</v>
      </c>
      <c r="AF292" t="e">
        <v>#N/A</v>
      </c>
      <c r="AG292" t="e">
        <v>#N/A</v>
      </c>
      <c r="AH292" t="e">
        <v>#N/A</v>
      </c>
      <c r="AI292" t="e">
        <v>#N/A</v>
      </c>
      <c r="AJ292" t="e">
        <v>#N/A</v>
      </c>
      <c r="AK292" t="e">
        <v>#N/A</v>
      </c>
      <c r="AL292" t="e">
        <v>#N/A</v>
      </c>
      <c r="AM292" t="e">
        <v>#N/A</v>
      </c>
      <c r="AN292" t="e">
        <v>#N/A</v>
      </c>
      <c r="AO292" t="e">
        <v>#N/A</v>
      </c>
      <c r="AP292" t="e">
        <v>#N/A</v>
      </c>
      <c r="AQ292" t="e">
        <v>#N/A</v>
      </c>
      <c r="AR292" t="e">
        <v>#N/A</v>
      </c>
      <c r="AS292" t="e">
        <v>#N/A</v>
      </c>
      <c r="AT292" t="e">
        <v>#N/A</v>
      </c>
      <c r="AU292" t="e">
        <v>#N/A</v>
      </c>
      <c r="AV292" t="e">
        <v>#N/A</v>
      </c>
      <c r="AW292" t="e">
        <v>#N/A</v>
      </c>
      <c r="AX292" t="e">
        <v>#N/A</v>
      </c>
      <c r="AY292" t="e">
        <v>#N/A</v>
      </c>
    </row>
    <row r="293" spans="1:51">
      <c r="A293" t="s">
        <v>701</v>
      </c>
      <c r="B293">
        <v>235</v>
      </c>
      <c r="C293">
        <v>230</v>
      </c>
      <c r="D293">
        <v>1.8</v>
      </c>
      <c r="E293">
        <v>39829</v>
      </c>
      <c r="F293">
        <v>0</v>
      </c>
      <c r="G293">
        <v>70</v>
      </c>
      <c r="H293">
        <v>20</v>
      </c>
      <c r="I293">
        <v>25</v>
      </c>
      <c r="J293">
        <v>78.599999999999994</v>
      </c>
      <c r="K293">
        <v>14.3</v>
      </c>
      <c r="L293">
        <v>67.7</v>
      </c>
      <c r="M293">
        <v>51.6</v>
      </c>
      <c r="N293">
        <v>19</v>
      </c>
      <c r="T293">
        <f t="shared" si="8"/>
        <v>0</v>
      </c>
      <c r="W293">
        <v>26223</v>
      </c>
      <c r="X293">
        <v>30825</v>
      </c>
      <c r="Y293">
        <v>18553</v>
      </c>
      <c r="Z293">
        <v>16576</v>
      </c>
      <c r="AA293">
        <v>11968</v>
      </c>
      <c r="AB293">
        <v>75</v>
      </c>
      <c r="AC293">
        <v>95</v>
      </c>
      <c r="AD293">
        <v>15</v>
      </c>
      <c r="AE293">
        <v>10</v>
      </c>
      <c r="AF293" t="e">
        <v>#N/A</v>
      </c>
      <c r="AG293" t="e">
        <v>#N/A</v>
      </c>
      <c r="AH293" t="e">
        <v>#N/A</v>
      </c>
      <c r="AI293" t="e">
        <v>#N/A</v>
      </c>
      <c r="AJ293" t="e">
        <v>#N/A</v>
      </c>
      <c r="AK293" t="e">
        <v>#N/A</v>
      </c>
      <c r="AL293" t="e">
        <v>#N/A</v>
      </c>
      <c r="AM293" t="e">
        <v>#N/A</v>
      </c>
      <c r="AN293" t="e">
        <v>#N/A</v>
      </c>
      <c r="AO293" t="e">
        <v>#N/A</v>
      </c>
      <c r="AP293" t="e">
        <v>#N/A</v>
      </c>
      <c r="AQ293" t="e">
        <v>#N/A</v>
      </c>
      <c r="AR293" t="e">
        <v>#N/A</v>
      </c>
      <c r="AS293" t="e">
        <v>#N/A</v>
      </c>
      <c r="AT293" t="e">
        <v>#N/A</v>
      </c>
      <c r="AU293" t="e">
        <v>#N/A</v>
      </c>
      <c r="AV293" t="e">
        <v>#N/A</v>
      </c>
      <c r="AW293" t="e">
        <v>#N/A</v>
      </c>
      <c r="AX293" t="e">
        <v>#N/A</v>
      </c>
      <c r="AY293" t="e">
        <v>#N/A</v>
      </c>
    </row>
    <row r="294" spans="1:51">
      <c r="A294" t="s">
        <v>769</v>
      </c>
      <c r="B294">
        <v>30</v>
      </c>
      <c r="C294">
        <v>30</v>
      </c>
      <c r="G294">
        <v>10</v>
      </c>
      <c r="H294">
        <v>10</v>
      </c>
      <c r="I294">
        <v>0</v>
      </c>
      <c r="J294">
        <v>100</v>
      </c>
      <c r="K294">
        <v>0</v>
      </c>
      <c r="T294">
        <f t="shared" si="8"/>
        <v>0</v>
      </c>
      <c r="W294">
        <v>0</v>
      </c>
      <c r="X294">
        <v>0</v>
      </c>
      <c r="Y294">
        <v>0</v>
      </c>
      <c r="Z294">
        <v>0</v>
      </c>
      <c r="AA294">
        <v>0</v>
      </c>
      <c r="AB294">
        <v>0</v>
      </c>
      <c r="AC294">
        <v>30</v>
      </c>
      <c r="AD294">
        <v>10</v>
      </c>
      <c r="AE294">
        <v>0</v>
      </c>
      <c r="AF294" t="e">
        <v>#N/A</v>
      </c>
      <c r="AG294" t="e">
        <v>#N/A</v>
      </c>
      <c r="AH294" t="e">
        <v>#N/A</v>
      </c>
      <c r="AI294" t="e">
        <v>#N/A</v>
      </c>
      <c r="AJ294" t="e">
        <v>#N/A</v>
      </c>
      <c r="AK294" t="e">
        <v>#N/A</v>
      </c>
      <c r="AL294" t="e">
        <v>#N/A</v>
      </c>
      <c r="AM294" t="e">
        <v>#N/A</v>
      </c>
      <c r="AN294" t="e">
        <v>#N/A</v>
      </c>
      <c r="AO294" t="e">
        <v>#N/A</v>
      </c>
      <c r="AP294" t="e">
        <v>#N/A</v>
      </c>
      <c r="AQ294" t="e">
        <v>#N/A</v>
      </c>
      <c r="AR294" t="e">
        <v>#N/A</v>
      </c>
      <c r="AS294" t="e">
        <v>#N/A</v>
      </c>
      <c r="AT294" t="e">
        <v>#N/A</v>
      </c>
      <c r="AU294" t="e">
        <v>#N/A</v>
      </c>
      <c r="AV294" t="e">
        <v>#N/A</v>
      </c>
      <c r="AW294" t="e">
        <v>#N/A</v>
      </c>
      <c r="AX294" t="e">
        <v>#N/A</v>
      </c>
      <c r="AY294" t="e">
        <v>#N/A</v>
      </c>
    </row>
    <row r="295" spans="1:51">
      <c r="A295" t="s">
        <v>770</v>
      </c>
      <c r="B295">
        <v>10</v>
      </c>
      <c r="C295">
        <v>10</v>
      </c>
      <c r="G295">
        <v>0</v>
      </c>
      <c r="H295">
        <v>0</v>
      </c>
      <c r="I295">
        <v>0</v>
      </c>
      <c r="T295">
        <f t="shared" si="8"/>
        <v>0</v>
      </c>
      <c r="W295">
        <v>0</v>
      </c>
      <c r="X295">
        <v>0</v>
      </c>
      <c r="Y295">
        <v>0</v>
      </c>
      <c r="Z295">
        <v>0</v>
      </c>
      <c r="AA295">
        <v>0</v>
      </c>
      <c r="AB295">
        <v>0</v>
      </c>
      <c r="AC295">
        <v>0</v>
      </c>
      <c r="AD295">
        <v>0</v>
      </c>
      <c r="AE295">
        <v>0</v>
      </c>
      <c r="AF295" t="e">
        <v>#N/A</v>
      </c>
      <c r="AG295" t="e">
        <v>#N/A</v>
      </c>
      <c r="AH295" t="e">
        <v>#N/A</v>
      </c>
      <c r="AI295" t="e">
        <v>#N/A</v>
      </c>
      <c r="AJ295" t="e">
        <v>#N/A</v>
      </c>
      <c r="AK295" t="e">
        <v>#N/A</v>
      </c>
      <c r="AL295" t="e">
        <v>#N/A</v>
      </c>
      <c r="AM295" t="e">
        <v>#N/A</v>
      </c>
      <c r="AN295" t="e">
        <v>#N/A</v>
      </c>
      <c r="AO295" t="e">
        <v>#N/A</v>
      </c>
      <c r="AP295" t="e">
        <v>#N/A</v>
      </c>
      <c r="AQ295" t="e">
        <v>#N/A</v>
      </c>
      <c r="AR295" t="e">
        <v>#N/A</v>
      </c>
      <c r="AS295" t="e">
        <v>#N/A</v>
      </c>
      <c r="AT295" t="e">
        <v>#N/A</v>
      </c>
      <c r="AU295" t="e">
        <v>#N/A</v>
      </c>
      <c r="AV295" t="e">
        <v>#N/A</v>
      </c>
      <c r="AW295" t="e">
        <v>#N/A</v>
      </c>
      <c r="AX295" t="e">
        <v>#N/A</v>
      </c>
      <c r="AY295" t="e">
        <v>#N/A</v>
      </c>
    </row>
    <row r="296" spans="1:51">
      <c r="A296" t="s">
        <v>702</v>
      </c>
      <c r="B296">
        <v>140</v>
      </c>
      <c r="C296">
        <v>135</v>
      </c>
      <c r="D296">
        <v>1.1000000000000001</v>
      </c>
      <c r="E296">
        <v>56226</v>
      </c>
      <c r="F296">
        <v>0</v>
      </c>
      <c r="G296">
        <v>45</v>
      </c>
      <c r="H296">
        <v>20</v>
      </c>
      <c r="I296">
        <v>10</v>
      </c>
      <c r="J296">
        <v>88.9</v>
      </c>
      <c r="K296">
        <v>0</v>
      </c>
      <c r="L296">
        <v>72.7</v>
      </c>
      <c r="M296">
        <v>59.1</v>
      </c>
      <c r="N296">
        <v>12.5</v>
      </c>
      <c r="T296">
        <f t="shared" si="8"/>
        <v>0</v>
      </c>
      <c r="W296">
        <v>27879</v>
      </c>
      <c r="X296">
        <v>31095</v>
      </c>
      <c r="Y296">
        <v>23817</v>
      </c>
      <c r="Z296">
        <v>23232</v>
      </c>
      <c r="AA296">
        <v>18432</v>
      </c>
      <c r="AB296">
        <v>10</v>
      </c>
      <c r="AC296">
        <v>60</v>
      </c>
      <c r="AD296">
        <v>40</v>
      </c>
      <c r="AE296">
        <v>10</v>
      </c>
      <c r="AF296" t="e">
        <v>#N/A</v>
      </c>
      <c r="AG296" t="e">
        <v>#N/A</v>
      </c>
      <c r="AH296" t="e">
        <v>#N/A</v>
      </c>
      <c r="AI296" t="e">
        <v>#N/A</v>
      </c>
      <c r="AJ296" t="e">
        <v>#N/A</v>
      </c>
      <c r="AK296" t="e">
        <v>#N/A</v>
      </c>
      <c r="AL296" t="e">
        <v>#N/A</v>
      </c>
      <c r="AM296" t="e">
        <v>#N/A</v>
      </c>
      <c r="AN296" t="e">
        <v>#N/A</v>
      </c>
      <c r="AO296" t="e">
        <v>#N/A</v>
      </c>
      <c r="AP296" t="e">
        <v>#N/A</v>
      </c>
      <c r="AQ296" t="e">
        <v>#N/A</v>
      </c>
      <c r="AR296" t="e">
        <v>#N/A</v>
      </c>
      <c r="AS296" t="e">
        <v>#N/A</v>
      </c>
      <c r="AT296" t="e">
        <v>#N/A</v>
      </c>
      <c r="AU296" t="e">
        <v>#N/A</v>
      </c>
      <c r="AV296" t="e">
        <v>#N/A</v>
      </c>
      <c r="AW296" t="e">
        <v>#N/A</v>
      </c>
      <c r="AX296" t="e">
        <v>#N/A</v>
      </c>
      <c r="AY296" t="e">
        <v>#N/A</v>
      </c>
    </row>
    <row r="297" spans="1:51">
      <c r="A297" t="s">
        <v>844</v>
      </c>
      <c r="B297">
        <v>805</v>
      </c>
      <c r="C297">
        <v>805</v>
      </c>
      <c r="D297">
        <v>2.4</v>
      </c>
      <c r="E297">
        <v>22434</v>
      </c>
      <c r="F297">
        <v>0</v>
      </c>
      <c r="G297">
        <v>150</v>
      </c>
      <c r="H297">
        <v>40</v>
      </c>
      <c r="I297">
        <v>95</v>
      </c>
      <c r="J297">
        <v>56.7</v>
      </c>
      <c r="K297">
        <v>43.3</v>
      </c>
      <c r="L297">
        <v>42.3</v>
      </c>
      <c r="M297">
        <v>27.8</v>
      </c>
      <c r="N297">
        <v>34.1</v>
      </c>
      <c r="T297" t="str">
        <f t="shared" si="8"/>
        <v>OPiponNaPiwin</v>
      </c>
      <c r="W297">
        <v>12195</v>
      </c>
      <c r="X297">
        <v>11906</v>
      </c>
      <c r="Y297">
        <v>12667</v>
      </c>
      <c r="Z297">
        <v>6128</v>
      </c>
      <c r="AA297">
        <v>8032</v>
      </c>
      <c r="AB297">
        <v>330</v>
      </c>
      <c r="AC297">
        <v>465</v>
      </c>
      <c r="AD297">
        <v>110</v>
      </c>
      <c r="AE297">
        <v>20</v>
      </c>
      <c r="AF297" t="e">
        <v>#N/A</v>
      </c>
      <c r="AG297" t="e">
        <v>#N/A</v>
      </c>
      <c r="AH297" t="e">
        <v>#N/A</v>
      </c>
      <c r="AI297" t="e">
        <v>#N/A</v>
      </c>
      <c r="AJ297" t="e">
        <v>#N/A</v>
      </c>
      <c r="AK297" t="e">
        <v>#N/A</v>
      </c>
      <c r="AL297" t="e">
        <v>#N/A</v>
      </c>
      <c r="AM297" t="e">
        <v>#N/A</v>
      </c>
      <c r="AN297" t="e">
        <v>#N/A</v>
      </c>
      <c r="AO297" t="e">
        <v>#N/A</v>
      </c>
      <c r="AP297" t="e">
        <v>#N/A</v>
      </c>
      <c r="AQ297" t="e">
        <v>#N/A</v>
      </c>
      <c r="AR297" t="e">
        <v>#N/A</v>
      </c>
      <c r="AS297" t="e">
        <v>#N/A</v>
      </c>
      <c r="AT297" t="e">
        <v>#N/A</v>
      </c>
      <c r="AU297" t="e">
        <v>#N/A</v>
      </c>
      <c r="AV297" t="e">
        <v>#N/A</v>
      </c>
      <c r="AW297" t="e">
        <v>#N/A</v>
      </c>
      <c r="AX297" t="e">
        <v>#N/A</v>
      </c>
      <c r="AY297" t="e">
        <v>#N/A</v>
      </c>
    </row>
    <row r="298" spans="1:51">
      <c r="A298" t="s">
        <v>680</v>
      </c>
      <c r="B298">
        <v>340</v>
      </c>
      <c r="C298">
        <v>340</v>
      </c>
      <c r="D298">
        <v>1.1000000000000001</v>
      </c>
      <c r="E298">
        <v>38647</v>
      </c>
      <c r="F298">
        <v>0</v>
      </c>
      <c r="G298">
        <v>140</v>
      </c>
      <c r="H298">
        <v>60</v>
      </c>
      <c r="I298">
        <v>30</v>
      </c>
      <c r="J298">
        <v>92.9</v>
      </c>
      <c r="K298">
        <v>7.1</v>
      </c>
      <c r="L298">
        <v>55.7</v>
      </c>
      <c r="M298">
        <v>41</v>
      </c>
      <c r="N298">
        <v>26.5</v>
      </c>
      <c r="T298">
        <f t="shared" si="8"/>
        <v>0</v>
      </c>
      <c r="W298">
        <v>17749</v>
      </c>
      <c r="X298">
        <v>20246</v>
      </c>
      <c r="Y298">
        <v>13023</v>
      </c>
      <c r="Z298">
        <v>16346</v>
      </c>
      <c r="AA298">
        <v>10745</v>
      </c>
      <c r="AB298">
        <v>30</v>
      </c>
      <c r="AC298">
        <v>215</v>
      </c>
      <c r="AD298">
        <v>105</v>
      </c>
      <c r="AE298">
        <v>70</v>
      </c>
      <c r="AF298">
        <v>3.6825526628242531</v>
      </c>
      <c r="AG298">
        <v>0</v>
      </c>
      <c r="AH298">
        <v>0.92063816570606327</v>
      </c>
      <c r="AI298">
        <v>3.2222335799712214</v>
      </c>
      <c r="AJ298">
        <v>0.92063816570606327</v>
      </c>
      <c r="AK298">
        <v>0</v>
      </c>
      <c r="AL298">
        <v>0</v>
      </c>
      <c r="AM298">
        <v>1.8412763314121265</v>
      </c>
      <c r="AN298">
        <v>0</v>
      </c>
      <c r="AO298">
        <v>0</v>
      </c>
      <c r="AP298">
        <v>0</v>
      </c>
      <c r="AQ298">
        <v>0</v>
      </c>
      <c r="AR298">
        <v>0</v>
      </c>
      <c r="AS298">
        <v>0.92063816570606327</v>
      </c>
      <c r="AT298">
        <v>0</v>
      </c>
      <c r="AU298">
        <v>1.8412763314121265</v>
      </c>
      <c r="AV298">
        <v>0</v>
      </c>
      <c r="AW298">
        <v>0.92063816570606327</v>
      </c>
      <c r="AX298">
        <v>0.92063816570606327</v>
      </c>
      <c r="AY298">
        <v>0</v>
      </c>
    </row>
    <row r="299" spans="1:51">
      <c r="A299" t="s">
        <v>675</v>
      </c>
      <c r="B299">
        <v>885</v>
      </c>
      <c r="C299">
        <v>885</v>
      </c>
      <c r="D299">
        <v>0.9</v>
      </c>
      <c r="E299">
        <v>52496</v>
      </c>
      <c r="F299">
        <v>11.1</v>
      </c>
      <c r="G299">
        <v>390</v>
      </c>
      <c r="H299">
        <v>130</v>
      </c>
      <c r="I299">
        <v>55</v>
      </c>
      <c r="J299">
        <v>93.6</v>
      </c>
      <c r="K299">
        <v>7.7</v>
      </c>
      <c r="L299">
        <v>65.8</v>
      </c>
      <c r="M299">
        <v>62.3</v>
      </c>
      <c r="N299">
        <v>5.2</v>
      </c>
      <c r="T299">
        <f t="shared" si="8"/>
        <v>0</v>
      </c>
      <c r="W299">
        <v>23260</v>
      </c>
      <c r="X299">
        <v>21523</v>
      </c>
      <c r="Y299">
        <v>25435</v>
      </c>
      <c r="Z299">
        <v>21823</v>
      </c>
      <c r="AA299">
        <v>13471</v>
      </c>
      <c r="AB299">
        <v>155</v>
      </c>
      <c r="AC299">
        <v>555</v>
      </c>
      <c r="AD299">
        <v>295</v>
      </c>
      <c r="AE299">
        <v>170</v>
      </c>
      <c r="AF299">
        <v>3.4236231787194229</v>
      </c>
      <c r="AG299">
        <v>0</v>
      </c>
      <c r="AH299">
        <v>0</v>
      </c>
      <c r="AI299">
        <v>1.1412077262398077</v>
      </c>
      <c r="AJ299">
        <v>0.48908902553134609</v>
      </c>
      <c r="AK299">
        <v>0</v>
      </c>
      <c r="AL299">
        <v>1.1412077262398077</v>
      </c>
      <c r="AM299">
        <v>0.32605935035423073</v>
      </c>
      <c r="AN299">
        <v>0.32605935035423073</v>
      </c>
      <c r="AO299">
        <v>0.32605935035423073</v>
      </c>
      <c r="AP299">
        <v>0</v>
      </c>
      <c r="AQ299">
        <v>0.32605935035423073</v>
      </c>
      <c r="AR299">
        <v>0</v>
      </c>
      <c r="AS299">
        <v>0.32605935035423073</v>
      </c>
      <c r="AT299">
        <v>1.6302967517711537</v>
      </c>
      <c r="AU299">
        <v>0.97817805106269218</v>
      </c>
      <c r="AV299">
        <v>1.7933264269482689</v>
      </c>
      <c r="AW299">
        <v>1.4672670765940383</v>
      </c>
      <c r="AX299">
        <v>0.65211870070846145</v>
      </c>
      <c r="AY299">
        <v>1.7933264269482689</v>
      </c>
    </row>
    <row r="300" spans="1:51">
      <c r="A300" t="s">
        <v>762</v>
      </c>
      <c r="B300">
        <v>41095</v>
      </c>
      <c r="C300">
        <v>40920</v>
      </c>
      <c r="D300">
        <v>1.1000000000000001</v>
      </c>
      <c r="E300">
        <v>44069</v>
      </c>
      <c r="F300">
        <v>15.2</v>
      </c>
      <c r="G300">
        <v>16890</v>
      </c>
      <c r="H300">
        <v>6035</v>
      </c>
      <c r="I300">
        <v>2715</v>
      </c>
      <c r="J300">
        <v>73.099999999999994</v>
      </c>
      <c r="K300">
        <v>21.8</v>
      </c>
      <c r="L300">
        <v>59.8</v>
      </c>
      <c r="M300">
        <v>55.1</v>
      </c>
      <c r="N300">
        <v>7.8</v>
      </c>
      <c r="T300">
        <f t="shared" si="8"/>
        <v>0</v>
      </c>
      <c r="W300">
        <v>20112</v>
      </c>
      <c r="X300">
        <v>22985</v>
      </c>
      <c r="Y300">
        <v>16788</v>
      </c>
      <c r="Z300">
        <v>18318</v>
      </c>
      <c r="AA300">
        <v>13281</v>
      </c>
      <c r="AB300">
        <v>8705</v>
      </c>
      <c r="AC300">
        <v>24515</v>
      </c>
      <c r="AD300">
        <v>9800</v>
      </c>
      <c r="AE300">
        <v>7895</v>
      </c>
      <c r="AF300">
        <v>3.3598179713070411</v>
      </c>
      <c r="AG300">
        <v>0.12533616980808454</v>
      </c>
      <c r="AH300">
        <v>0.15768098782307413</v>
      </c>
      <c r="AI300">
        <v>0.78031873461162327</v>
      </c>
      <c r="AJ300">
        <v>0.67519807606290716</v>
      </c>
      <c r="AK300">
        <v>0.47708606572109608</v>
      </c>
      <c r="AL300">
        <v>1.7385339683056891</v>
      </c>
      <c r="AM300">
        <v>0.65902566705541232</v>
      </c>
      <c r="AN300">
        <v>0.16576719232682149</v>
      </c>
      <c r="AO300">
        <v>0.35174989591301153</v>
      </c>
      <c r="AP300">
        <v>0.11320686305246347</v>
      </c>
      <c r="AQ300">
        <v>0.28706025988303235</v>
      </c>
      <c r="AR300">
        <v>0</v>
      </c>
      <c r="AS300">
        <v>0.29514646438677977</v>
      </c>
      <c r="AT300">
        <v>1.2452754935770982</v>
      </c>
      <c r="AU300">
        <v>2.1226286822336902</v>
      </c>
      <c r="AV300">
        <v>0.12533616980808454</v>
      </c>
      <c r="AW300">
        <v>1.0512065854871608</v>
      </c>
      <c r="AX300">
        <v>0.78840493911537057</v>
      </c>
      <c r="AY300">
        <v>0.88543939316033937</v>
      </c>
    </row>
    <row r="301" spans="1:51">
      <c r="A301" t="s">
        <v>763</v>
      </c>
      <c r="B301">
        <v>43585</v>
      </c>
      <c r="C301">
        <v>43410</v>
      </c>
      <c r="D301">
        <v>1.1000000000000001</v>
      </c>
      <c r="E301">
        <v>45665</v>
      </c>
      <c r="F301">
        <v>13.6</v>
      </c>
      <c r="G301">
        <v>18335</v>
      </c>
      <c r="H301">
        <v>6675</v>
      </c>
      <c r="I301">
        <v>2715</v>
      </c>
      <c r="J301">
        <v>76.099999999999994</v>
      </c>
      <c r="K301">
        <v>20.5</v>
      </c>
      <c r="L301">
        <v>61.7</v>
      </c>
      <c r="M301">
        <v>57.7</v>
      </c>
      <c r="N301">
        <v>6.5</v>
      </c>
      <c r="T301">
        <f t="shared" si="8"/>
        <v>0</v>
      </c>
      <c r="AB301">
        <v>0</v>
      </c>
      <c r="AC301">
        <v>0</v>
      </c>
      <c r="AD301">
        <v>0</v>
      </c>
      <c r="AE301">
        <v>0</v>
      </c>
      <c r="AF301">
        <v>3.553381491615494</v>
      </c>
      <c r="AG301">
        <v>0.18510976105453544</v>
      </c>
      <c r="AH301">
        <v>0.14155452315935063</v>
      </c>
      <c r="AI301">
        <v>0.7694758694815983</v>
      </c>
      <c r="AJ301">
        <v>0.72955023474434555</v>
      </c>
      <c r="AK301">
        <v>0.51177404526842152</v>
      </c>
      <c r="AL301">
        <v>1.7494687221232565</v>
      </c>
      <c r="AM301">
        <v>0.66058777474363628</v>
      </c>
      <c r="AN301">
        <v>0.17422095158073925</v>
      </c>
      <c r="AO301">
        <v>0.37021952210907089</v>
      </c>
      <c r="AP301">
        <v>0.1234065073696903</v>
      </c>
      <c r="AQ301">
        <v>0.28310904631870126</v>
      </c>
      <c r="AR301">
        <v>0</v>
      </c>
      <c r="AS301">
        <v>0.268590633686973</v>
      </c>
      <c r="AT301">
        <v>1.1215473758010088</v>
      </c>
      <c r="AU301">
        <v>2.0289481652840258</v>
      </c>
      <c r="AV301">
        <v>0.11977690421175823</v>
      </c>
      <c r="AW301">
        <v>1.125176978958941</v>
      </c>
      <c r="AX301">
        <v>0.78036467895539452</v>
      </c>
      <c r="AY301">
        <v>0.75495745684987003</v>
      </c>
    </row>
    <row r="302" spans="1:51">
      <c r="A302" t="s">
        <v>246</v>
      </c>
      <c r="B302">
        <v>415</v>
      </c>
      <c r="C302">
        <v>420</v>
      </c>
      <c r="D302">
        <v>2.2999999999999998</v>
      </c>
      <c r="E302">
        <v>17520</v>
      </c>
      <c r="F302">
        <v>0</v>
      </c>
      <c r="G302">
        <v>95</v>
      </c>
      <c r="H302">
        <v>35</v>
      </c>
      <c r="I302">
        <v>40</v>
      </c>
      <c r="J302">
        <v>0</v>
      </c>
      <c r="K302">
        <v>10.5</v>
      </c>
      <c r="L302">
        <v>31.2</v>
      </c>
      <c r="M302">
        <v>29.2</v>
      </c>
      <c r="N302">
        <v>0</v>
      </c>
      <c r="T302" t="str">
        <f t="shared" ref="T302:T307" si="9">IFERROR(VLOOKUP(A302,$U$12:$U$74,1,0),0)</f>
        <v>Pauingassi First Nation</v>
      </c>
      <c r="W302">
        <v>9949</v>
      </c>
      <c r="X302">
        <v>8776</v>
      </c>
      <c r="Y302">
        <v>11551</v>
      </c>
      <c r="Z302">
        <v>6032</v>
      </c>
      <c r="AA302">
        <v>5768</v>
      </c>
      <c r="AB302">
        <v>180</v>
      </c>
      <c r="AC302">
        <v>230</v>
      </c>
      <c r="AD302">
        <v>50</v>
      </c>
      <c r="AE302">
        <v>20</v>
      </c>
      <c r="AF302">
        <v>2.0867798422670765</v>
      </c>
      <c r="AG302">
        <v>0</v>
      </c>
      <c r="AH302">
        <v>0</v>
      </c>
      <c r="AI302">
        <v>0</v>
      </c>
      <c r="AJ302">
        <v>0</v>
      </c>
      <c r="AK302">
        <v>0</v>
      </c>
      <c r="AL302">
        <v>0</v>
      </c>
      <c r="AM302">
        <v>0</v>
      </c>
      <c r="AN302">
        <v>0</v>
      </c>
      <c r="AO302">
        <v>0</v>
      </c>
      <c r="AP302">
        <v>0</v>
      </c>
      <c r="AQ302">
        <v>0</v>
      </c>
      <c r="AR302">
        <v>0</v>
      </c>
      <c r="AS302">
        <v>2.0867798422670765</v>
      </c>
      <c r="AT302">
        <v>5.2169496056676916</v>
      </c>
      <c r="AU302">
        <v>2.0867798422670765</v>
      </c>
      <c r="AV302">
        <v>0</v>
      </c>
      <c r="AW302">
        <v>0</v>
      </c>
      <c r="AX302">
        <v>0</v>
      </c>
      <c r="AY302">
        <v>3.1301697634006151</v>
      </c>
    </row>
    <row r="303" spans="1:51">
      <c r="A303" t="s">
        <v>247</v>
      </c>
      <c r="B303">
        <v>2500</v>
      </c>
      <c r="C303">
        <v>2500</v>
      </c>
      <c r="D303">
        <v>1.9</v>
      </c>
      <c r="E303">
        <v>30908</v>
      </c>
      <c r="F303">
        <v>0</v>
      </c>
      <c r="G303">
        <v>705</v>
      </c>
      <c r="H303">
        <v>225</v>
      </c>
      <c r="I303">
        <v>275</v>
      </c>
      <c r="J303">
        <v>20.6</v>
      </c>
      <c r="K303">
        <v>6.4</v>
      </c>
      <c r="L303">
        <v>55.6</v>
      </c>
      <c r="M303">
        <v>42.2</v>
      </c>
      <c r="N303">
        <v>24</v>
      </c>
      <c r="T303" t="str">
        <f t="shared" si="9"/>
        <v>Peguis First Nation</v>
      </c>
      <c r="W303">
        <v>17627</v>
      </c>
      <c r="X303">
        <v>17407</v>
      </c>
      <c r="Y303">
        <v>17869</v>
      </c>
      <c r="Z303">
        <v>10320</v>
      </c>
      <c r="AA303">
        <v>10840</v>
      </c>
      <c r="AB303">
        <v>885</v>
      </c>
      <c r="AC303">
        <v>1490</v>
      </c>
      <c r="AD303">
        <v>370</v>
      </c>
      <c r="AE303">
        <v>120</v>
      </c>
      <c r="AF303">
        <v>0.52460945755317567</v>
      </c>
      <c r="AG303">
        <v>0</v>
      </c>
      <c r="AH303">
        <v>0.1748698191843919</v>
      </c>
      <c r="AI303">
        <v>2.1858727398048985</v>
      </c>
      <c r="AJ303">
        <v>0.1748698191843919</v>
      </c>
      <c r="AK303">
        <v>0</v>
      </c>
      <c r="AL303">
        <v>1.0492189151063513</v>
      </c>
      <c r="AM303">
        <v>0.3497396383687838</v>
      </c>
      <c r="AN303">
        <v>0</v>
      </c>
      <c r="AO303">
        <v>0</v>
      </c>
      <c r="AP303">
        <v>0</v>
      </c>
      <c r="AQ303">
        <v>0.1748698191843919</v>
      </c>
      <c r="AR303">
        <v>0</v>
      </c>
      <c r="AS303">
        <v>0.1748698191843919</v>
      </c>
      <c r="AT303">
        <v>2.8853520165424662</v>
      </c>
      <c r="AU303">
        <v>2.8853520165424662</v>
      </c>
      <c r="AV303">
        <v>0.26230472877658784</v>
      </c>
      <c r="AW303">
        <v>0.61204436714537169</v>
      </c>
      <c r="AX303">
        <v>0.26230472877658784</v>
      </c>
      <c r="AY303">
        <v>2.9727869261346624</v>
      </c>
    </row>
    <row r="304" spans="1:51">
      <c r="A304" t="s">
        <v>248</v>
      </c>
      <c r="B304">
        <v>123</v>
      </c>
      <c r="C304" s="102"/>
      <c r="D304" s="102"/>
      <c r="E304" s="102"/>
      <c r="F304" s="102"/>
      <c r="G304" s="102"/>
      <c r="H304" s="102"/>
      <c r="I304" s="102"/>
      <c r="J304" s="102"/>
      <c r="K304" s="102"/>
      <c r="L304" s="102"/>
      <c r="M304" s="102"/>
      <c r="N304" s="102"/>
      <c r="T304">
        <f t="shared" si="9"/>
        <v>0</v>
      </c>
      <c r="AB304">
        <v>0</v>
      </c>
      <c r="AC304">
        <v>0</v>
      </c>
      <c r="AD304">
        <v>0</v>
      </c>
      <c r="AE304">
        <v>0</v>
      </c>
      <c r="AF304" t="e">
        <v>#N/A</v>
      </c>
      <c r="AG304" t="e">
        <v>#N/A</v>
      </c>
      <c r="AH304" t="e">
        <v>#N/A</v>
      </c>
      <c r="AI304" t="e">
        <v>#N/A</v>
      </c>
      <c r="AJ304" t="e">
        <v>#N/A</v>
      </c>
      <c r="AK304" t="e">
        <v>#N/A</v>
      </c>
      <c r="AL304" t="e">
        <v>#N/A</v>
      </c>
      <c r="AM304" t="e">
        <v>#N/A</v>
      </c>
      <c r="AN304" t="e">
        <v>#N/A</v>
      </c>
      <c r="AO304" t="e">
        <v>#N/A</v>
      </c>
      <c r="AP304" t="e">
        <v>#N/A</v>
      </c>
      <c r="AQ304" t="e">
        <v>#N/A</v>
      </c>
      <c r="AR304" t="e">
        <v>#N/A</v>
      </c>
      <c r="AS304" t="e">
        <v>#N/A</v>
      </c>
      <c r="AT304" t="e">
        <v>#N/A</v>
      </c>
      <c r="AU304" t="e">
        <v>#N/A</v>
      </c>
      <c r="AV304" t="e">
        <v>#N/A</v>
      </c>
      <c r="AW304" t="e">
        <v>#N/A</v>
      </c>
      <c r="AX304" t="e">
        <v>#N/A</v>
      </c>
      <c r="AY304" t="e">
        <v>#N/A</v>
      </c>
    </row>
    <row r="305" spans="1:51">
      <c r="A305" t="s">
        <v>616</v>
      </c>
      <c r="B305">
        <v>1740</v>
      </c>
      <c r="C305">
        <v>1520</v>
      </c>
      <c r="D305">
        <v>1.2</v>
      </c>
      <c r="E305">
        <v>43221</v>
      </c>
      <c r="F305">
        <v>12.5</v>
      </c>
      <c r="G305">
        <v>575</v>
      </c>
      <c r="H305">
        <v>215</v>
      </c>
      <c r="I305">
        <v>75</v>
      </c>
      <c r="J305">
        <v>86.1</v>
      </c>
      <c r="K305">
        <v>13.9</v>
      </c>
      <c r="L305">
        <v>73.900000000000006</v>
      </c>
      <c r="M305">
        <v>72.400000000000006</v>
      </c>
      <c r="N305">
        <v>2.5</v>
      </c>
      <c r="T305">
        <f t="shared" si="9"/>
        <v>0</v>
      </c>
      <c r="W305">
        <v>16586</v>
      </c>
      <c r="X305">
        <v>18291</v>
      </c>
      <c r="Y305">
        <v>14219</v>
      </c>
      <c r="Z305">
        <v>16628</v>
      </c>
      <c r="AA305">
        <v>13338</v>
      </c>
      <c r="AB305">
        <v>375</v>
      </c>
      <c r="AC305">
        <v>1170</v>
      </c>
      <c r="AD305">
        <v>465</v>
      </c>
      <c r="AE305">
        <v>185</v>
      </c>
      <c r="AF305">
        <v>7.0857076733695514</v>
      </c>
      <c r="AG305">
        <v>0</v>
      </c>
      <c r="AH305">
        <v>0.15572983897515497</v>
      </c>
      <c r="AI305">
        <v>0.54505443641304241</v>
      </c>
      <c r="AJ305">
        <v>0.54505443641304241</v>
      </c>
      <c r="AK305">
        <v>0.62291935590061986</v>
      </c>
      <c r="AL305">
        <v>1.0122439533385073</v>
      </c>
      <c r="AM305">
        <v>0.77864919487577489</v>
      </c>
      <c r="AN305">
        <v>0</v>
      </c>
      <c r="AO305">
        <v>0</v>
      </c>
      <c r="AP305">
        <v>0</v>
      </c>
      <c r="AQ305">
        <v>0.15572983897515497</v>
      </c>
      <c r="AR305">
        <v>0</v>
      </c>
      <c r="AS305">
        <v>0.23359475846273245</v>
      </c>
      <c r="AT305">
        <v>1.0122439533385073</v>
      </c>
      <c r="AU305">
        <v>1.8687580677018596</v>
      </c>
      <c r="AV305">
        <v>0</v>
      </c>
      <c r="AW305">
        <v>0.23359475846273245</v>
      </c>
      <c r="AX305">
        <v>0.9343790338509298</v>
      </c>
      <c r="AY305">
        <v>0.38932459743788744</v>
      </c>
    </row>
    <row r="306" spans="1:51">
      <c r="A306" t="s">
        <v>407</v>
      </c>
      <c r="B306">
        <v>117</v>
      </c>
      <c r="C306" s="102"/>
      <c r="D306" s="102"/>
      <c r="E306" s="102"/>
      <c r="F306" s="102"/>
      <c r="G306" s="102"/>
      <c r="H306" s="102"/>
      <c r="I306" s="102"/>
      <c r="J306" s="102"/>
      <c r="K306" s="102"/>
      <c r="L306" s="102"/>
      <c r="M306" s="102"/>
      <c r="N306" s="102"/>
      <c r="T306">
        <f t="shared" si="9"/>
        <v>0</v>
      </c>
      <c r="AB306">
        <v>0</v>
      </c>
      <c r="AC306">
        <v>0</v>
      </c>
      <c r="AD306">
        <v>0</v>
      </c>
      <c r="AE306">
        <v>0</v>
      </c>
      <c r="AF306" t="e">
        <v>#N/A</v>
      </c>
      <c r="AG306" t="e">
        <v>#N/A</v>
      </c>
      <c r="AH306" t="e">
        <v>#N/A</v>
      </c>
      <c r="AI306" t="e">
        <v>#N/A</v>
      </c>
      <c r="AJ306" t="e">
        <v>#N/A</v>
      </c>
      <c r="AK306" t="e">
        <v>#N/A</v>
      </c>
      <c r="AL306" t="e">
        <v>#N/A</v>
      </c>
      <c r="AM306" t="e">
        <v>#N/A</v>
      </c>
      <c r="AN306" t="e">
        <v>#N/A</v>
      </c>
      <c r="AO306" t="e">
        <v>#N/A</v>
      </c>
      <c r="AP306" t="e">
        <v>#N/A</v>
      </c>
      <c r="AQ306" t="e">
        <v>#N/A</v>
      </c>
      <c r="AR306" t="e">
        <v>#N/A</v>
      </c>
      <c r="AS306" t="e">
        <v>#N/A</v>
      </c>
      <c r="AT306" t="e">
        <v>#N/A</v>
      </c>
      <c r="AU306" t="e">
        <v>#N/A</v>
      </c>
      <c r="AV306" t="e">
        <v>#N/A</v>
      </c>
      <c r="AW306" t="e">
        <v>#N/A</v>
      </c>
      <c r="AX306" t="e">
        <v>#N/A</v>
      </c>
      <c r="AY306" t="e">
        <v>#N/A</v>
      </c>
    </row>
    <row r="307" spans="1:51">
      <c r="A307" t="s">
        <v>408</v>
      </c>
      <c r="B307">
        <v>620</v>
      </c>
      <c r="C307">
        <v>620</v>
      </c>
      <c r="D307">
        <v>1.2</v>
      </c>
      <c r="E307">
        <v>37142</v>
      </c>
      <c r="F307">
        <v>0</v>
      </c>
      <c r="G307">
        <v>295</v>
      </c>
      <c r="H307">
        <v>85</v>
      </c>
      <c r="I307">
        <v>25</v>
      </c>
      <c r="J307">
        <v>76.3</v>
      </c>
      <c r="K307">
        <v>23.7</v>
      </c>
      <c r="L307">
        <v>54</v>
      </c>
      <c r="M307">
        <v>47</v>
      </c>
      <c r="N307">
        <v>13</v>
      </c>
      <c r="T307">
        <f t="shared" si="9"/>
        <v>0</v>
      </c>
      <c r="W307">
        <v>18806</v>
      </c>
      <c r="X307">
        <v>20845</v>
      </c>
      <c r="Y307">
        <v>16783</v>
      </c>
      <c r="Z307">
        <v>19838</v>
      </c>
      <c r="AA307">
        <v>15268</v>
      </c>
      <c r="AB307">
        <v>125</v>
      </c>
      <c r="AC307">
        <v>305</v>
      </c>
      <c r="AD307">
        <v>115</v>
      </c>
      <c r="AE307">
        <v>195</v>
      </c>
      <c r="AF307">
        <v>0.5796610672964102</v>
      </c>
      <c r="AG307">
        <v>0</v>
      </c>
      <c r="AH307">
        <v>0</v>
      </c>
      <c r="AI307">
        <v>0.5796610672964102</v>
      </c>
      <c r="AJ307">
        <v>0.5796610672964102</v>
      </c>
      <c r="AK307">
        <v>0.86949160094461519</v>
      </c>
      <c r="AL307">
        <v>2.3186442691856408</v>
      </c>
      <c r="AM307">
        <v>1.4491526682410254</v>
      </c>
      <c r="AN307">
        <v>0</v>
      </c>
      <c r="AO307">
        <v>1.4491526682410254</v>
      </c>
      <c r="AP307">
        <v>0</v>
      </c>
      <c r="AQ307">
        <v>0</v>
      </c>
      <c r="AR307">
        <v>0</v>
      </c>
      <c r="AS307">
        <v>0.86949160094461519</v>
      </c>
      <c r="AT307">
        <v>1.1593221345928204</v>
      </c>
      <c r="AU307">
        <v>2.8983053364820508</v>
      </c>
      <c r="AV307">
        <v>0</v>
      </c>
      <c r="AW307">
        <v>0.5796610672964102</v>
      </c>
      <c r="AX307">
        <v>0.5796610672964102</v>
      </c>
      <c r="AY307">
        <v>0.5796610672964102</v>
      </c>
    </row>
    <row r="308" spans="1:51">
      <c r="A308" t="s">
        <v>409</v>
      </c>
      <c r="B308">
        <v>1495</v>
      </c>
      <c r="C308">
        <v>1485</v>
      </c>
      <c r="D308">
        <v>0.8</v>
      </c>
      <c r="E308">
        <v>66002</v>
      </c>
      <c r="F308">
        <v>4</v>
      </c>
      <c r="G308">
        <v>615</v>
      </c>
      <c r="H308">
        <v>140</v>
      </c>
      <c r="I308">
        <v>35</v>
      </c>
      <c r="J308">
        <v>81.3</v>
      </c>
      <c r="K308">
        <v>17.899999999999999</v>
      </c>
      <c r="L308">
        <v>54.8</v>
      </c>
      <c r="M308">
        <v>50.8</v>
      </c>
      <c r="N308">
        <v>7.4</v>
      </c>
      <c r="T308">
        <f t="shared" si="8"/>
        <v>0</v>
      </c>
      <c r="W308">
        <v>29217</v>
      </c>
      <c r="X308">
        <v>39383</v>
      </c>
      <c r="Y308">
        <v>17990</v>
      </c>
      <c r="Z308">
        <v>42227</v>
      </c>
      <c r="AA308">
        <v>17824</v>
      </c>
      <c r="AB308">
        <v>250</v>
      </c>
      <c r="AC308">
        <v>1025</v>
      </c>
      <c r="AD308">
        <v>635</v>
      </c>
      <c r="AE308">
        <v>220</v>
      </c>
      <c r="AF308">
        <v>0</v>
      </c>
      <c r="AG308">
        <v>0.68543863432130259</v>
      </c>
      <c r="AH308">
        <v>0.79967840670818635</v>
      </c>
      <c r="AI308">
        <v>0.456959089547535</v>
      </c>
      <c r="AJ308">
        <v>0</v>
      </c>
      <c r="AK308">
        <v>0</v>
      </c>
      <c r="AL308">
        <v>1.3708772686426052</v>
      </c>
      <c r="AM308">
        <v>0</v>
      </c>
      <c r="AN308">
        <v>0</v>
      </c>
      <c r="AO308">
        <v>0.2284795447737675</v>
      </c>
      <c r="AP308">
        <v>0.456959089547535</v>
      </c>
      <c r="AQ308">
        <v>3.1987136268327454</v>
      </c>
      <c r="AR308">
        <v>0</v>
      </c>
      <c r="AS308">
        <v>0.2284795447737675</v>
      </c>
      <c r="AT308">
        <v>2.2847954477376748</v>
      </c>
      <c r="AU308">
        <v>1.3708772686426052</v>
      </c>
      <c r="AV308">
        <v>0.34271931716065129</v>
      </c>
      <c r="AW308">
        <v>1.5993568134163727</v>
      </c>
      <c r="AX308">
        <v>0.68543863432130259</v>
      </c>
      <c r="AY308">
        <v>1.1423977238688374</v>
      </c>
    </row>
    <row r="309" spans="1:51">
      <c r="A309" t="s">
        <v>249</v>
      </c>
      <c r="B309">
        <v>820</v>
      </c>
      <c r="C309">
        <v>820</v>
      </c>
      <c r="D309">
        <v>2.2000000000000002</v>
      </c>
      <c r="E309">
        <v>23454</v>
      </c>
      <c r="F309">
        <v>0</v>
      </c>
      <c r="G309">
        <v>205</v>
      </c>
      <c r="H309">
        <v>75</v>
      </c>
      <c r="I309">
        <v>95</v>
      </c>
      <c r="J309">
        <v>24.4</v>
      </c>
      <c r="K309">
        <v>0</v>
      </c>
      <c r="L309">
        <v>51</v>
      </c>
      <c r="M309">
        <v>28</v>
      </c>
      <c r="N309">
        <v>45.1</v>
      </c>
      <c r="T309" t="str">
        <f t="shared" si="8"/>
        <v>Pinaymootang First Nation</v>
      </c>
      <c r="W309">
        <v>13719</v>
      </c>
      <c r="X309">
        <v>13282</v>
      </c>
      <c r="Y309">
        <v>14279</v>
      </c>
      <c r="Z309">
        <v>4368</v>
      </c>
      <c r="AA309">
        <v>7088</v>
      </c>
      <c r="AB309">
        <v>325</v>
      </c>
      <c r="AC309">
        <v>470</v>
      </c>
      <c r="AD309">
        <v>125</v>
      </c>
      <c r="AE309">
        <v>40</v>
      </c>
      <c r="AF309">
        <v>0</v>
      </c>
      <c r="AG309">
        <v>0</v>
      </c>
      <c r="AH309">
        <v>0</v>
      </c>
      <c r="AI309">
        <v>0.92063816570606327</v>
      </c>
      <c r="AJ309">
        <v>0</v>
      </c>
      <c r="AK309">
        <v>0</v>
      </c>
      <c r="AL309">
        <v>1.5343969428434387</v>
      </c>
      <c r="AM309">
        <v>0</v>
      </c>
      <c r="AN309">
        <v>0</v>
      </c>
      <c r="AO309">
        <v>0</v>
      </c>
      <c r="AP309">
        <v>0</v>
      </c>
      <c r="AQ309">
        <v>0</v>
      </c>
      <c r="AR309">
        <v>0</v>
      </c>
      <c r="AS309">
        <v>0</v>
      </c>
      <c r="AT309">
        <v>2.1481557199808146</v>
      </c>
      <c r="AU309">
        <v>2.1481557199808146</v>
      </c>
      <c r="AV309">
        <v>0</v>
      </c>
      <c r="AW309">
        <v>0.61375877713737548</v>
      </c>
      <c r="AX309">
        <v>0</v>
      </c>
      <c r="AY309">
        <v>2.7619144971181897</v>
      </c>
    </row>
    <row r="310" spans="1:51">
      <c r="A310" t="s">
        <v>250</v>
      </c>
      <c r="B310">
        <v>685</v>
      </c>
      <c r="C310">
        <v>685</v>
      </c>
      <c r="D310">
        <v>1.9</v>
      </c>
      <c r="E310">
        <v>26678</v>
      </c>
      <c r="F310">
        <v>0</v>
      </c>
      <c r="G310">
        <v>185</v>
      </c>
      <c r="H310">
        <v>60</v>
      </c>
      <c r="I310">
        <v>85</v>
      </c>
      <c r="J310">
        <v>10.8</v>
      </c>
      <c r="K310">
        <v>8.1</v>
      </c>
      <c r="L310">
        <v>46</v>
      </c>
      <c r="M310">
        <v>35.6</v>
      </c>
      <c r="N310">
        <v>20</v>
      </c>
      <c r="T310" t="str">
        <f t="shared" si="8"/>
        <v>Pine Creek First Nation</v>
      </c>
      <c r="W310">
        <v>14775</v>
      </c>
      <c r="X310">
        <v>13635</v>
      </c>
      <c r="Y310">
        <v>16073</v>
      </c>
      <c r="Z310">
        <v>6808</v>
      </c>
      <c r="AA310">
        <v>9184</v>
      </c>
      <c r="AB310">
        <v>255</v>
      </c>
      <c r="AC310">
        <v>440</v>
      </c>
      <c r="AD310">
        <v>105</v>
      </c>
      <c r="AE310">
        <v>0</v>
      </c>
      <c r="AF310">
        <v>1.6052152632823666</v>
      </c>
      <c r="AG310">
        <v>0</v>
      </c>
      <c r="AH310">
        <v>0</v>
      </c>
      <c r="AI310">
        <v>0.80260763164118332</v>
      </c>
      <c r="AJ310">
        <v>0</v>
      </c>
      <c r="AK310">
        <v>0</v>
      </c>
      <c r="AL310">
        <v>0.80260763164118332</v>
      </c>
      <c r="AM310">
        <v>0</v>
      </c>
      <c r="AN310">
        <v>0</v>
      </c>
      <c r="AO310">
        <v>0</v>
      </c>
      <c r="AP310">
        <v>0</v>
      </c>
      <c r="AQ310">
        <v>0</v>
      </c>
      <c r="AR310">
        <v>0</v>
      </c>
      <c r="AS310">
        <v>1.2039114474617751</v>
      </c>
      <c r="AT310">
        <v>2.4078228949235503</v>
      </c>
      <c r="AU310">
        <v>2.8091267107441418</v>
      </c>
      <c r="AV310">
        <v>0.80260763164118332</v>
      </c>
      <c r="AW310">
        <v>0.80260763164118332</v>
      </c>
      <c r="AX310">
        <v>0</v>
      </c>
      <c r="AY310">
        <v>2.0065190791029583</v>
      </c>
    </row>
    <row r="311" spans="1:51">
      <c r="A311" t="s">
        <v>251</v>
      </c>
      <c r="B311">
        <v>108</v>
      </c>
      <c r="C311" s="102"/>
      <c r="D311" s="102"/>
      <c r="E311" s="102"/>
      <c r="F311" s="102"/>
      <c r="G311" s="102"/>
      <c r="H311" s="102"/>
      <c r="I311" s="102"/>
      <c r="J311" s="102"/>
      <c r="K311" s="102"/>
      <c r="L311" s="102"/>
      <c r="M311" s="102"/>
      <c r="N311" s="102"/>
      <c r="T311">
        <f t="shared" si="8"/>
        <v>0</v>
      </c>
      <c r="AB311">
        <v>0</v>
      </c>
      <c r="AC311">
        <v>0</v>
      </c>
      <c r="AD311">
        <v>0</v>
      </c>
      <c r="AE311">
        <v>0</v>
      </c>
      <c r="AF311" t="e">
        <v>#N/A</v>
      </c>
      <c r="AG311" t="e">
        <v>#N/A</v>
      </c>
      <c r="AH311" t="e">
        <v>#N/A</v>
      </c>
      <c r="AI311" t="e">
        <v>#N/A</v>
      </c>
      <c r="AJ311" t="e">
        <v>#N/A</v>
      </c>
      <c r="AK311" t="e">
        <v>#N/A</v>
      </c>
      <c r="AL311" t="e">
        <v>#N/A</v>
      </c>
      <c r="AM311" t="e">
        <v>#N/A</v>
      </c>
      <c r="AN311" t="e">
        <v>#N/A</v>
      </c>
      <c r="AO311" t="e">
        <v>#N/A</v>
      </c>
      <c r="AP311" t="e">
        <v>#N/A</v>
      </c>
      <c r="AQ311" t="e">
        <v>#N/A</v>
      </c>
      <c r="AR311" t="e">
        <v>#N/A</v>
      </c>
      <c r="AS311" t="e">
        <v>#N/A</v>
      </c>
      <c r="AT311" t="e">
        <v>#N/A</v>
      </c>
      <c r="AU311" t="e">
        <v>#N/A</v>
      </c>
      <c r="AV311" t="e">
        <v>#N/A</v>
      </c>
      <c r="AW311" t="e">
        <v>#N/A</v>
      </c>
      <c r="AX311" t="e">
        <v>#N/A</v>
      </c>
      <c r="AY311" t="e">
        <v>#N/A</v>
      </c>
    </row>
    <row r="312" spans="1:51">
      <c r="A312" t="s">
        <v>410</v>
      </c>
      <c r="B312">
        <v>1400</v>
      </c>
      <c r="C312">
        <v>1385</v>
      </c>
      <c r="D312">
        <v>1.2</v>
      </c>
      <c r="E312">
        <v>58873</v>
      </c>
      <c r="F312">
        <v>8.9</v>
      </c>
      <c r="G312">
        <v>560</v>
      </c>
      <c r="H312">
        <v>205</v>
      </c>
      <c r="I312">
        <v>35</v>
      </c>
      <c r="J312">
        <v>72.3</v>
      </c>
      <c r="K312">
        <v>28.6</v>
      </c>
      <c r="L312">
        <v>64.7</v>
      </c>
      <c r="M312">
        <v>57.3</v>
      </c>
      <c r="N312">
        <v>11.3</v>
      </c>
      <c r="T312">
        <f t="shared" si="8"/>
        <v>0</v>
      </c>
      <c r="W312">
        <v>31908</v>
      </c>
      <c r="X312">
        <v>39173</v>
      </c>
      <c r="Y312">
        <v>22475</v>
      </c>
      <c r="Z312">
        <v>36377</v>
      </c>
      <c r="AA312">
        <v>15053</v>
      </c>
      <c r="AB312">
        <v>305</v>
      </c>
      <c r="AC312">
        <v>875</v>
      </c>
      <c r="AD312">
        <v>330</v>
      </c>
      <c r="AE312">
        <v>200</v>
      </c>
      <c r="AF312" t="e">
        <v>#N/A</v>
      </c>
      <c r="AG312" t="e">
        <v>#N/A</v>
      </c>
      <c r="AH312" t="e">
        <v>#N/A</v>
      </c>
      <c r="AI312" t="e">
        <v>#N/A</v>
      </c>
      <c r="AJ312" t="e">
        <v>#N/A</v>
      </c>
      <c r="AK312" t="e">
        <v>#N/A</v>
      </c>
      <c r="AL312" t="e">
        <v>#N/A</v>
      </c>
      <c r="AM312" t="e">
        <v>#N/A</v>
      </c>
      <c r="AN312" t="e">
        <v>#N/A</v>
      </c>
      <c r="AO312" t="e">
        <v>#N/A</v>
      </c>
      <c r="AP312" t="e">
        <v>#N/A</v>
      </c>
      <c r="AQ312" t="e">
        <v>#N/A</v>
      </c>
      <c r="AR312" t="e">
        <v>#N/A</v>
      </c>
      <c r="AS312" t="e">
        <v>#N/A</v>
      </c>
      <c r="AT312" t="e">
        <v>#N/A</v>
      </c>
      <c r="AU312" t="e">
        <v>#N/A</v>
      </c>
      <c r="AV312" t="e">
        <v>#N/A</v>
      </c>
      <c r="AW312" t="e">
        <v>#N/A</v>
      </c>
      <c r="AX312" t="e">
        <v>#N/A</v>
      </c>
      <c r="AY312" t="e">
        <v>#N/A</v>
      </c>
    </row>
    <row r="313" spans="1:51">
      <c r="A313" t="s">
        <v>411</v>
      </c>
      <c r="B313">
        <v>1665</v>
      </c>
      <c r="C313">
        <v>1585</v>
      </c>
      <c r="D313">
        <v>0.8</v>
      </c>
      <c r="E313">
        <v>43118</v>
      </c>
      <c r="F313">
        <v>9.4</v>
      </c>
      <c r="G313">
        <v>695</v>
      </c>
      <c r="H313">
        <v>295</v>
      </c>
      <c r="I313">
        <v>85</v>
      </c>
      <c r="J313">
        <v>87.1</v>
      </c>
      <c r="K313">
        <v>12.9</v>
      </c>
      <c r="L313">
        <v>57.5</v>
      </c>
      <c r="M313">
        <v>53.1</v>
      </c>
      <c r="N313">
        <v>7.6</v>
      </c>
      <c r="T313">
        <f t="shared" si="8"/>
        <v>0</v>
      </c>
      <c r="W313">
        <v>21977</v>
      </c>
      <c r="X313">
        <v>23726</v>
      </c>
      <c r="Y313">
        <v>19268</v>
      </c>
      <c r="Z313">
        <v>18671</v>
      </c>
      <c r="AA313">
        <v>12992</v>
      </c>
      <c r="AB313">
        <v>280</v>
      </c>
      <c r="AC313">
        <v>1020</v>
      </c>
      <c r="AD313">
        <v>500</v>
      </c>
      <c r="AE313">
        <v>350</v>
      </c>
      <c r="AF313">
        <v>3.2688481706398829</v>
      </c>
      <c r="AG313">
        <v>0.79244804136724434</v>
      </c>
      <c r="AH313">
        <v>0.2971680155127166</v>
      </c>
      <c r="AI313">
        <v>1.4858400775635832</v>
      </c>
      <c r="AJ313">
        <v>2.0801761085890162</v>
      </c>
      <c r="AK313">
        <v>0.5943360310254332</v>
      </c>
      <c r="AL313">
        <v>1.0896160568799609</v>
      </c>
      <c r="AM313">
        <v>1.0896160568799609</v>
      </c>
      <c r="AN313">
        <v>0</v>
      </c>
      <c r="AO313">
        <v>0.2971680155127166</v>
      </c>
      <c r="AP313">
        <v>0.19811201034181108</v>
      </c>
      <c r="AQ313">
        <v>0.2971680155127166</v>
      </c>
      <c r="AR313">
        <v>0</v>
      </c>
      <c r="AS313">
        <v>0.2971680155127166</v>
      </c>
      <c r="AT313">
        <v>0.5943360310254332</v>
      </c>
      <c r="AU313">
        <v>0.89150404653814985</v>
      </c>
      <c r="AV313">
        <v>0.2971680155127166</v>
      </c>
      <c r="AW313">
        <v>0.69339203619633882</v>
      </c>
      <c r="AX313">
        <v>0.5943360310254332</v>
      </c>
      <c r="AY313">
        <v>0.79244804136724434</v>
      </c>
    </row>
    <row r="314" spans="1:51">
      <c r="A314" t="s">
        <v>412</v>
      </c>
      <c r="B314">
        <v>1550</v>
      </c>
      <c r="C314">
        <v>1545</v>
      </c>
      <c r="D314">
        <v>1.2</v>
      </c>
      <c r="E314">
        <v>46409</v>
      </c>
      <c r="F314">
        <v>11.5</v>
      </c>
      <c r="G314">
        <v>610</v>
      </c>
      <c r="H314">
        <v>185</v>
      </c>
      <c r="I314">
        <v>95</v>
      </c>
      <c r="J314">
        <v>84.4</v>
      </c>
      <c r="K314">
        <v>16.399999999999999</v>
      </c>
      <c r="L314">
        <v>67.099999999999994</v>
      </c>
      <c r="M314">
        <v>67.099999999999994</v>
      </c>
      <c r="N314">
        <v>1.2</v>
      </c>
      <c r="T314">
        <f t="shared" si="8"/>
        <v>0</v>
      </c>
      <c r="W314">
        <v>17319</v>
      </c>
      <c r="X314">
        <v>21271</v>
      </c>
      <c r="Y314">
        <v>12979</v>
      </c>
      <c r="Z314">
        <v>19300</v>
      </c>
      <c r="AA314">
        <v>13823</v>
      </c>
      <c r="AB314">
        <v>315</v>
      </c>
      <c r="AC314">
        <v>895</v>
      </c>
      <c r="AD314">
        <v>320</v>
      </c>
      <c r="AE314">
        <v>325</v>
      </c>
      <c r="AF314">
        <v>6.4500467851891461</v>
      </c>
      <c r="AG314">
        <v>0.18970725838791605</v>
      </c>
      <c r="AH314">
        <v>0.18970725838791605</v>
      </c>
      <c r="AI314">
        <v>0.3794145167758321</v>
      </c>
      <c r="AJ314">
        <v>0.7588290335516642</v>
      </c>
      <c r="AK314">
        <v>0.6639754043577063</v>
      </c>
      <c r="AL314">
        <v>0.94853629193958033</v>
      </c>
      <c r="AM314">
        <v>0.47426814596979017</v>
      </c>
      <c r="AN314">
        <v>0</v>
      </c>
      <c r="AO314">
        <v>0.47426814596979017</v>
      </c>
      <c r="AP314">
        <v>0</v>
      </c>
      <c r="AQ314">
        <v>0</v>
      </c>
      <c r="AR314">
        <v>0</v>
      </c>
      <c r="AS314">
        <v>0.94853629193958033</v>
      </c>
      <c r="AT314">
        <v>0.56912177516374818</v>
      </c>
      <c r="AU314">
        <v>1.0433899211335382</v>
      </c>
      <c r="AV314">
        <v>0</v>
      </c>
      <c r="AW314">
        <v>0.47426814596979017</v>
      </c>
      <c r="AX314">
        <v>1.3279508087154126</v>
      </c>
      <c r="AY314">
        <v>0.47426814596979017</v>
      </c>
    </row>
    <row r="315" spans="1:51">
      <c r="A315" t="s">
        <v>413</v>
      </c>
      <c r="B315">
        <v>725</v>
      </c>
      <c r="C315">
        <v>720</v>
      </c>
      <c r="D315">
        <v>1.8</v>
      </c>
      <c r="E315">
        <v>44146</v>
      </c>
      <c r="F315">
        <v>0</v>
      </c>
      <c r="G315">
        <v>220</v>
      </c>
      <c r="H315">
        <v>60</v>
      </c>
      <c r="I315">
        <v>35</v>
      </c>
      <c r="J315">
        <v>86.4</v>
      </c>
      <c r="K315">
        <v>13.6</v>
      </c>
      <c r="L315">
        <v>67.3</v>
      </c>
      <c r="M315">
        <v>60.2</v>
      </c>
      <c r="N315">
        <v>9.1</v>
      </c>
      <c r="T315">
        <f t="shared" si="8"/>
        <v>0</v>
      </c>
      <c r="W315">
        <v>17931</v>
      </c>
      <c r="X315">
        <v>21863</v>
      </c>
      <c r="Y315">
        <v>11396</v>
      </c>
      <c r="Z315">
        <v>26428</v>
      </c>
      <c r="AA315">
        <v>11840</v>
      </c>
      <c r="AB315">
        <v>235</v>
      </c>
      <c r="AC315">
        <v>415</v>
      </c>
      <c r="AD315">
        <v>75</v>
      </c>
      <c r="AE315">
        <v>65</v>
      </c>
      <c r="AF315">
        <v>1.8970725838791607</v>
      </c>
      <c r="AG315">
        <v>0</v>
      </c>
      <c r="AH315">
        <v>0</v>
      </c>
      <c r="AI315">
        <v>1.1856703649244755</v>
      </c>
      <c r="AJ315">
        <v>3.7941451677583213</v>
      </c>
      <c r="AK315">
        <v>0.47426814596979017</v>
      </c>
      <c r="AL315">
        <v>2.6084748028338458</v>
      </c>
      <c r="AM315">
        <v>0.94853629193958033</v>
      </c>
      <c r="AN315">
        <v>0</v>
      </c>
      <c r="AO315">
        <v>0.47426814596979017</v>
      </c>
      <c r="AP315">
        <v>0</v>
      </c>
      <c r="AQ315">
        <v>0</v>
      </c>
      <c r="AR315">
        <v>0</v>
      </c>
      <c r="AS315">
        <v>0.94853629193958033</v>
      </c>
      <c r="AT315">
        <v>1.1856703649244755</v>
      </c>
      <c r="AU315">
        <v>0.47426814596979017</v>
      </c>
      <c r="AV315">
        <v>0</v>
      </c>
      <c r="AW315">
        <v>0.71140221895468525</v>
      </c>
      <c r="AX315">
        <v>0.47426814596979017</v>
      </c>
      <c r="AY315">
        <v>0</v>
      </c>
    </row>
    <row r="316" spans="1:51">
      <c r="A316" t="s">
        <v>252</v>
      </c>
      <c r="B316">
        <v>645</v>
      </c>
      <c r="C316">
        <v>635</v>
      </c>
      <c r="D316">
        <v>2</v>
      </c>
      <c r="E316">
        <v>26726</v>
      </c>
      <c r="F316">
        <v>0</v>
      </c>
      <c r="G316">
        <v>160</v>
      </c>
      <c r="H316">
        <v>35</v>
      </c>
      <c r="I316">
        <v>55</v>
      </c>
      <c r="J316">
        <v>0</v>
      </c>
      <c r="K316">
        <v>6.3</v>
      </c>
      <c r="L316">
        <v>45.5</v>
      </c>
      <c r="M316">
        <v>36.4</v>
      </c>
      <c r="N316">
        <v>17.100000000000001</v>
      </c>
      <c r="T316" t="str">
        <f t="shared" si="8"/>
        <v>Poplar River First Nation</v>
      </c>
      <c r="W316">
        <v>15670</v>
      </c>
      <c r="X316">
        <v>16029</v>
      </c>
      <c r="Y316">
        <v>15115</v>
      </c>
      <c r="Z316">
        <v>11616</v>
      </c>
      <c r="AA316">
        <v>10160</v>
      </c>
      <c r="AB316">
        <v>255</v>
      </c>
      <c r="AC316">
        <v>370</v>
      </c>
      <c r="AD316">
        <v>70</v>
      </c>
      <c r="AE316">
        <v>30</v>
      </c>
      <c r="AF316">
        <v>0</v>
      </c>
      <c r="AG316">
        <v>0</v>
      </c>
      <c r="AH316">
        <v>0</v>
      </c>
      <c r="AI316">
        <v>1.3415013271716922</v>
      </c>
      <c r="AJ316">
        <v>0</v>
      </c>
      <c r="AK316">
        <v>0</v>
      </c>
      <c r="AL316">
        <v>0.89433421811446145</v>
      </c>
      <c r="AM316">
        <v>0.89433421811446145</v>
      </c>
      <c r="AN316">
        <v>0</v>
      </c>
      <c r="AO316">
        <v>0</v>
      </c>
      <c r="AP316">
        <v>0</v>
      </c>
      <c r="AQ316">
        <v>0</v>
      </c>
      <c r="AR316">
        <v>0</v>
      </c>
      <c r="AS316">
        <v>0.89433421811446145</v>
      </c>
      <c r="AT316">
        <v>2.6830026543433845</v>
      </c>
      <c r="AU316">
        <v>3.5773368724578458</v>
      </c>
      <c r="AV316">
        <v>0</v>
      </c>
      <c r="AW316">
        <v>0</v>
      </c>
      <c r="AX316">
        <v>0</v>
      </c>
      <c r="AY316">
        <v>3.1301697634006151</v>
      </c>
    </row>
    <row r="317" spans="1:51">
      <c r="A317" t="s">
        <v>803</v>
      </c>
      <c r="B317">
        <v>6790</v>
      </c>
      <c r="C317">
        <v>5780</v>
      </c>
      <c r="D317">
        <v>1.2</v>
      </c>
      <c r="E317">
        <v>55325</v>
      </c>
      <c r="F317">
        <v>8.3000000000000007</v>
      </c>
      <c r="G317">
        <v>2100</v>
      </c>
      <c r="H317">
        <v>785</v>
      </c>
      <c r="I317">
        <v>305</v>
      </c>
      <c r="J317">
        <v>81.400000000000006</v>
      </c>
      <c r="K317">
        <v>18.600000000000001</v>
      </c>
      <c r="L317">
        <v>71.5</v>
      </c>
      <c r="M317">
        <v>68.900000000000006</v>
      </c>
      <c r="N317">
        <v>3.6</v>
      </c>
      <c r="T317">
        <f t="shared" si="8"/>
        <v>0</v>
      </c>
      <c r="W317">
        <v>24161</v>
      </c>
      <c r="X317">
        <v>27847</v>
      </c>
      <c r="Y317">
        <v>19601</v>
      </c>
      <c r="Z317">
        <v>25240</v>
      </c>
      <c r="AA317">
        <v>14758</v>
      </c>
      <c r="AB317">
        <v>1575</v>
      </c>
      <c r="AC317">
        <v>4510</v>
      </c>
      <c r="AD317">
        <v>1675</v>
      </c>
      <c r="AE317">
        <v>705</v>
      </c>
      <c r="AF317">
        <v>4.3486251075431364</v>
      </c>
      <c r="AG317">
        <v>0</v>
      </c>
      <c r="AH317">
        <v>4.2015701522155904E-2</v>
      </c>
      <c r="AI317">
        <v>0.86132188120419617</v>
      </c>
      <c r="AJ317">
        <v>1.3234945979479111</v>
      </c>
      <c r="AK317">
        <v>0.48318056750479293</v>
      </c>
      <c r="AL317">
        <v>1.1134160903371315</v>
      </c>
      <c r="AM317">
        <v>0.84031403044311814</v>
      </c>
      <c r="AN317">
        <v>0.12604710456646773</v>
      </c>
      <c r="AO317">
        <v>0.25209420913293545</v>
      </c>
      <c r="AP317">
        <v>0.10503925380538977</v>
      </c>
      <c r="AQ317">
        <v>0.37814131369940313</v>
      </c>
      <c r="AR317">
        <v>0</v>
      </c>
      <c r="AS317">
        <v>0.31511776141616926</v>
      </c>
      <c r="AT317">
        <v>1.0293846872928196</v>
      </c>
      <c r="AU317">
        <v>2.1638086283910294</v>
      </c>
      <c r="AV317">
        <v>0.18907065684970156</v>
      </c>
      <c r="AW317">
        <v>0.71426692587665042</v>
      </c>
      <c r="AX317">
        <v>0.60922767207126061</v>
      </c>
      <c r="AY317">
        <v>0.60922767207126061</v>
      </c>
    </row>
    <row r="318" spans="1:51">
      <c r="A318" t="s">
        <v>414</v>
      </c>
      <c r="B318">
        <v>12190</v>
      </c>
      <c r="C318">
        <v>12185</v>
      </c>
      <c r="D318">
        <v>1.2</v>
      </c>
      <c r="E318">
        <v>51597</v>
      </c>
      <c r="F318">
        <v>16.600000000000001</v>
      </c>
      <c r="G318">
        <v>5150</v>
      </c>
      <c r="H318">
        <v>1490</v>
      </c>
      <c r="I318">
        <v>625</v>
      </c>
      <c r="J318">
        <v>68.099999999999994</v>
      </c>
      <c r="K318">
        <v>31.9</v>
      </c>
      <c r="L318">
        <v>63.6</v>
      </c>
      <c r="M318">
        <v>59.9</v>
      </c>
      <c r="N318">
        <v>5.8</v>
      </c>
      <c r="T318">
        <f t="shared" si="8"/>
        <v>0</v>
      </c>
      <c r="W318">
        <v>24750</v>
      </c>
      <c r="X318">
        <v>28821</v>
      </c>
      <c r="Y318">
        <v>20734</v>
      </c>
      <c r="Z318">
        <v>26101</v>
      </c>
      <c r="AA318">
        <v>17449</v>
      </c>
      <c r="AB318">
        <v>2660</v>
      </c>
      <c r="AC318">
        <v>7545</v>
      </c>
      <c r="AD318">
        <v>2645</v>
      </c>
      <c r="AE318">
        <v>1980</v>
      </c>
      <c r="AF318">
        <v>0.86518718707855291</v>
      </c>
      <c r="AG318">
        <v>9.0392691187311483E-2</v>
      </c>
      <c r="AH318">
        <v>0.18078538237462297</v>
      </c>
      <c r="AI318">
        <v>0.73605477109667927</v>
      </c>
      <c r="AJ318">
        <v>1.4462830589969837</v>
      </c>
      <c r="AK318">
        <v>0.45196345593655746</v>
      </c>
      <c r="AL318">
        <v>1.9757259645226655</v>
      </c>
      <c r="AM318">
        <v>0.51652966392749422</v>
      </c>
      <c r="AN318">
        <v>0.29700455675830917</v>
      </c>
      <c r="AO318">
        <v>0.56818263032024363</v>
      </c>
      <c r="AP318">
        <v>0.14204565758006091</v>
      </c>
      <c r="AQ318">
        <v>0.18078538237462297</v>
      </c>
      <c r="AR318">
        <v>0</v>
      </c>
      <c r="AS318">
        <v>0.52944290552568163</v>
      </c>
      <c r="AT318">
        <v>1.2138447102296113</v>
      </c>
      <c r="AU318">
        <v>3.0733515003685903</v>
      </c>
      <c r="AV318">
        <v>0.10330593278549885</v>
      </c>
      <c r="AW318">
        <v>1.2784109182205483</v>
      </c>
      <c r="AX318">
        <v>0.72314152949849186</v>
      </c>
      <c r="AY318">
        <v>1.1234520190422999</v>
      </c>
    </row>
    <row r="319" spans="1:51">
      <c r="A319" t="s">
        <v>253</v>
      </c>
      <c r="B319">
        <v>15</v>
      </c>
      <c r="C319" s="102"/>
      <c r="D319" s="102"/>
      <c r="E319" s="102"/>
      <c r="F319" s="102"/>
      <c r="G319" s="102"/>
      <c r="H319" s="102"/>
      <c r="I319" s="102"/>
      <c r="J319" s="102"/>
      <c r="K319" s="102"/>
      <c r="L319" s="102"/>
      <c r="M319" s="102"/>
      <c r="N319" s="102"/>
      <c r="T319">
        <f t="shared" si="8"/>
        <v>0</v>
      </c>
      <c r="AB319">
        <v>0</v>
      </c>
      <c r="AC319">
        <v>0</v>
      </c>
      <c r="AD319">
        <v>0</v>
      </c>
      <c r="AE319">
        <v>0</v>
      </c>
      <c r="AF319" t="e">
        <v>#N/A</v>
      </c>
      <c r="AG319" t="e">
        <v>#N/A</v>
      </c>
      <c r="AH319" t="e">
        <v>#N/A</v>
      </c>
      <c r="AI319" t="e">
        <v>#N/A</v>
      </c>
      <c r="AJ319" t="e">
        <v>#N/A</v>
      </c>
      <c r="AK319" t="e">
        <v>#N/A</v>
      </c>
      <c r="AL319" t="e">
        <v>#N/A</v>
      </c>
      <c r="AM319" t="e">
        <v>#N/A</v>
      </c>
      <c r="AN319" t="e">
        <v>#N/A</v>
      </c>
      <c r="AO319" t="e">
        <v>#N/A</v>
      </c>
      <c r="AP319" t="e">
        <v>#N/A</v>
      </c>
      <c r="AQ319" t="e">
        <v>#N/A</v>
      </c>
      <c r="AR319" t="e">
        <v>#N/A</v>
      </c>
      <c r="AS319" t="e">
        <v>#N/A</v>
      </c>
      <c r="AT319" t="e">
        <v>#N/A</v>
      </c>
      <c r="AU319" t="e">
        <v>#N/A</v>
      </c>
      <c r="AV319" t="e">
        <v>#N/A</v>
      </c>
      <c r="AW319" t="e">
        <v>#N/A</v>
      </c>
      <c r="AX319" t="e">
        <v>#N/A</v>
      </c>
      <c r="AY319" t="e">
        <v>#N/A</v>
      </c>
    </row>
    <row r="320" spans="1:51">
      <c r="A320" t="s">
        <v>415</v>
      </c>
      <c r="B320">
        <v>1400</v>
      </c>
      <c r="C320">
        <v>1385</v>
      </c>
      <c r="D320">
        <v>1.2</v>
      </c>
      <c r="E320">
        <v>58873</v>
      </c>
      <c r="F320">
        <v>8.9</v>
      </c>
      <c r="G320">
        <v>560</v>
      </c>
      <c r="H320">
        <v>205</v>
      </c>
      <c r="I320">
        <v>35</v>
      </c>
      <c r="J320">
        <v>72.3</v>
      </c>
      <c r="K320">
        <v>28.6</v>
      </c>
      <c r="L320">
        <v>64.7</v>
      </c>
      <c r="M320">
        <v>57.3</v>
      </c>
      <c r="N320">
        <v>11.3</v>
      </c>
      <c r="T320">
        <f t="shared" si="8"/>
        <v>0</v>
      </c>
      <c r="W320">
        <v>31908</v>
      </c>
      <c r="X320">
        <v>39173</v>
      </c>
      <c r="Y320">
        <v>22475</v>
      </c>
      <c r="Z320">
        <v>36377</v>
      </c>
      <c r="AA320">
        <v>15053</v>
      </c>
      <c r="AB320">
        <v>305</v>
      </c>
      <c r="AC320">
        <v>875</v>
      </c>
      <c r="AD320">
        <v>330</v>
      </c>
      <c r="AE320">
        <v>200</v>
      </c>
      <c r="AF320" t="e">
        <v>#N/A</v>
      </c>
      <c r="AG320" t="e">
        <v>#N/A</v>
      </c>
      <c r="AH320" t="e">
        <v>#N/A</v>
      </c>
      <c r="AI320" t="e">
        <v>#N/A</v>
      </c>
      <c r="AJ320" t="e">
        <v>#N/A</v>
      </c>
      <c r="AK320" t="e">
        <v>#N/A</v>
      </c>
      <c r="AL320" t="e">
        <v>#N/A</v>
      </c>
      <c r="AM320" t="e">
        <v>#N/A</v>
      </c>
      <c r="AN320" t="e">
        <v>#N/A</v>
      </c>
      <c r="AO320" t="e">
        <v>#N/A</v>
      </c>
      <c r="AP320" t="e">
        <v>#N/A</v>
      </c>
      <c r="AQ320" t="e">
        <v>#N/A</v>
      </c>
      <c r="AR320" t="e">
        <v>#N/A</v>
      </c>
      <c r="AS320" t="e">
        <v>#N/A</v>
      </c>
      <c r="AT320" t="e">
        <v>#N/A</v>
      </c>
      <c r="AU320" t="e">
        <v>#N/A</v>
      </c>
      <c r="AV320" t="e">
        <v>#N/A</v>
      </c>
      <c r="AW320" t="e">
        <v>#N/A</v>
      </c>
      <c r="AX320" t="e">
        <v>#N/A</v>
      </c>
      <c r="AY320" t="e">
        <v>#N/A</v>
      </c>
    </row>
    <row r="321" spans="1:51">
      <c r="A321" t="s">
        <v>254</v>
      </c>
      <c r="B321">
        <v>10</v>
      </c>
      <c r="C321" s="102"/>
      <c r="D321" s="102"/>
      <c r="E321" s="102"/>
      <c r="F321" s="102"/>
      <c r="G321" s="102"/>
      <c r="H321" s="102"/>
      <c r="I321" s="102"/>
      <c r="J321" s="102"/>
      <c r="K321" s="102"/>
      <c r="L321" s="102"/>
      <c r="M321" s="102"/>
      <c r="N321" s="102"/>
      <c r="T321">
        <f t="shared" si="8"/>
        <v>0</v>
      </c>
      <c r="AB321">
        <v>0</v>
      </c>
      <c r="AC321">
        <v>0</v>
      </c>
      <c r="AD321">
        <v>0</v>
      </c>
      <c r="AE321">
        <v>0</v>
      </c>
      <c r="AF321" t="e">
        <v>#N/A</v>
      </c>
      <c r="AG321" t="e">
        <v>#N/A</v>
      </c>
      <c r="AH321" t="e">
        <v>#N/A</v>
      </c>
      <c r="AI321" t="e">
        <v>#N/A</v>
      </c>
      <c r="AJ321" t="e">
        <v>#N/A</v>
      </c>
      <c r="AK321" t="e">
        <v>#N/A</v>
      </c>
      <c r="AL321" t="e">
        <v>#N/A</v>
      </c>
      <c r="AM321" t="e">
        <v>#N/A</v>
      </c>
      <c r="AN321" t="e">
        <v>#N/A</v>
      </c>
      <c r="AO321" t="e">
        <v>#N/A</v>
      </c>
      <c r="AP321" t="e">
        <v>#N/A</v>
      </c>
      <c r="AQ321" t="e">
        <v>#N/A</v>
      </c>
      <c r="AR321" t="e">
        <v>#N/A</v>
      </c>
      <c r="AS321" t="e">
        <v>#N/A</v>
      </c>
      <c r="AT321" t="e">
        <v>#N/A</v>
      </c>
      <c r="AU321" t="e">
        <v>#N/A</v>
      </c>
      <c r="AV321" t="e">
        <v>#N/A</v>
      </c>
      <c r="AW321" t="e">
        <v>#N/A</v>
      </c>
      <c r="AX321" t="e">
        <v>#N/A</v>
      </c>
      <c r="AY321" t="e">
        <v>#N/A</v>
      </c>
    </row>
    <row r="322" spans="1:51">
      <c r="A322" t="s">
        <v>417</v>
      </c>
      <c r="B322">
        <v>425</v>
      </c>
      <c r="C322">
        <v>420</v>
      </c>
      <c r="D322">
        <v>1.2</v>
      </c>
      <c r="E322">
        <v>44381</v>
      </c>
      <c r="F322">
        <v>13</v>
      </c>
      <c r="G322">
        <v>175</v>
      </c>
      <c r="H322">
        <v>50</v>
      </c>
      <c r="I322">
        <v>40</v>
      </c>
      <c r="J322">
        <v>91.4</v>
      </c>
      <c r="K322">
        <v>8.6</v>
      </c>
      <c r="L322">
        <v>61.4</v>
      </c>
      <c r="M322">
        <v>60</v>
      </c>
      <c r="N322">
        <v>0</v>
      </c>
      <c r="T322">
        <f t="shared" si="8"/>
        <v>0</v>
      </c>
      <c r="W322">
        <v>21444</v>
      </c>
      <c r="X322">
        <v>24760</v>
      </c>
      <c r="Y322">
        <v>16859</v>
      </c>
      <c r="Z322">
        <v>19901</v>
      </c>
      <c r="AA322">
        <v>11773</v>
      </c>
      <c r="AB322">
        <v>85</v>
      </c>
      <c r="AC322">
        <v>295</v>
      </c>
      <c r="AD322">
        <v>110</v>
      </c>
      <c r="AE322">
        <v>50</v>
      </c>
      <c r="AF322">
        <v>2.9811140603815378</v>
      </c>
      <c r="AG322">
        <v>0</v>
      </c>
      <c r="AH322">
        <v>0</v>
      </c>
      <c r="AI322">
        <v>1.1179177726430767</v>
      </c>
      <c r="AJ322">
        <v>0</v>
      </c>
      <c r="AK322">
        <v>0</v>
      </c>
      <c r="AL322">
        <v>0.74527851509538445</v>
      </c>
      <c r="AM322">
        <v>2.9811140603815378</v>
      </c>
      <c r="AN322">
        <v>0.74527851509538445</v>
      </c>
      <c r="AO322">
        <v>1.8631962877384611</v>
      </c>
      <c r="AP322">
        <v>0</v>
      </c>
      <c r="AQ322">
        <v>0</v>
      </c>
      <c r="AR322">
        <v>0</v>
      </c>
      <c r="AS322">
        <v>0</v>
      </c>
      <c r="AT322">
        <v>0</v>
      </c>
      <c r="AU322">
        <v>0.74527851509538445</v>
      </c>
      <c r="AV322">
        <v>0</v>
      </c>
      <c r="AW322">
        <v>1.1179177726430767</v>
      </c>
      <c r="AX322">
        <v>0</v>
      </c>
      <c r="AY322">
        <v>1.1179177726430767</v>
      </c>
    </row>
    <row r="323" spans="1:51">
      <c r="A323" t="s">
        <v>255</v>
      </c>
      <c r="B323">
        <v>40</v>
      </c>
      <c r="C323" s="102"/>
      <c r="D323" s="102"/>
      <c r="E323" s="102"/>
      <c r="F323" s="102"/>
      <c r="G323" s="102"/>
      <c r="H323" s="102"/>
      <c r="I323" s="102"/>
      <c r="J323" s="102"/>
      <c r="K323" s="102"/>
      <c r="L323" s="102"/>
      <c r="M323" s="102"/>
      <c r="N323" s="102"/>
      <c r="T323">
        <f t="shared" si="8"/>
        <v>0</v>
      </c>
      <c r="AB323">
        <v>0</v>
      </c>
      <c r="AC323">
        <v>0</v>
      </c>
      <c r="AD323">
        <v>0</v>
      </c>
      <c r="AE323">
        <v>0</v>
      </c>
      <c r="AF323" t="e">
        <v>#N/A</v>
      </c>
      <c r="AG323" t="e">
        <v>#N/A</v>
      </c>
      <c r="AH323" t="e">
        <v>#N/A</v>
      </c>
      <c r="AI323" t="e">
        <v>#N/A</v>
      </c>
      <c r="AJ323" t="e">
        <v>#N/A</v>
      </c>
      <c r="AK323" t="e">
        <v>#N/A</v>
      </c>
      <c r="AL323" t="e">
        <v>#N/A</v>
      </c>
      <c r="AM323" t="e">
        <v>#N/A</v>
      </c>
      <c r="AN323" t="e">
        <v>#N/A</v>
      </c>
      <c r="AO323" t="e">
        <v>#N/A</v>
      </c>
      <c r="AP323" t="e">
        <v>#N/A</v>
      </c>
      <c r="AQ323" t="e">
        <v>#N/A</v>
      </c>
      <c r="AR323" t="e">
        <v>#N/A</v>
      </c>
      <c r="AS323" t="e">
        <v>#N/A</v>
      </c>
      <c r="AT323" t="e">
        <v>#N/A</v>
      </c>
      <c r="AU323" t="e">
        <v>#N/A</v>
      </c>
      <c r="AV323" t="e">
        <v>#N/A</v>
      </c>
      <c r="AW323" t="e">
        <v>#N/A</v>
      </c>
      <c r="AX323" t="e">
        <v>#N/A</v>
      </c>
      <c r="AY323" t="e">
        <v>#N/A</v>
      </c>
    </row>
    <row r="324" spans="1:51">
      <c r="A324" t="s">
        <v>256</v>
      </c>
      <c r="B324">
        <v>65</v>
      </c>
      <c r="C324" s="102"/>
      <c r="D324" s="102"/>
      <c r="E324" s="102"/>
      <c r="F324" s="102"/>
      <c r="G324" s="102"/>
      <c r="H324" s="102"/>
      <c r="I324" s="102"/>
      <c r="J324" s="102"/>
      <c r="K324" s="102"/>
      <c r="L324" s="102"/>
      <c r="M324" s="102"/>
      <c r="N324" s="102"/>
      <c r="T324">
        <f t="shared" si="8"/>
        <v>0</v>
      </c>
      <c r="AB324">
        <v>0</v>
      </c>
      <c r="AC324">
        <v>0</v>
      </c>
      <c r="AD324">
        <v>0</v>
      </c>
      <c r="AE324">
        <v>0</v>
      </c>
      <c r="AF324" t="e">
        <v>#N/A</v>
      </c>
      <c r="AG324" t="e">
        <v>#N/A</v>
      </c>
      <c r="AH324" t="e">
        <v>#N/A</v>
      </c>
      <c r="AI324" t="e">
        <v>#N/A</v>
      </c>
      <c r="AJ324" t="e">
        <v>#N/A</v>
      </c>
      <c r="AK324" t="e">
        <v>#N/A</v>
      </c>
      <c r="AL324" t="e">
        <v>#N/A</v>
      </c>
      <c r="AM324" t="e">
        <v>#N/A</v>
      </c>
      <c r="AN324" t="e">
        <v>#N/A</v>
      </c>
      <c r="AO324" t="e">
        <v>#N/A</v>
      </c>
      <c r="AP324" t="e">
        <v>#N/A</v>
      </c>
      <c r="AQ324" t="e">
        <v>#N/A</v>
      </c>
      <c r="AR324" t="e">
        <v>#N/A</v>
      </c>
      <c r="AS324" t="e">
        <v>#N/A</v>
      </c>
      <c r="AT324" t="e">
        <v>#N/A</v>
      </c>
      <c r="AU324" t="e">
        <v>#N/A</v>
      </c>
      <c r="AV324" t="e">
        <v>#N/A</v>
      </c>
      <c r="AW324" t="e">
        <v>#N/A</v>
      </c>
      <c r="AX324" t="e">
        <v>#N/A</v>
      </c>
      <c r="AY324" t="e">
        <v>#N/A</v>
      </c>
    </row>
    <row r="325" spans="1:51">
      <c r="A325" t="s">
        <v>418</v>
      </c>
      <c r="B325">
        <v>33</v>
      </c>
      <c r="C325" s="102"/>
      <c r="D325" s="102"/>
      <c r="E325" s="102"/>
      <c r="F325" s="102"/>
      <c r="G325" s="102"/>
      <c r="H325" s="102"/>
      <c r="I325" s="102"/>
      <c r="J325" s="102"/>
      <c r="K325" s="102"/>
      <c r="L325" s="102"/>
      <c r="M325" s="102"/>
      <c r="N325" s="102"/>
      <c r="T325">
        <f t="shared" si="8"/>
        <v>0</v>
      </c>
      <c r="W325">
        <v>13894</v>
      </c>
      <c r="X325">
        <v>14716</v>
      </c>
      <c r="Y325">
        <v>12645</v>
      </c>
      <c r="Z325">
        <v>11120</v>
      </c>
      <c r="AA325">
        <v>6912</v>
      </c>
      <c r="AB325">
        <v>230</v>
      </c>
      <c r="AC325">
        <v>370</v>
      </c>
      <c r="AD325">
        <v>65</v>
      </c>
      <c r="AE325">
        <v>10</v>
      </c>
      <c r="AF325" t="e">
        <v>#N/A</v>
      </c>
      <c r="AG325" t="e">
        <v>#N/A</v>
      </c>
      <c r="AH325" t="e">
        <v>#N/A</v>
      </c>
      <c r="AI325" t="e">
        <v>#N/A</v>
      </c>
      <c r="AJ325" t="e">
        <v>#N/A</v>
      </c>
      <c r="AK325" t="e">
        <v>#N/A</v>
      </c>
      <c r="AL325" t="e">
        <v>#N/A</v>
      </c>
      <c r="AM325" t="e">
        <v>#N/A</v>
      </c>
      <c r="AN325" t="e">
        <v>#N/A</v>
      </c>
      <c r="AO325" t="e">
        <v>#N/A</v>
      </c>
      <c r="AP325" t="e">
        <v>#N/A</v>
      </c>
      <c r="AQ325" t="e">
        <v>#N/A</v>
      </c>
      <c r="AR325" t="e">
        <v>#N/A</v>
      </c>
      <c r="AS325" t="e">
        <v>#N/A</v>
      </c>
      <c r="AT325" t="e">
        <v>#N/A</v>
      </c>
      <c r="AU325" t="e">
        <v>#N/A</v>
      </c>
      <c r="AV325" t="e">
        <v>#N/A</v>
      </c>
      <c r="AW325" t="e">
        <v>#N/A</v>
      </c>
      <c r="AX325" t="e">
        <v>#N/A</v>
      </c>
      <c r="AY325" t="e">
        <v>#N/A</v>
      </c>
    </row>
    <row r="326" spans="1:51">
      <c r="A326" t="s">
        <v>257</v>
      </c>
      <c r="B326">
        <v>630</v>
      </c>
      <c r="C326">
        <v>630</v>
      </c>
      <c r="D326">
        <v>2</v>
      </c>
      <c r="E326">
        <v>26256</v>
      </c>
      <c r="F326">
        <v>0</v>
      </c>
      <c r="G326">
        <v>160</v>
      </c>
      <c r="H326">
        <v>35</v>
      </c>
      <c r="I326">
        <v>60</v>
      </c>
      <c r="J326">
        <v>9.4</v>
      </c>
      <c r="K326">
        <v>9.4</v>
      </c>
      <c r="L326">
        <v>45</v>
      </c>
      <c r="M326">
        <v>36.200000000000003</v>
      </c>
      <c r="N326">
        <v>16.7</v>
      </c>
      <c r="T326" t="str">
        <f t="shared" si="8"/>
        <v>Red Sucker Lake First Nation</v>
      </c>
      <c r="W326">
        <v>13894</v>
      </c>
      <c r="X326">
        <v>14716</v>
      </c>
      <c r="Y326">
        <v>12645</v>
      </c>
      <c r="Z326">
        <v>11120</v>
      </c>
      <c r="AA326">
        <v>6912</v>
      </c>
      <c r="AB326">
        <v>230</v>
      </c>
      <c r="AC326">
        <v>370</v>
      </c>
      <c r="AD326">
        <v>65</v>
      </c>
      <c r="AE326">
        <v>10</v>
      </c>
      <c r="AF326">
        <v>0</v>
      </c>
      <c r="AG326">
        <v>0</v>
      </c>
      <c r="AH326">
        <v>0</v>
      </c>
      <c r="AI326">
        <v>1.3415013271716922</v>
      </c>
      <c r="AJ326">
        <v>0</v>
      </c>
      <c r="AK326">
        <v>0</v>
      </c>
      <c r="AL326">
        <v>1.7886684362289229</v>
      </c>
      <c r="AM326">
        <v>0.89433421811446145</v>
      </c>
      <c r="AN326">
        <v>0</v>
      </c>
      <c r="AO326">
        <v>0</v>
      </c>
      <c r="AP326">
        <v>0</v>
      </c>
      <c r="AQ326">
        <v>0</v>
      </c>
      <c r="AR326">
        <v>0</v>
      </c>
      <c r="AS326">
        <v>0</v>
      </c>
      <c r="AT326">
        <v>3.5773368724578458</v>
      </c>
      <c r="AU326">
        <v>3.1301697634006151</v>
      </c>
      <c r="AV326">
        <v>0.89433421811446145</v>
      </c>
      <c r="AW326">
        <v>0</v>
      </c>
      <c r="AX326">
        <v>0</v>
      </c>
      <c r="AY326">
        <v>3.5773368724578458</v>
      </c>
    </row>
    <row r="327" spans="1:51">
      <c r="A327" t="s">
        <v>603</v>
      </c>
      <c r="B327">
        <v>1300</v>
      </c>
      <c r="C327">
        <v>1290</v>
      </c>
      <c r="D327">
        <v>0.9</v>
      </c>
      <c r="E327">
        <v>44352</v>
      </c>
      <c r="F327">
        <v>11.5</v>
      </c>
      <c r="G327">
        <v>520</v>
      </c>
      <c r="H327">
        <v>160</v>
      </c>
      <c r="I327">
        <v>90</v>
      </c>
      <c r="J327">
        <v>88.5</v>
      </c>
      <c r="K327">
        <v>11.5</v>
      </c>
      <c r="L327">
        <v>62.9</v>
      </c>
      <c r="M327">
        <v>59</v>
      </c>
      <c r="N327">
        <v>6.2</v>
      </c>
      <c r="T327">
        <f t="shared" ref="T327:T356" si="10">IFERROR(VLOOKUP(A327,$U$12:$U$74,1,0),0)</f>
        <v>0</v>
      </c>
      <c r="W327">
        <v>23152</v>
      </c>
      <c r="X327">
        <v>27655</v>
      </c>
      <c r="Y327">
        <v>15389</v>
      </c>
      <c r="Z327">
        <v>23724</v>
      </c>
      <c r="AA327">
        <v>12812</v>
      </c>
      <c r="AB327">
        <v>275</v>
      </c>
      <c r="AC327">
        <v>835</v>
      </c>
      <c r="AD327">
        <v>405</v>
      </c>
      <c r="AE327">
        <v>190</v>
      </c>
      <c r="AF327">
        <v>2.1838393698143825</v>
      </c>
      <c r="AG327">
        <v>0.24264881886826473</v>
      </c>
      <c r="AH327">
        <v>0.48529763773652945</v>
      </c>
      <c r="AI327">
        <v>2.1838393698143825</v>
      </c>
      <c r="AJ327">
        <v>1.0919196849071913</v>
      </c>
      <c r="AK327">
        <v>0</v>
      </c>
      <c r="AL327">
        <v>1.8198661415119854</v>
      </c>
      <c r="AM327">
        <v>1.9411905509461178</v>
      </c>
      <c r="AN327">
        <v>0.24264881886826473</v>
      </c>
      <c r="AO327">
        <v>0.24264881886826473</v>
      </c>
      <c r="AP327">
        <v>0</v>
      </c>
      <c r="AQ327">
        <v>0</v>
      </c>
      <c r="AR327">
        <v>0</v>
      </c>
      <c r="AS327">
        <v>0</v>
      </c>
      <c r="AT327">
        <v>0.84927086603892654</v>
      </c>
      <c r="AU327">
        <v>0.24264881886826473</v>
      </c>
      <c r="AV327">
        <v>0</v>
      </c>
      <c r="AW327">
        <v>2.1838393698143825</v>
      </c>
      <c r="AX327">
        <v>0.60662204717066182</v>
      </c>
      <c r="AY327">
        <v>0.84927086603892654</v>
      </c>
    </row>
    <row r="328" spans="1:51">
      <c r="A328" t="s">
        <v>612</v>
      </c>
      <c r="B328">
        <v>4180</v>
      </c>
      <c r="C328">
        <v>4090</v>
      </c>
      <c r="D328">
        <v>2.1</v>
      </c>
      <c r="E328">
        <v>48306</v>
      </c>
      <c r="F328">
        <v>16.3</v>
      </c>
      <c r="G328">
        <v>1100</v>
      </c>
      <c r="H328">
        <v>445</v>
      </c>
      <c r="I328">
        <v>140</v>
      </c>
      <c r="J328">
        <v>91.8</v>
      </c>
      <c r="K328">
        <v>8.1999999999999993</v>
      </c>
      <c r="L328">
        <v>78.3</v>
      </c>
      <c r="M328">
        <v>75</v>
      </c>
      <c r="N328">
        <v>4.3</v>
      </c>
      <c r="T328">
        <f t="shared" si="10"/>
        <v>0</v>
      </c>
      <c r="W328">
        <v>19458</v>
      </c>
      <c r="X328">
        <v>23476</v>
      </c>
      <c r="Y328">
        <v>13847</v>
      </c>
      <c r="Z328">
        <v>25646</v>
      </c>
      <c r="AA328">
        <v>10972</v>
      </c>
      <c r="AB328">
        <v>1340</v>
      </c>
      <c r="AC328">
        <v>2615</v>
      </c>
      <c r="AD328">
        <v>720</v>
      </c>
      <c r="AE328">
        <v>195</v>
      </c>
      <c r="AF328">
        <v>4.7234543726991269</v>
      </c>
      <c r="AG328">
        <v>0</v>
      </c>
      <c r="AH328">
        <v>0</v>
      </c>
      <c r="AI328">
        <v>1.1632387634259043</v>
      </c>
      <c r="AJ328">
        <v>3.0667203763046564</v>
      </c>
      <c r="AK328">
        <v>0.9869904659371308</v>
      </c>
      <c r="AL328">
        <v>0.91649114694162148</v>
      </c>
      <c r="AM328">
        <v>1.0222401254348856</v>
      </c>
      <c r="AN328">
        <v>0.17624829748877335</v>
      </c>
      <c r="AO328">
        <v>0.42299591397305608</v>
      </c>
      <c r="AP328">
        <v>7.0499318995509347E-2</v>
      </c>
      <c r="AQ328">
        <v>0.17624829748877335</v>
      </c>
      <c r="AR328">
        <v>0</v>
      </c>
      <c r="AS328">
        <v>0.17624829748877335</v>
      </c>
      <c r="AT328">
        <v>0.21149795698652804</v>
      </c>
      <c r="AU328">
        <v>0.9869904659371308</v>
      </c>
      <c r="AV328">
        <v>7.0499318995509347E-2</v>
      </c>
      <c r="AW328">
        <v>0.4934952329685654</v>
      </c>
      <c r="AX328">
        <v>0.56399455196407478</v>
      </c>
      <c r="AY328">
        <v>0.17624829748877335</v>
      </c>
    </row>
    <row r="329" spans="1:51">
      <c r="A329" t="s">
        <v>610</v>
      </c>
      <c r="B329">
        <v>4930</v>
      </c>
      <c r="C329">
        <v>4920</v>
      </c>
      <c r="D329">
        <v>1.3</v>
      </c>
      <c r="E329">
        <v>66066</v>
      </c>
      <c r="F329">
        <v>6</v>
      </c>
      <c r="G329">
        <v>1615</v>
      </c>
      <c r="H329">
        <v>425</v>
      </c>
      <c r="I329">
        <v>135</v>
      </c>
      <c r="J329">
        <v>87.9</v>
      </c>
      <c r="K329">
        <v>12.1</v>
      </c>
      <c r="L329">
        <v>82</v>
      </c>
      <c r="M329">
        <v>79.400000000000006</v>
      </c>
      <c r="N329">
        <v>3.1</v>
      </c>
      <c r="T329">
        <f t="shared" si="10"/>
        <v>0</v>
      </c>
      <c r="W329">
        <v>28056</v>
      </c>
      <c r="X329">
        <v>32150</v>
      </c>
      <c r="Y329">
        <v>23240</v>
      </c>
      <c r="Z329">
        <v>30290</v>
      </c>
      <c r="AA329">
        <v>18977</v>
      </c>
      <c r="AB329">
        <v>1235</v>
      </c>
      <c r="AC329">
        <v>3320</v>
      </c>
      <c r="AD329">
        <v>1155</v>
      </c>
      <c r="AE329">
        <v>355</v>
      </c>
      <c r="AF329">
        <v>0.8264474622839908</v>
      </c>
      <c r="AG329">
        <v>5.1652966392749425E-2</v>
      </c>
      <c r="AH329">
        <v>0.2324383487673724</v>
      </c>
      <c r="AI329">
        <v>1.8853332733353541</v>
      </c>
      <c r="AJ329">
        <v>1.4462830589969837</v>
      </c>
      <c r="AK329">
        <v>0.72314152949849186</v>
      </c>
      <c r="AL329">
        <v>1.3429771262114849</v>
      </c>
      <c r="AM329">
        <v>1.2654976766223607</v>
      </c>
      <c r="AN329">
        <v>0.2066118655709977</v>
      </c>
      <c r="AO329">
        <v>0.51652966392749422</v>
      </c>
      <c r="AP329">
        <v>0.33574428155287123</v>
      </c>
      <c r="AQ329">
        <v>0.33574428155287123</v>
      </c>
      <c r="AR329">
        <v>5.1652966392749425E-2</v>
      </c>
      <c r="AS329">
        <v>0.36157076474924593</v>
      </c>
      <c r="AT329">
        <v>1.704547890960731</v>
      </c>
      <c r="AU329">
        <v>1.4979360253897334</v>
      </c>
      <c r="AV329">
        <v>0.12913241598187356</v>
      </c>
      <c r="AW329">
        <v>0.92975339506948962</v>
      </c>
      <c r="AX329">
        <v>0.90392691187311491</v>
      </c>
      <c r="AY329">
        <v>0.8264474622839908</v>
      </c>
    </row>
    <row r="330" spans="1:51">
      <c r="A330" t="s">
        <v>423</v>
      </c>
      <c r="B330">
        <v>1080</v>
      </c>
      <c r="C330">
        <v>1080</v>
      </c>
      <c r="D330">
        <v>1</v>
      </c>
      <c r="E330">
        <v>40141</v>
      </c>
      <c r="F330">
        <v>18.8</v>
      </c>
      <c r="G330">
        <v>480</v>
      </c>
      <c r="H330">
        <v>145</v>
      </c>
      <c r="I330">
        <v>20</v>
      </c>
      <c r="J330">
        <v>75</v>
      </c>
      <c r="K330">
        <v>24</v>
      </c>
      <c r="L330">
        <v>52.4</v>
      </c>
      <c r="M330">
        <v>48.2</v>
      </c>
      <c r="N330">
        <v>7.9</v>
      </c>
      <c r="T330">
        <f t="shared" si="10"/>
        <v>0</v>
      </c>
      <c r="W330">
        <v>19360</v>
      </c>
      <c r="X330">
        <v>22702</v>
      </c>
      <c r="Y330">
        <v>15793</v>
      </c>
      <c r="Z330">
        <v>22423</v>
      </c>
      <c r="AA330">
        <v>14257</v>
      </c>
      <c r="AB330">
        <v>220</v>
      </c>
      <c r="AC330">
        <v>585</v>
      </c>
      <c r="AD330">
        <v>225</v>
      </c>
      <c r="AE330">
        <v>265</v>
      </c>
      <c r="AF330">
        <v>2.6377835084836643</v>
      </c>
      <c r="AG330">
        <v>0</v>
      </c>
      <c r="AH330">
        <v>0</v>
      </c>
      <c r="AI330">
        <v>0.70340893559564377</v>
      </c>
      <c r="AJ330">
        <v>1.2309656372923767</v>
      </c>
      <c r="AK330">
        <v>0.35170446779782188</v>
      </c>
      <c r="AL330">
        <v>1.5826701050901986</v>
      </c>
      <c r="AM330">
        <v>1.0551134033934657</v>
      </c>
      <c r="AN330">
        <v>0</v>
      </c>
      <c r="AO330">
        <v>0.52755670169673285</v>
      </c>
      <c r="AP330">
        <v>0.35170446779782188</v>
      </c>
      <c r="AQ330">
        <v>0.35170446779782188</v>
      </c>
      <c r="AR330">
        <v>0</v>
      </c>
      <c r="AS330">
        <v>0.70340893559564377</v>
      </c>
      <c r="AT330">
        <v>0</v>
      </c>
      <c r="AU330">
        <v>3.69289691187713</v>
      </c>
      <c r="AV330">
        <v>0</v>
      </c>
      <c r="AW330">
        <v>0.70340893559564377</v>
      </c>
      <c r="AX330">
        <v>0.70340893559564377</v>
      </c>
      <c r="AY330">
        <v>0.52755670169673285</v>
      </c>
    </row>
    <row r="331" spans="1:51">
      <c r="A331" t="s">
        <v>627</v>
      </c>
      <c r="B331">
        <v>845</v>
      </c>
      <c r="C331">
        <v>700</v>
      </c>
      <c r="D331">
        <v>1.1000000000000001</v>
      </c>
      <c r="E331">
        <v>44481</v>
      </c>
      <c r="F331">
        <v>12.5</v>
      </c>
      <c r="G331">
        <v>285</v>
      </c>
      <c r="H331">
        <v>110</v>
      </c>
      <c r="I331">
        <v>35</v>
      </c>
      <c r="J331">
        <v>80.7</v>
      </c>
      <c r="K331">
        <v>19.3</v>
      </c>
      <c r="L331">
        <v>65.900000000000006</v>
      </c>
      <c r="M331">
        <v>65.900000000000006</v>
      </c>
      <c r="N331">
        <v>0</v>
      </c>
      <c r="T331">
        <f t="shared" si="10"/>
        <v>0</v>
      </c>
      <c r="W331">
        <v>18718</v>
      </c>
      <c r="X331">
        <v>18819</v>
      </c>
      <c r="Y331">
        <v>18606</v>
      </c>
      <c r="Z331">
        <v>16309</v>
      </c>
      <c r="AA331">
        <v>20030</v>
      </c>
      <c r="AB331">
        <v>190</v>
      </c>
      <c r="AC331">
        <v>520</v>
      </c>
      <c r="AD331">
        <v>185</v>
      </c>
      <c r="AE331">
        <v>130</v>
      </c>
      <c r="AF331">
        <v>6.8127224262248678</v>
      </c>
      <c r="AG331">
        <v>0</v>
      </c>
      <c r="AH331">
        <v>0</v>
      </c>
      <c r="AI331">
        <v>0.73651053256485055</v>
      </c>
      <c r="AJ331">
        <v>0.36825526628242528</v>
      </c>
      <c r="AK331">
        <v>0</v>
      </c>
      <c r="AL331">
        <v>0.92063816570606327</v>
      </c>
      <c r="AM331">
        <v>0.36825526628242528</v>
      </c>
      <c r="AN331">
        <v>0</v>
      </c>
      <c r="AO331">
        <v>0.73651053256485055</v>
      </c>
      <c r="AP331">
        <v>0</v>
      </c>
      <c r="AQ331">
        <v>0.73651053256485055</v>
      </c>
      <c r="AR331">
        <v>0</v>
      </c>
      <c r="AS331">
        <v>0</v>
      </c>
      <c r="AT331">
        <v>0.73651053256485055</v>
      </c>
      <c r="AU331">
        <v>2.0254039645533393</v>
      </c>
      <c r="AV331">
        <v>0</v>
      </c>
      <c r="AW331">
        <v>0</v>
      </c>
      <c r="AX331">
        <v>0.73651053256485055</v>
      </c>
      <c r="AY331">
        <v>0.36825526628242528</v>
      </c>
    </row>
    <row r="332" spans="1:51">
      <c r="A332" t="s">
        <v>424</v>
      </c>
      <c r="B332">
        <v>585</v>
      </c>
      <c r="C332">
        <v>585</v>
      </c>
      <c r="D332">
        <v>1.5</v>
      </c>
      <c r="E332">
        <v>46148</v>
      </c>
      <c r="F332">
        <v>13.3</v>
      </c>
      <c r="G332">
        <v>235</v>
      </c>
      <c r="H332">
        <v>90</v>
      </c>
      <c r="I332">
        <v>35</v>
      </c>
      <c r="J332">
        <v>66</v>
      </c>
      <c r="K332">
        <v>36.200000000000003</v>
      </c>
      <c r="L332">
        <v>61.2</v>
      </c>
      <c r="M332">
        <v>52.9</v>
      </c>
      <c r="N332">
        <v>13.5</v>
      </c>
      <c r="T332">
        <f t="shared" si="10"/>
        <v>0</v>
      </c>
      <c r="W332">
        <v>22672</v>
      </c>
      <c r="X332">
        <v>27558</v>
      </c>
      <c r="Y332">
        <v>16216</v>
      </c>
      <c r="Z332">
        <v>24964</v>
      </c>
      <c r="AA332">
        <v>16584</v>
      </c>
      <c r="AB332">
        <v>160</v>
      </c>
      <c r="AC332">
        <v>330</v>
      </c>
      <c r="AD332">
        <v>105</v>
      </c>
      <c r="AE332">
        <v>95</v>
      </c>
      <c r="AF332">
        <v>1.227517554274751</v>
      </c>
      <c r="AG332">
        <v>0</v>
      </c>
      <c r="AH332">
        <v>0</v>
      </c>
      <c r="AI332">
        <v>1.5343969428434387</v>
      </c>
      <c r="AJ332">
        <v>0.92063816570606327</v>
      </c>
      <c r="AK332">
        <v>0.61375877713737548</v>
      </c>
      <c r="AL332">
        <v>1.227517554274751</v>
      </c>
      <c r="AM332">
        <v>0</v>
      </c>
      <c r="AN332">
        <v>0</v>
      </c>
      <c r="AO332">
        <v>0.92063816570606327</v>
      </c>
      <c r="AP332">
        <v>0</v>
      </c>
      <c r="AQ332">
        <v>0</v>
      </c>
      <c r="AR332">
        <v>0</v>
      </c>
      <c r="AS332">
        <v>0.61375877713737548</v>
      </c>
      <c r="AT332">
        <v>1.8412763314121265</v>
      </c>
      <c r="AU332">
        <v>1.227517554274751</v>
      </c>
      <c r="AV332">
        <v>1.227517554274751</v>
      </c>
      <c r="AW332">
        <v>1.8412763314121265</v>
      </c>
      <c r="AX332">
        <v>0.61375877713737548</v>
      </c>
      <c r="AY332">
        <v>0.92063816570606327</v>
      </c>
    </row>
    <row r="333" spans="1:51">
      <c r="A333" s="83" t="s">
        <v>425</v>
      </c>
      <c r="B333">
        <v>1750</v>
      </c>
      <c r="C333">
        <v>1750</v>
      </c>
      <c r="D333">
        <v>0.9</v>
      </c>
      <c r="E333">
        <v>46050</v>
      </c>
      <c r="F333">
        <v>14.4</v>
      </c>
      <c r="G333">
        <v>875</v>
      </c>
      <c r="H333">
        <v>265</v>
      </c>
      <c r="I333">
        <v>90</v>
      </c>
      <c r="J333">
        <v>74.900000000000006</v>
      </c>
      <c r="K333">
        <v>25.1</v>
      </c>
      <c r="L333">
        <v>41.6</v>
      </c>
      <c r="M333">
        <v>38.200000000000003</v>
      </c>
      <c r="N333">
        <v>8.1999999999999993</v>
      </c>
      <c r="T333">
        <f>IFERROR(VLOOKUP(A333,$U$12:$U$74,1,0),0)</f>
        <v>0</v>
      </c>
      <c r="W333">
        <v>21652</v>
      </c>
      <c r="X333">
        <v>29856</v>
      </c>
      <c r="Y333">
        <v>14007</v>
      </c>
      <c r="Z333">
        <v>21610</v>
      </c>
      <c r="AA333">
        <v>13574</v>
      </c>
      <c r="AB333">
        <v>285</v>
      </c>
      <c r="AC333">
        <v>845</v>
      </c>
      <c r="AD333">
        <v>320</v>
      </c>
      <c r="AE333">
        <v>605</v>
      </c>
      <c r="AF333">
        <v>0.51314258416403524</v>
      </c>
      <c r="AG333">
        <v>0.3848569381230264</v>
      </c>
      <c r="AH333">
        <v>0.25657129208201762</v>
      </c>
      <c r="AI333">
        <v>0.25657129208201762</v>
      </c>
      <c r="AJ333">
        <v>1.4111421064510969</v>
      </c>
      <c r="AK333">
        <v>0.64142823020504403</v>
      </c>
      <c r="AL333">
        <v>2.9505698589432026</v>
      </c>
      <c r="AM333">
        <v>0.76971387624605281</v>
      </c>
      <c r="AN333">
        <v>0</v>
      </c>
      <c r="AO333">
        <v>1.0262851683280705</v>
      </c>
      <c r="AP333">
        <v>0.25657129208201762</v>
      </c>
      <c r="AQ333">
        <v>0.25657129208201762</v>
      </c>
      <c r="AR333">
        <v>0</v>
      </c>
      <c r="AS333">
        <v>0</v>
      </c>
      <c r="AT333">
        <v>0.8979995222870617</v>
      </c>
      <c r="AU333">
        <v>1.2828564604100881</v>
      </c>
      <c r="AV333">
        <v>0.51314258416403524</v>
      </c>
      <c r="AW333">
        <v>1.6677133985331145</v>
      </c>
      <c r="AX333">
        <v>1.6677133985331145</v>
      </c>
      <c r="AY333">
        <v>0.3848569381230264</v>
      </c>
    </row>
    <row r="334" spans="1:51">
      <c r="A334" s="82" t="s">
        <v>782</v>
      </c>
      <c r="B334">
        <v>955</v>
      </c>
      <c r="C334">
        <v>745</v>
      </c>
      <c r="D334">
        <v>1.3</v>
      </c>
      <c r="E334">
        <v>42242</v>
      </c>
      <c r="F334">
        <v>13.3</v>
      </c>
      <c r="G334">
        <v>240</v>
      </c>
      <c r="H334">
        <v>80</v>
      </c>
      <c r="I334">
        <v>45</v>
      </c>
      <c r="J334">
        <v>91.7</v>
      </c>
      <c r="K334">
        <v>10.4</v>
      </c>
      <c r="L334">
        <v>69.2</v>
      </c>
      <c r="M334">
        <v>69.2</v>
      </c>
      <c r="N334">
        <v>0</v>
      </c>
      <c r="T334">
        <f>IFERROR(VLOOKUP(A334,$U$12:$U$74,1,0),0)</f>
        <v>0</v>
      </c>
      <c r="W334">
        <v>14444</v>
      </c>
      <c r="X334">
        <v>17895</v>
      </c>
      <c r="Y334">
        <v>9985</v>
      </c>
      <c r="Z334">
        <v>15169</v>
      </c>
      <c r="AA334">
        <v>12695</v>
      </c>
      <c r="AB334">
        <v>285</v>
      </c>
      <c r="AC334">
        <v>515</v>
      </c>
      <c r="AD334">
        <v>175</v>
      </c>
      <c r="AE334">
        <v>140</v>
      </c>
      <c r="AF334">
        <v>8.8461319400452165</v>
      </c>
      <c r="AG334">
        <v>0</v>
      </c>
      <c r="AH334">
        <v>0</v>
      </c>
      <c r="AI334">
        <v>0.85058960961973229</v>
      </c>
      <c r="AJ334">
        <v>0.51035376577183944</v>
      </c>
      <c r="AK334">
        <v>0.3402358438478929</v>
      </c>
      <c r="AL334">
        <v>1.1908254534676253</v>
      </c>
      <c r="AM334">
        <v>0.3402358438478929</v>
      </c>
      <c r="AN334">
        <v>0</v>
      </c>
      <c r="AO334">
        <v>0</v>
      </c>
      <c r="AP334">
        <v>0</v>
      </c>
      <c r="AQ334">
        <v>0.3402358438478929</v>
      </c>
      <c r="AR334">
        <v>0</v>
      </c>
      <c r="AS334">
        <v>0.51035376577183944</v>
      </c>
      <c r="AT334">
        <v>0.51035376577183944</v>
      </c>
      <c r="AU334">
        <v>1.0207075315436789</v>
      </c>
      <c r="AV334">
        <v>0</v>
      </c>
      <c r="AW334">
        <v>0.85058960961973229</v>
      </c>
      <c r="AX334">
        <v>0.51035376577183944</v>
      </c>
      <c r="AY334">
        <v>0.3402358438478929</v>
      </c>
    </row>
    <row r="335" spans="1:51">
      <c r="A335" t="s">
        <v>258</v>
      </c>
      <c r="B335">
        <v>76</v>
      </c>
      <c r="C335" s="102"/>
      <c r="D335" s="102"/>
      <c r="E335" s="102"/>
      <c r="F335" s="102"/>
      <c r="G335" s="102"/>
      <c r="H335" s="102"/>
      <c r="I335" s="102"/>
      <c r="J335" s="102"/>
      <c r="K335" s="102"/>
      <c r="L335" s="102"/>
      <c r="M335" s="102"/>
      <c r="N335" s="102"/>
      <c r="T335">
        <f t="shared" si="10"/>
        <v>0</v>
      </c>
      <c r="AB335">
        <v>0</v>
      </c>
      <c r="AC335">
        <v>0</v>
      </c>
      <c r="AD335">
        <v>0</v>
      </c>
      <c r="AE335">
        <v>0</v>
      </c>
      <c r="AF335" t="e">
        <v>#N/A</v>
      </c>
      <c r="AG335" t="e">
        <v>#N/A</v>
      </c>
      <c r="AH335" t="e">
        <v>#N/A</v>
      </c>
      <c r="AI335" t="e">
        <v>#N/A</v>
      </c>
      <c r="AJ335" t="e">
        <v>#N/A</v>
      </c>
      <c r="AK335" t="e">
        <v>#N/A</v>
      </c>
      <c r="AL335" t="e">
        <v>#N/A</v>
      </c>
      <c r="AM335" t="e">
        <v>#N/A</v>
      </c>
      <c r="AN335" t="e">
        <v>#N/A</v>
      </c>
      <c r="AO335" t="e">
        <v>#N/A</v>
      </c>
      <c r="AP335" t="e">
        <v>#N/A</v>
      </c>
      <c r="AQ335" t="e">
        <v>#N/A</v>
      </c>
      <c r="AR335" t="e">
        <v>#N/A</v>
      </c>
      <c r="AS335" t="e">
        <v>#N/A</v>
      </c>
      <c r="AT335" t="e">
        <v>#N/A</v>
      </c>
      <c r="AU335" t="e">
        <v>#N/A</v>
      </c>
      <c r="AV335" t="e">
        <v>#N/A</v>
      </c>
      <c r="AW335" t="e">
        <v>#N/A</v>
      </c>
      <c r="AX335" t="e">
        <v>#N/A</v>
      </c>
      <c r="AY335" t="e">
        <v>#N/A</v>
      </c>
    </row>
    <row r="336" spans="1:51">
      <c r="A336" t="s">
        <v>662</v>
      </c>
      <c r="B336">
        <v>7055</v>
      </c>
      <c r="C336">
        <v>6640</v>
      </c>
      <c r="D336">
        <v>1.2</v>
      </c>
      <c r="E336">
        <v>65189</v>
      </c>
      <c r="F336">
        <v>2.2999999999999998</v>
      </c>
      <c r="G336">
        <v>2380</v>
      </c>
      <c r="H336">
        <v>870</v>
      </c>
      <c r="I336">
        <v>240</v>
      </c>
      <c r="J336">
        <v>92.4</v>
      </c>
      <c r="K336">
        <v>7.6</v>
      </c>
      <c r="L336">
        <v>75.400000000000006</v>
      </c>
      <c r="M336">
        <v>72.900000000000006</v>
      </c>
      <c r="N336">
        <v>3.4</v>
      </c>
      <c r="T336">
        <f t="shared" si="10"/>
        <v>0</v>
      </c>
      <c r="W336">
        <v>28670</v>
      </c>
      <c r="X336">
        <v>32507</v>
      </c>
      <c r="Y336">
        <v>23995</v>
      </c>
      <c r="Z336">
        <v>30308</v>
      </c>
      <c r="AA336">
        <v>18646</v>
      </c>
      <c r="AB336">
        <v>1565</v>
      </c>
      <c r="AC336">
        <v>4830</v>
      </c>
      <c r="AD336">
        <v>1825</v>
      </c>
      <c r="AE336">
        <v>650</v>
      </c>
      <c r="AF336">
        <v>2.3627489156103678</v>
      </c>
      <c r="AG336">
        <v>3.780398264976588E-2</v>
      </c>
      <c r="AH336">
        <v>0.18901991324882941</v>
      </c>
      <c r="AI336">
        <v>1.0774135055183276</v>
      </c>
      <c r="AJ336">
        <v>1.4554533320159864</v>
      </c>
      <c r="AK336">
        <v>0.96400155756903005</v>
      </c>
      <c r="AL336">
        <v>1.2286294361173913</v>
      </c>
      <c r="AM336">
        <v>1.7767871845389964</v>
      </c>
      <c r="AN336">
        <v>0.37803982649765883</v>
      </c>
      <c r="AO336">
        <v>0.51035376577183944</v>
      </c>
      <c r="AP336">
        <v>3.780398264976588E-2</v>
      </c>
      <c r="AQ336">
        <v>0.3402358438478929</v>
      </c>
      <c r="AR336">
        <v>0</v>
      </c>
      <c r="AS336">
        <v>0.39694181782254179</v>
      </c>
      <c r="AT336">
        <v>0.75607965299531765</v>
      </c>
      <c r="AU336">
        <v>1.3987473580413377</v>
      </c>
      <c r="AV336">
        <v>0.28352986987324413</v>
      </c>
      <c r="AW336">
        <v>0.3402358438478929</v>
      </c>
      <c r="AX336">
        <v>0.69937367902066883</v>
      </c>
      <c r="AY336">
        <v>1.28533541009204</v>
      </c>
    </row>
    <row r="337" spans="1:51">
      <c r="A337" t="s">
        <v>614</v>
      </c>
      <c r="B337">
        <v>1035</v>
      </c>
      <c r="C337">
        <v>1035</v>
      </c>
      <c r="D337">
        <v>1.5</v>
      </c>
      <c r="E337">
        <v>58921</v>
      </c>
      <c r="F337">
        <v>3.5</v>
      </c>
      <c r="G337">
        <v>345</v>
      </c>
      <c r="H337">
        <v>115</v>
      </c>
      <c r="I337">
        <v>45</v>
      </c>
      <c r="J337">
        <v>87</v>
      </c>
      <c r="K337">
        <v>14.5</v>
      </c>
      <c r="L337">
        <v>74.8</v>
      </c>
      <c r="M337">
        <v>71.7</v>
      </c>
      <c r="N337">
        <v>4.2</v>
      </c>
      <c r="T337">
        <f t="shared" si="10"/>
        <v>0</v>
      </c>
      <c r="W337">
        <v>22868</v>
      </c>
      <c r="X337">
        <v>27819</v>
      </c>
      <c r="Y337">
        <v>15966</v>
      </c>
      <c r="Z337">
        <v>21210</v>
      </c>
      <c r="AA337">
        <v>12011</v>
      </c>
      <c r="AB337">
        <v>235</v>
      </c>
      <c r="AC337">
        <v>655</v>
      </c>
      <c r="AD337">
        <v>220</v>
      </c>
      <c r="AE337">
        <v>125</v>
      </c>
      <c r="AF337">
        <v>4.8256783852426155</v>
      </c>
      <c r="AG337">
        <v>0</v>
      </c>
      <c r="AH337">
        <v>0</v>
      </c>
      <c r="AI337">
        <v>0.65211870070846145</v>
      </c>
      <c r="AJ337">
        <v>1.5650848817003076</v>
      </c>
      <c r="AK337">
        <v>1.1738136612752306</v>
      </c>
      <c r="AL337">
        <v>1.0433899211335382</v>
      </c>
      <c r="AM337">
        <v>0.65211870070846145</v>
      </c>
      <c r="AN337">
        <v>0</v>
      </c>
      <c r="AO337">
        <v>0.26084748028338456</v>
      </c>
      <c r="AP337">
        <v>0</v>
      </c>
      <c r="AQ337">
        <v>0</v>
      </c>
      <c r="AR337">
        <v>0</v>
      </c>
      <c r="AS337">
        <v>0.78254244085015379</v>
      </c>
      <c r="AT337">
        <v>0.78254244085015379</v>
      </c>
      <c r="AU337">
        <v>1.9563561021253844</v>
      </c>
      <c r="AV337">
        <v>0.39127122042507689</v>
      </c>
      <c r="AW337">
        <v>0.52169496056676912</v>
      </c>
      <c r="AX337">
        <v>0.52169496056676912</v>
      </c>
      <c r="AY337">
        <v>0.39127122042507689</v>
      </c>
    </row>
    <row r="338" spans="1:51">
      <c r="A338" t="s">
        <v>259</v>
      </c>
      <c r="B338">
        <v>290</v>
      </c>
      <c r="C338">
        <v>290</v>
      </c>
      <c r="D338">
        <v>1.6</v>
      </c>
      <c r="E338">
        <v>28623</v>
      </c>
      <c r="F338">
        <v>0</v>
      </c>
      <c r="G338">
        <v>100</v>
      </c>
      <c r="H338">
        <v>35</v>
      </c>
      <c r="I338">
        <v>35</v>
      </c>
      <c r="J338">
        <v>10</v>
      </c>
      <c r="K338">
        <v>0</v>
      </c>
      <c r="L338">
        <v>71.099999999999994</v>
      </c>
      <c r="M338">
        <v>55.3</v>
      </c>
      <c r="N338">
        <v>22.2</v>
      </c>
      <c r="T338" t="str">
        <f t="shared" si="10"/>
        <v>Rolling River First Nation</v>
      </c>
      <c r="W338">
        <v>12267</v>
      </c>
      <c r="X338">
        <v>12335</v>
      </c>
      <c r="Y338">
        <v>12199</v>
      </c>
      <c r="Z338">
        <v>9792</v>
      </c>
      <c r="AA338">
        <v>11808</v>
      </c>
      <c r="AB338">
        <v>105</v>
      </c>
      <c r="AC338">
        <v>175</v>
      </c>
      <c r="AD338">
        <v>40</v>
      </c>
      <c r="AE338">
        <v>10</v>
      </c>
      <c r="AF338">
        <v>1.1593221345928204</v>
      </c>
      <c r="AG338">
        <v>0</v>
      </c>
      <c r="AH338">
        <v>0</v>
      </c>
      <c r="AI338">
        <v>1.1593221345928204</v>
      </c>
      <c r="AJ338">
        <v>1.7389832018892304</v>
      </c>
      <c r="AK338">
        <v>0</v>
      </c>
      <c r="AL338">
        <v>1.1593221345928204</v>
      </c>
      <c r="AM338">
        <v>1.1593221345928204</v>
      </c>
      <c r="AN338">
        <v>0</v>
      </c>
      <c r="AO338">
        <v>0</v>
      </c>
      <c r="AP338">
        <v>0</v>
      </c>
      <c r="AQ338">
        <v>0</v>
      </c>
      <c r="AR338">
        <v>0</v>
      </c>
      <c r="AS338">
        <v>0</v>
      </c>
      <c r="AT338">
        <v>1.1593221345928204</v>
      </c>
      <c r="AU338">
        <v>3.4779664037784608</v>
      </c>
      <c r="AV338">
        <v>0</v>
      </c>
      <c r="AW338">
        <v>1.1593221345928204</v>
      </c>
      <c r="AX338">
        <v>0</v>
      </c>
      <c r="AY338">
        <v>4.0576274710748708</v>
      </c>
    </row>
    <row r="339" spans="1:51">
      <c r="A339" t="s">
        <v>260</v>
      </c>
      <c r="B339">
        <f>SUM(B340:B341)</f>
        <v>665</v>
      </c>
      <c r="C339">
        <f>SUM(C340:C341)</f>
        <v>660</v>
      </c>
      <c r="D339" s="116">
        <f>(D340*$B340+D341*$B341)/$B339</f>
        <v>2.2857142857142856</v>
      </c>
      <c r="E339" s="117">
        <f>(E340*$B340+E341*$B341)/$B339</f>
        <v>22176.714285714286</v>
      </c>
      <c r="F339" s="116">
        <f>(F340*$B340+F341*$B341)/$B339</f>
        <v>0</v>
      </c>
      <c r="G339">
        <f>SUM(G340:G341)</f>
        <v>190</v>
      </c>
      <c r="H339">
        <f>SUM(H340:H341)</f>
        <v>80</v>
      </c>
      <c r="I339">
        <f>SUM(I340:I341)</f>
        <v>90</v>
      </c>
      <c r="J339" s="116">
        <f>(J340*$B340+J341*$B341)/$B339</f>
        <v>0</v>
      </c>
      <c r="K339" s="116">
        <f>(K340*$B340+K341*$B341)/$B339</f>
        <v>23.528571428571428</v>
      </c>
      <c r="L339" s="116">
        <f>(L340*$B340+L341*$B341)/$B339</f>
        <v>52.614285714285714</v>
      </c>
      <c r="M339" s="116">
        <f>(M340*$B340+M341*$B341)/$B339</f>
        <v>32.871428571428574</v>
      </c>
      <c r="N339" s="116">
        <f>(N340*$B340+N341*$B341)/$B339</f>
        <v>37.514285714285712</v>
      </c>
      <c r="T339" t="str">
        <f t="shared" si="10"/>
        <v>Roseau River Anishinabe First Nation</v>
      </c>
      <c r="W339">
        <v>11915</v>
      </c>
      <c r="X339">
        <v>11897.142857142857</v>
      </c>
      <c r="Y339">
        <v>11884.714285714286</v>
      </c>
      <c r="Z339">
        <v>6704</v>
      </c>
      <c r="AA339">
        <v>10628.571428571429</v>
      </c>
      <c r="AB339">
        <v>275</v>
      </c>
      <c r="AC339">
        <v>375</v>
      </c>
      <c r="AD339">
        <v>65</v>
      </c>
      <c r="AE339">
        <v>10</v>
      </c>
      <c r="AF339">
        <v>0.78254244085015379</v>
      </c>
      <c r="AG339">
        <v>0</v>
      </c>
      <c r="AH339">
        <v>0</v>
      </c>
      <c r="AI339">
        <v>1.1738136612752306</v>
      </c>
      <c r="AJ339">
        <v>0</v>
      </c>
      <c r="AK339">
        <v>0</v>
      </c>
      <c r="AL339">
        <v>0</v>
      </c>
      <c r="AM339">
        <v>0.78254244085015379</v>
      </c>
      <c r="AN339">
        <v>0</v>
      </c>
      <c r="AO339">
        <v>0</v>
      </c>
      <c r="AP339">
        <v>0</v>
      </c>
      <c r="AQ339">
        <v>0</v>
      </c>
      <c r="AR339">
        <v>0</v>
      </c>
      <c r="AS339">
        <v>0.78254244085015379</v>
      </c>
      <c r="AT339">
        <v>1.1738136612752306</v>
      </c>
      <c r="AU339">
        <v>3.1301697634006151</v>
      </c>
      <c r="AV339">
        <v>1.1738136612752306</v>
      </c>
      <c r="AW339">
        <v>0.78254244085015379</v>
      </c>
      <c r="AX339">
        <v>0</v>
      </c>
      <c r="AY339">
        <v>3.1301697634006151</v>
      </c>
    </row>
    <row r="340" spans="1:51">
      <c r="A340" t="s">
        <v>764</v>
      </c>
      <c r="B340">
        <v>95</v>
      </c>
      <c r="C340">
        <v>90</v>
      </c>
      <c r="D340">
        <v>2.2000000000000002</v>
      </c>
      <c r="E340">
        <v>21959</v>
      </c>
      <c r="F340">
        <v>0</v>
      </c>
      <c r="G340">
        <v>30</v>
      </c>
      <c r="H340">
        <v>10</v>
      </c>
      <c r="I340">
        <v>15</v>
      </c>
      <c r="J340">
        <v>0</v>
      </c>
      <c r="K340">
        <v>33.299999999999997</v>
      </c>
      <c r="L340">
        <v>45.5</v>
      </c>
      <c r="M340">
        <v>27.3</v>
      </c>
      <c r="N340">
        <v>40</v>
      </c>
      <c r="T340">
        <f t="shared" si="10"/>
        <v>0</v>
      </c>
      <c r="W340">
        <v>14477</v>
      </c>
      <c r="X340">
        <v>16812</v>
      </c>
      <c r="Y340">
        <v>11505</v>
      </c>
      <c r="Z340">
        <v>6896</v>
      </c>
      <c r="AA340">
        <v>8352</v>
      </c>
      <c r="AB340">
        <v>30</v>
      </c>
      <c r="AC340">
        <v>80</v>
      </c>
      <c r="AD340">
        <v>10</v>
      </c>
      <c r="AE340">
        <v>0</v>
      </c>
      <c r="AF340" t="e">
        <v>#N/A</v>
      </c>
      <c r="AG340" t="e">
        <v>#N/A</v>
      </c>
      <c r="AH340" t="e">
        <v>#N/A</v>
      </c>
      <c r="AI340" t="e">
        <v>#N/A</v>
      </c>
      <c r="AJ340" t="e">
        <v>#N/A</v>
      </c>
      <c r="AK340" t="e">
        <v>#N/A</v>
      </c>
      <c r="AL340" t="e">
        <v>#N/A</v>
      </c>
      <c r="AM340" t="e">
        <v>#N/A</v>
      </c>
      <c r="AN340" t="e">
        <v>#N/A</v>
      </c>
      <c r="AO340" t="e">
        <v>#N/A</v>
      </c>
      <c r="AP340" t="e">
        <v>#N/A</v>
      </c>
      <c r="AQ340" t="e">
        <v>#N/A</v>
      </c>
      <c r="AR340" t="e">
        <v>#N/A</v>
      </c>
      <c r="AS340" t="e">
        <v>#N/A</v>
      </c>
      <c r="AT340" t="e">
        <v>#N/A</v>
      </c>
      <c r="AU340" t="e">
        <v>#N/A</v>
      </c>
      <c r="AV340" t="e">
        <v>#N/A</v>
      </c>
      <c r="AW340" t="e">
        <v>#N/A</v>
      </c>
      <c r="AX340" t="e">
        <v>#N/A</v>
      </c>
      <c r="AY340" t="e">
        <v>#N/A</v>
      </c>
    </row>
    <row r="341" spans="1:51">
      <c r="A341" t="s">
        <v>853</v>
      </c>
      <c r="B341">
        <v>570</v>
      </c>
      <c r="C341">
        <v>570</v>
      </c>
      <c r="D341">
        <v>2.2999999999999998</v>
      </c>
      <c r="E341">
        <v>22213</v>
      </c>
      <c r="F341">
        <v>0</v>
      </c>
      <c r="G341">
        <v>160</v>
      </c>
      <c r="H341">
        <v>70</v>
      </c>
      <c r="I341">
        <v>75</v>
      </c>
      <c r="J341">
        <v>0</v>
      </c>
      <c r="K341">
        <v>21.9</v>
      </c>
      <c r="L341">
        <v>53.8</v>
      </c>
      <c r="M341">
        <v>33.799999999999997</v>
      </c>
      <c r="N341">
        <v>37.1</v>
      </c>
      <c r="T341">
        <f t="shared" si="10"/>
        <v>0</v>
      </c>
      <c r="W341">
        <v>11488</v>
      </c>
      <c r="X341">
        <v>11078</v>
      </c>
      <c r="Y341">
        <v>11948</v>
      </c>
      <c r="Z341">
        <v>6672</v>
      </c>
      <c r="AA341">
        <v>11008</v>
      </c>
      <c r="AB341">
        <v>245</v>
      </c>
      <c r="AC341">
        <v>295</v>
      </c>
      <c r="AD341">
        <v>55</v>
      </c>
      <c r="AE341">
        <v>10</v>
      </c>
      <c r="AF341" t="e">
        <v>#N/A</v>
      </c>
      <c r="AG341" t="e">
        <v>#N/A</v>
      </c>
      <c r="AH341" t="e">
        <v>#N/A</v>
      </c>
      <c r="AI341" t="e">
        <v>#N/A</v>
      </c>
      <c r="AJ341" t="e">
        <v>#N/A</v>
      </c>
      <c r="AK341" t="e">
        <v>#N/A</v>
      </c>
      <c r="AL341" t="e">
        <v>#N/A</v>
      </c>
      <c r="AM341" t="e">
        <v>#N/A</v>
      </c>
      <c r="AN341" t="e">
        <v>#N/A</v>
      </c>
      <c r="AO341" t="e">
        <v>#N/A</v>
      </c>
      <c r="AP341" t="e">
        <v>#N/A</v>
      </c>
      <c r="AQ341" t="e">
        <v>#N/A</v>
      </c>
      <c r="AR341" t="e">
        <v>#N/A</v>
      </c>
      <c r="AS341" t="e">
        <v>#N/A</v>
      </c>
      <c r="AT341" t="e">
        <v>#N/A</v>
      </c>
      <c r="AU341" t="e">
        <v>#N/A</v>
      </c>
      <c r="AV341" t="e">
        <v>#N/A</v>
      </c>
      <c r="AW341" t="e">
        <v>#N/A</v>
      </c>
      <c r="AX341" t="e">
        <v>#N/A</v>
      </c>
      <c r="AY341" t="e">
        <v>#N/A</v>
      </c>
    </row>
    <row r="342" spans="1:51">
      <c r="A342" t="s">
        <v>673</v>
      </c>
      <c r="B342">
        <v>1570</v>
      </c>
      <c r="C342">
        <v>1350</v>
      </c>
      <c r="D342">
        <v>1.2</v>
      </c>
      <c r="E342">
        <v>42726</v>
      </c>
      <c r="F342">
        <v>11.7</v>
      </c>
      <c r="G342">
        <v>520</v>
      </c>
      <c r="H342">
        <v>210</v>
      </c>
      <c r="I342">
        <v>105</v>
      </c>
      <c r="J342">
        <v>89.4</v>
      </c>
      <c r="K342">
        <v>10.6</v>
      </c>
      <c r="L342">
        <v>67.3</v>
      </c>
      <c r="M342">
        <v>66.900000000000006</v>
      </c>
      <c r="N342">
        <v>1.2</v>
      </c>
      <c r="T342">
        <f t="shared" ref="T342:T347" si="11">IFERROR(VLOOKUP(A342,$U$12:$U$74,1,0),0)</f>
        <v>0</v>
      </c>
      <c r="W342">
        <v>18565</v>
      </c>
      <c r="X342">
        <v>21365</v>
      </c>
      <c r="Y342">
        <v>14304</v>
      </c>
      <c r="Z342">
        <v>18543</v>
      </c>
      <c r="AA342">
        <v>10733</v>
      </c>
      <c r="AB342">
        <v>340</v>
      </c>
      <c r="AC342">
        <v>1010</v>
      </c>
      <c r="AD342">
        <v>455</v>
      </c>
      <c r="AE342">
        <v>195</v>
      </c>
      <c r="AF342">
        <v>7.0711666341881365</v>
      </c>
      <c r="AG342">
        <v>0</v>
      </c>
      <c r="AH342">
        <v>0.18856444357835031</v>
      </c>
      <c r="AI342">
        <v>1.319951105048452</v>
      </c>
      <c r="AJ342">
        <v>1.5085155486268025</v>
      </c>
      <c r="AK342">
        <v>0.5656933307350509</v>
      </c>
      <c r="AL342">
        <v>0.94282221789175147</v>
      </c>
      <c r="AM342">
        <v>0.18856444357835031</v>
      </c>
      <c r="AN342">
        <v>0</v>
      </c>
      <c r="AO342">
        <v>0.18856444357835031</v>
      </c>
      <c r="AP342">
        <v>0</v>
      </c>
      <c r="AQ342">
        <v>0</v>
      </c>
      <c r="AR342">
        <v>0</v>
      </c>
      <c r="AS342">
        <v>0.65997555252422602</v>
      </c>
      <c r="AT342">
        <v>0.75425777431340124</v>
      </c>
      <c r="AU342">
        <v>1.4142333268376273</v>
      </c>
      <c r="AV342">
        <v>0</v>
      </c>
      <c r="AW342">
        <v>0.18856444357835031</v>
      </c>
      <c r="AX342">
        <v>0.18856444357835031</v>
      </c>
      <c r="AY342">
        <v>0.47141110894587573</v>
      </c>
    </row>
    <row r="343" spans="1:51">
      <c r="A343" t="s">
        <v>426</v>
      </c>
      <c r="B343">
        <v>545</v>
      </c>
      <c r="C343">
        <v>545</v>
      </c>
      <c r="D343">
        <v>1</v>
      </c>
      <c r="E343">
        <v>42238</v>
      </c>
      <c r="F343">
        <v>17.2</v>
      </c>
      <c r="G343">
        <v>275</v>
      </c>
      <c r="H343">
        <v>110</v>
      </c>
      <c r="I343">
        <v>35</v>
      </c>
      <c r="J343">
        <v>78.2</v>
      </c>
      <c r="K343">
        <v>21.8</v>
      </c>
      <c r="L343">
        <v>45.6</v>
      </c>
      <c r="M343">
        <v>43.3</v>
      </c>
      <c r="N343">
        <v>7.3</v>
      </c>
      <c r="T343">
        <f t="shared" si="11"/>
        <v>0</v>
      </c>
      <c r="W343">
        <v>19585</v>
      </c>
      <c r="X343">
        <v>21466</v>
      </c>
      <c r="Y343">
        <v>16763</v>
      </c>
      <c r="Z343">
        <v>15173</v>
      </c>
      <c r="AA343">
        <v>12277</v>
      </c>
      <c r="AB343">
        <v>95</v>
      </c>
      <c r="AC343">
        <v>225</v>
      </c>
      <c r="AD343">
        <v>95</v>
      </c>
      <c r="AE343">
        <v>190</v>
      </c>
      <c r="AF343">
        <v>2.67209613948833</v>
      </c>
      <c r="AG343">
        <v>0.76345603985380861</v>
      </c>
      <c r="AH343">
        <v>0</v>
      </c>
      <c r="AI343">
        <v>0</v>
      </c>
      <c r="AJ343">
        <v>1.9086400996345214</v>
      </c>
      <c r="AK343">
        <v>0.76345603985380861</v>
      </c>
      <c r="AL343">
        <v>1.9086400996345214</v>
      </c>
      <c r="AM343">
        <v>0</v>
      </c>
      <c r="AN343">
        <v>0</v>
      </c>
      <c r="AO343">
        <v>0.76345603985380861</v>
      </c>
      <c r="AP343">
        <v>0</v>
      </c>
      <c r="AQ343">
        <v>0</v>
      </c>
      <c r="AR343">
        <v>0</v>
      </c>
      <c r="AS343">
        <v>0</v>
      </c>
      <c r="AT343">
        <v>0.76345603985380861</v>
      </c>
      <c r="AU343">
        <v>3.0538241594152344</v>
      </c>
      <c r="AV343">
        <v>0</v>
      </c>
      <c r="AW343">
        <v>1.5269120797076172</v>
      </c>
      <c r="AX343">
        <v>0</v>
      </c>
      <c r="AY343">
        <v>1.9086400996345214</v>
      </c>
    </row>
    <row r="344" spans="1:51">
      <c r="A344" t="s">
        <v>802</v>
      </c>
      <c r="B344">
        <v>495</v>
      </c>
      <c r="C344">
        <v>495</v>
      </c>
      <c r="D344">
        <v>1</v>
      </c>
      <c r="E344">
        <v>32943</v>
      </c>
      <c r="F344">
        <v>33.299999999999997</v>
      </c>
      <c r="G344">
        <v>205</v>
      </c>
      <c r="H344">
        <v>130</v>
      </c>
      <c r="I344">
        <v>25</v>
      </c>
      <c r="J344">
        <v>90.2</v>
      </c>
      <c r="K344">
        <v>9.8000000000000007</v>
      </c>
      <c r="L344">
        <v>79.3</v>
      </c>
      <c r="M344">
        <v>79.3</v>
      </c>
      <c r="N344">
        <v>0</v>
      </c>
      <c r="T344">
        <f t="shared" si="11"/>
        <v>0</v>
      </c>
      <c r="W344">
        <v>10419</v>
      </c>
      <c r="X344">
        <v>10905</v>
      </c>
      <c r="Y344">
        <v>9665</v>
      </c>
      <c r="Z344">
        <v>11325</v>
      </c>
      <c r="AA344">
        <v>13011</v>
      </c>
      <c r="AB344">
        <v>85</v>
      </c>
      <c r="AC344">
        <v>330</v>
      </c>
      <c r="AD344">
        <v>180</v>
      </c>
      <c r="AE344">
        <v>75</v>
      </c>
      <c r="AF344">
        <v>7.9458155532477148</v>
      </c>
      <c r="AG344">
        <v>0</v>
      </c>
      <c r="AH344">
        <v>0</v>
      </c>
      <c r="AI344">
        <v>0.72234686847706508</v>
      </c>
      <c r="AJ344">
        <v>0.72234686847706508</v>
      </c>
      <c r="AK344">
        <v>0</v>
      </c>
      <c r="AL344">
        <v>0.96312915796942011</v>
      </c>
      <c r="AM344">
        <v>0.96312915796942011</v>
      </c>
      <c r="AN344">
        <v>0</v>
      </c>
      <c r="AO344">
        <v>0.48156457898471006</v>
      </c>
      <c r="AP344">
        <v>0</v>
      </c>
      <c r="AQ344">
        <v>0</v>
      </c>
      <c r="AR344">
        <v>0</v>
      </c>
      <c r="AS344">
        <v>0</v>
      </c>
      <c r="AT344">
        <v>0.72234686847706508</v>
      </c>
      <c r="AU344">
        <v>1.2039114474617751</v>
      </c>
      <c r="AV344">
        <v>0</v>
      </c>
      <c r="AW344">
        <v>0.48156457898471006</v>
      </c>
      <c r="AX344">
        <v>0.48156457898471006</v>
      </c>
      <c r="AY344">
        <v>0</v>
      </c>
    </row>
    <row r="345" spans="1:51">
      <c r="A345" t="s">
        <v>660</v>
      </c>
      <c r="B345">
        <v>1410</v>
      </c>
      <c r="C345">
        <v>1285</v>
      </c>
      <c r="D345">
        <v>1.2</v>
      </c>
      <c r="E345">
        <v>61949</v>
      </c>
      <c r="F345">
        <v>8</v>
      </c>
      <c r="G345">
        <v>460</v>
      </c>
      <c r="H345">
        <v>160</v>
      </c>
      <c r="I345">
        <v>45</v>
      </c>
      <c r="J345">
        <v>89.1</v>
      </c>
      <c r="K345">
        <v>10.9</v>
      </c>
      <c r="L345">
        <v>72.900000000000006</v>
      </c>
      <c r="M345">
        <v>69.2</v>
      </c>
      <c r="N345">
        <v>5</v>
      </c>
      <c r="T345">
        <f t="shared" si="11"/>
        <v>0</v>
      </c>
      <c r="W345">
        <v>24817</v>
      </c>
      <c r="X345">
        <v>26280</v>
      </c>
      <c r="Y345">
        <v>23052</v>
      </c>
      <c r="Z345">
        <v>22944</v>
      </c>
      <c r="AA345">
        <v>20008</v>
      </c>
      <c r="AB345">
        <v>305</v>
      </c>
      <c r="AC345">
        <v>900</v>
      </c>
      <c r="AD345">
        <v>350</v>
      </c>
      <c r="AE345">
        <v>190</v>
      </c>
      <c r="AF345">
        <v>4.2772506083735111</v>
      </c>
      <c r="AG345">
        <v>0</v>
      </c>
      <c r="AH345">
        <v>0.19442048219879596</v>
      </c>
      <c r="AI345">
        <v>0.87489216989458185</v>
      </c>
      <c r="AJ345">
        <v>1.0693126520933778</v>
      </c>
      <c r="AK345">
        <v>0.5832614465963879</v>
      </c>
      <c r="AL345">
        <v>1.5553638575903677</v>
      </c>
      <c r="AM345">
        <v>0.87489216989458185</v>
      </c>
      <c r="AN345">
        <v>0.19442048219879596</v>
      </c>
      <c r="AO345">
        <v>0.5832614465963879</v>
      </c>
      <c r="AP345">
        <v>0</v>
      </c>
      <c r="AQ345">
        <v>0.48605120549698988</v>
      </c>
      <c r="AR345">
        <v>0</v>
      </c>
      <c r="AS345">
        <v>0.48605120549698988</v>
      </c>
      <c r="AT345">
        <v>0.29163072329819395</v>
      </c>
      <c r="AU345">
        <v>1.3609433753915716</v>
      </c>
      <c r="AV345">
        <v>0.38884096439759191</v>
      </c>
      <c r="AW345">
        <v>0.68047168769578581</v>
      </c>
      <c r="AX345">
        <v>0.5832614465963879</v>
      </c>
      <c r="AY345">
        <v>1.0693126520933778</v>
      </c>
    </row>
    <row r="346" spans="1:51">
      <c r="A346" s="83" t="s">
        <v>677</v>
      </c>
      <c r="B346">
        <v>1545</v>
      </c>
      <c r="C346">
        <v>1545</v>
      </c>
      <c r="D346">
        <v>0.9</v>
      </c>
      <c r="E346">
        <v>52805</v>
      </c>
      <c r="F346">
        <v>7.8</v>
      </c>
      <c r="G346">
        <v>720</v>
      </c>
      <c r="H346">
        <v>270</v>
      </c>
      <c r="I346">
        <v>80</v>
      </c>
      <c r="J346">
        <v>75</v>
      </c>
      <c r="K346">
        <v>24.3</v>
      </c>
      <c r="L346">
        <v>60.4</v>
      </c>
      <c r="M346">
        <v>57.3</v>
      </c>
      <c r="N346">
        <v>5.2</v>
      </c>
      <c r="T346">
        <f t="shared" si="11"/>
        <v>0</v>
      </c>
      <c r="W346">
        <v>25288</v>
      </c>
      <c r="X346">
        <v>30992</v>
      </c>
      <c r="Y346">
        <v>18726</v>
      </c>
      <c r="Z346">
        <v>27669</v>
      </c>
      <c r="AA346">
        <v>15740</v>
      </c>
      <c r="AB346">
        <v>275</v>
      </c>
      <c r="AC346">
        <v>885</v>
      </c>
      <c r="AD346">
        <v>340</v>
      </c>
      <c r="AE346">
        <v>365</v>
      </c>
      <c r="AF346">
        <v>1.1179177726430767</v>
      </c>
      <c r="AG346">
        <v>0.30488666526629365</v>
      </c>
      <c r="AH346">
        <v>0.30488666526629365</v>
      </c>
      <c r="AI346">
        <v>1.0162888842209787</v>
      </c>
      <c r="AJ346">
        <v>0.60977333053258731</v>
      </c>
      <c r="AK346">
        <v>0.91465999579888102</v>
      </c>
      <c r="AL346">
        <v>2.1342066568640554</v>
      </c>
      <c r="AM346">
        <v>0.50814444211048937</v>
      </c>
      <c r="AN346">
        <v>0.4065155536883916</v>
      </c>
      <c r="AO346">
        <v>0.60977333053258731</v>
      </c>
      <c r="AP346">
        <v>0.2032577768441958</v>
      </c>
      <c r="AQ346">
        <v>0.4065155536883916</v>
      </c>
      <c r="AR346">
        <v>0</v>
      </c>
      <c r="AS346">
        <v>0.2032577768441958</v>
      </c>
      <c r="AT346">
        <v>1.5244333263314684</v>
      </c>
      <c r="AU346">
        <v>2.0325777684419575</v>
      </c>
      <c r="AV346">
        <v>0.2032577768441958</v>
      </c>
      <c r="AW346">
        <v>1.3211755494872726</v>
      </c>
      <c r="AX346">
        <v>0.60977333053258731</v>
      </c>
      <c r="AY346">
        <v>1.0162888842209787</v>
      </c>
    </row>
    <row r="347" spans="1:51">
      <c r="A347" s="82" t="s">
        <v>781</v>
      </c>
      <c r="B347">
        <v>540</v>
      </c>
      <c r="C347">
        <v>540</v>
      </c>
      <c r="D347">
        <v>1.2</v>
      </c>
      <c r="E347">
        <v>54816</v>
      </c>
      <c r="F347">
        <v>0</v>
      </c>
      <c r="G347">
        <v>205</v>
      </c>
      <c r="H347">
        <v>65</v>
      </c>
      <c r="I347">
        <v>10</v>
      </c>
      <c r="J347">
        <v>95.1</v>
      </c>
      <c r="K347">
        <v>4.9000000000000004</v>
      </c>
      <c r="L347">
        <v>86.2</v>
      </c>
      <c r="M347">
        <v>86.2</v>
      </c>
      <c r="N347">
        <v>0</v>
      </c>
      <c r="T347">
        <f t="shared" si="11"/>
        <v>0</v>
      </c>
      <c r="W347">
        <v>21859</v>
      </c>
      <c r="X347">
        <v>25720</v>
      </c>
      <c r="Y347">
        <v>17159</v>
      </c>
      <c r="Z347">
        <v>20867</v>
      </c>
      <c r="AA347">
        <v>16249</v>
      </c>
      <c r="AB347">
        <v>140</v>
      </c>
      <c r="AC347">
        <v>345</v>
      </c>
      <c r="AD347">
        <v>140</v>
      </c>
      <c r="AE347">
        <v>50</v>
      </c>
      <c r="AF347">
        <v>5.2169496056676916</v>
      </c>
      <c r="AG347">
        <v>1.3609433753915716</v>
      </c>
      <c r="AH347">
        <v>0</v>
      </c>
      <c r="AI347">
        <v>0</v>
      </c>
      <c r="AJ347">
        <v>2.0414150630873578</v>
      </c>
      <c r="AK347">
        <v>0</v>
      </c>
      <c r="AL347">
        <v>2.2682389589859531</v>
      </c>
      <c r="AM347">
        <v>0</v>
      </c>
      <c r="AN347">
        <v>0</v>
      </c>
      <c r="AO347">
        <v>0</v>
      </c>
      <c r="AP347">
        <v>0</v>
      </c>
      <c r="AQ347">
        <v>0</v>
      </c>
      <c r="AR347">
        <v>0</v>
      </c>
      <c r="AS347">
        <v>0</v>
      </c>
      <c r="AT347">
        <v>0.90729558359438123</v>
      </c>
      <c r="AU347">
        <v>1.3609433753915716</v>
      </c>
      <c r="AV347">
        <v>0</v>
      </c>
      <c r="AW347">
        <v>0.68047168769578581</v>
      </c>
      <c r="AX347">
        <v>1.1341194794929765</v>
      </c>
      <c r="AY347">
        <v>0</v>
      </c>
    </row>
    <row r="348" spans="1:51">
      <c r="A348" t="s">
        <v>262</v>
      </c>
      <c r="B348">
        <v>1970</v>
      </c>
      <c r="C348">
        <v>1970</v>
      </c>
      <c r="D348">
        <v>1.8</v>
      </c>
      <c r="E348">
        <v>28758</v>
      </c>
      <c r="F348">
        <v>0</v>
      </c>
      <c r="G348">
        <v>535</v>
      </c>
      <c r="H348">
        <v>125</v>
      </c>
      <c r="I348">
        <v>330</v>
      </c>
      <c r="J348">
        <v>24.3</v>
      </c>
      <c r="K348">
        <v>3.7</v>
      </c>
      <c r="L348">
        <v>53.3</v>
      </c>
      <c r="M348">
        <v>31.8</v>
      </c>
      <c r="N348">
        <v>41.2</v>
      </c>
      <c r="T348" t="str">
        <f t="shared" si="10"/>
        <v>Sagkeeng First Nation</v>
      </c>
      <c r="W348">
        <v>16267</v>
      </c>
      <c r="X348">
        <v>16121</v>
      </c>
      <c r="Y348">
        <v>16459</v>
      </c>
      <c r="Z348">
        <v>9941</v>
      </c>
      <c r="AA348">
        <v>9920</v>
      </c>
      <c r="AB348">
        <v>695</v>
      </c>
      <c r="AC348">
        <v>1190</v>
      </c>
      <c r="AD348">
        <v>285</v>
      </c>
      <c r="AE348">
        <v>90</v>
      </c>
      <c r="AF348">
        <v>1.0281579514819539</v>
      </c>
      <c r="AG348">
        <v>0</v>
      </c>
      <c r="AH348">
        <v>0.2284795447737675</v>
      </c>
      <c r="AI348">
        <v>0.456959089547535</v>
      </c>
      <c r="AJ348">
        <v>0.79967840670818635</v>
      </c>
      <c r="AK348">
        <v>0</v>
      </c>
      <c r="AL348">
        <v>0.68543863432130259</v>
      </c>
      <c r="AM348">
        <v>0.34271931716065129</v>
      </c>
      <c r="AN348">
        <v>0</v>
      </c>
      <c r="AO348">
        <v>0</v>
      </c>
      <c r="AP348">
        <v>0</v>
      </c>
      <c r="AQ348">
        <v>0</v>
      </c>
      <c r="AR348">
        <v>0</v>
      </c>
      <c r="AS348">
        <v>0.2284795447737675</v>
      </c>
      <c r="AT348">
        <v>2.5132749925114428</v>
      </c>
      <c r="AU348">
        <v>3.9983920335409318</v>
      </c>
      <c r="AV348">
        <v>0.34271931716065129</v>
      </c>
      <c r="AW348">
        <v>0.68543863432130259</v>
      </c>
      <c r="AX348">
        <v>0.2284795447737675</v>
      </c>
      <c r="AY348">
        <v>1.942076130577024</v>
      </c>
    </row>
    <row r="349" spans="1:51">
      <c r="A349" t="s">
        <v>263</v>
      </c>
      <c r="B349">
        <v>16</v>
      </c>
      <c r="C349" s="102"/>
      <c r="D349" s="102"/>
      <c r="E349" s="102"/>
      <c r="F349" s="102"/>
      <c r="G349" s="102"/>
      <c r="H349" s="102"/>
      <c r="I349" s="102"/>
      <c r="J349" s="102"/>
      <c r="K349" s="102"/>
      <c r="L349" s="102"/>
      <c r="M349" s="102"/>
      <c r="N349" s="102"/>
      <c r="T349">
        <f t="shared" si="10"/>
        <v>0</v>
      </c>
      <c r="AB349">
        <v>0</v>
      </c>
      <c r="AC349">
        <v>0</v>
      </c>
      <c r="AD349">
        <v>0</v>
      </c>
      <c r="AE349">
        <v>0</v>
      </c>
      <c r="AF349" t="e">
        <v>#N/A</v>
      </c>
      <c r="AG349" t="e">
        <v>#N/A</v>
      </c>
      <c r="AH349" t="e">
        <v>#N/A</v>
      </c>
      <c r="AI349" t="e">
        <v>#N/A</v>
      </c>
      <c r="AJ349" t="e">
        <v>#N/A</v>
      </c>
      <c r="AK349" t="e">
        <v>#N/A</v>
      </c>
      <c r="AL349" t="e">
        <v>#N/A</v>
      </c>
      <c r="AM349" t="e">
        <v>#N/A</v>
      </c>
      <c r="AN349" t="e">
        <v>#N/A</v>
      </c>
      <c r="AO349" t="e">
        <v>#N/A</v>
      </c>
      <c r="AP349" t="e">
        <v>#N/A</v>
      </c>
      <c r="AQ349" t="e">
        <v>#N/A</v>
      </c>
      <c r="AR349" t="e">
        <v>#N/A</v>
      </c>
      <c r="AS349" t="e">
        <v>#N/A</v>
      </c>
      <c r="AT349" t="e">
        <v>#N/A</v>
      </c>
      <c r="AU349" t="e">
        <v>#N/A</v>
      </c>
      <c r="AV349" t="e">
        <v>#N/A</v>
      </c>
      <c r="AW349" t="e">
        <v>#N/A</v>
      </c>
      <c r="AX349" t="e">
        <v>#N/A</v>
      </c>
      <c r="AY349" t="e">
        <v>#N/A</v>
      </c>
    </row>
    <row r="350" spans="1:51">
      <c r="A350" t="s">
        <v>264</v>
      </c>
      <c r="B350">
        <v>2445</v>
      </c>
      <c r="C350">
        <v>2445</v>
      </c>
      <c r="D350">
        <v>2.4</v>
      </c>
      <c r="E350">
        <v>21785</v>
      </c>
      <c r="F350">
        <v>0</v>
      </c>
      <c r="G350">
        <v>510</v>
      </c>
      <c r="H350">
        <v>140</v>
      </c>
      <c r="I350">
        <v>275</v>
      </c>
      <c r="J350">
        <v>7.8</v>
      </c>
      <c r="K350">
        <v>2</v>
      </c>
      <c r="L350">
        <v>29.1</v>
      </c>
      <c r="M350">
        <v>21.6</v>
      </c>
      <c r="N350">
        <v>25.6</v>
      </c>
      <c r="T350" t="str">
        <f t="shared" si="10"/>
        <v>Sandy Bay First Nation</v>
      </c>
      <c r="W350">
        <v>17890</v>
      </c>
      <c r="X350">
        <v>16354</v>
      </c>
      <c r="Y350">
        <v>19563</v>
      </c>
      <c r="Z350">
        <v>5600</v>
      </c>
      <c r="AA350">
        <v>6613</v>
      </c>
      <c r="AB350">
        <v>1040</v>
      </c>
      <c r="AC350">
        <v>1360</v>
      </c>
      <c r="AD350">
        <v>240</v>
      </c>
      <c r="AE350">
        <v>65</v>
      </c>
      <c r="AF350">
        <v>0.75425777431340124</v>
      </c>
      <c r="AG350">
        <v>0</v>
      </c>
      <c r="AH350">
        <v>0</v>
      </c>
      <c r="AI350">
        <v>0.94282221789175147</v>
      </c>
      <c r="AJ350">
        <v>0.37712888715670062</v>
      </c>
      <c r="AK350">
        <v>0</v>
      </c>
      <c r="AL350">
        <v>0</v>
      </c>
      <c r="AM350">
        <v>0.94282221789175147</v>
      </c>
      <c r="AN350">
        <v>0</v>
      </c>
      <c r="AO350">
        <v>0.37712888715670062</v>
      </c>
      <c r="AP350">
        <v>0</v>
      </c>
      <c r="AQ350">
        <v>0</v>
      </c>
      <c r="AR350">
        <v>0</v>
      </c>
      <c r="AS350">
        <v>0.94282221789175147</v>
      </c>
      <c r="AT350">
        <v>2.6399022100969041</v>
      </c>
      <c r="AU350">
        <v>3.017031097253605</v>
      </c>
      <c r="AV350">
        <v>0.37712888715670062</v>
      </c>
      <c r="AW350">
        <v>0</v>
      </c>
      <c r="AX350">
        <v>0</v>
      </c>
      <c r="AY350">
        <v>2.0742088793618536</v>
      </c>
    </row>
    <row r="351" spans="1:51">
      <c r="A351" t="s">
        <v>265</v>
      </c>
      <c r="B351">
        <v>660</v>
      </c>
      <c r="C351">
        <v>660</v>
      </c>
      <c r="D351">
        <v>2.6</v>
      </c>
      <c r="E351">
        <v>25759</v>
      </c>
      <c r="F351">
        <v>0</v>
      </c>
      <c r="G351">
        <v>165</v>
      </c>
      <c r="H351">
        <v>65</v>
      </c>
      <c r="I351">
        <v>65</v>
      </c>
      <c r="J351">
        <v>0</v>
      </c>
      <c r="K351">
        <v>0</v>
      </c>
      <c r="L351">
        <v>37.799999999999997</v>
      </c>
      <c r="M351">
        <v>29.7</v>
      </c>
      <c r="N351">
        <v>25</v>
      </c>
      <c r="T351" t="str">
        <f t="shared" si="10"/>
        <v>Sapotaweyak Cree Nation</v>
      </c>
      <c r="W351">
        <v>16991</v>
      </c>
      <c r="X351">
        <v>15118</v>
      </c>
      <c r="Y351">
        <v>18810</v>
      </c>
      <c r="Z351">
        <v>9280</v>
      </c>
      <c r="AA351">
        <v>12128</v>
      </c>
      <c r="AB351">
        <v>295</v>
      </c>
      <c r="AC351">
        <v>335</v>
      </c>
      <c r="AD351">
        <v>60</v>
      </c>
      <c r="AE351">
        <v>30</v>
      </c>
      <c r="AF351">
        <v>1.1179177726430767</v>
      </c>
      <c r="AG351">
        <v>0</v>
      </c>
      <c r="AH351">
        <v>0</v>
      </c>
      <c r="AI351">
        <v>0</v>
      </c>
      <c r="AJ351">
        <v>0</v>
      </c>
      <c r="AK351">
        <v>0</v>
      </c>
      <c r="AL351">
        <v>0</v>
      </c>
      <c r="AM351">
        <v>0</v>
      </c>
      <c r="AN351">
        <v>0</v>
      </c>
      <c r="AO351">
        <v>0</v>
      </c>
      <c r="AP351">
        <v>0</v>
      </c>
      <c r="AQ351">
        <v>0</v>
      </c>
      <c r="AR351">
        <v>0</v>
      </c>
      <c r="AS351">
        <v>0</v>
      </c>
      <c r="AT351">
        <v>3.3537533179292303</v>
      </c>
      <c r="AU351">
        <v>0</v>
      </c>
      <c r="AV351">
        <v>0</v>
      </c>
      <c r="AW351">
        <v>0</v>
      </c>
      <c r="AX351">
        <v>0</v>
      </c>
      <c r="AY351">
        <v>8.3843832948230759</v>
      </c>
    </row>
    <row r="352" spans="1:51">
      <c r="A352" t="s">
        <v>665</v>
      </c>
      <c r="B352">
        <v>640</v>
      </c>
      <c r="C352">
        <v>640</v>
      </c>
      <c r="D352">
        <v>1</v>
      </c>
      <c r="E352">
        <v>49823</v>
      </c>
      <c r="F352">
        <v>15</v>
      </c>
      <c r="G352">
        <v>230</v>
      </c>
      <c r="H352">
        <v>65</v>
      </c>
      <c r="I352">
        <v>40</v>
      </c>
      <c r="J352">
        <v>91.3</v>
      </c>
      <c r="K352">
        <v>8.6999999999999993</v>
      </c>
      <c r="L352">
        <v>74</v>
      </c>
      <c r="M352">
        <v>69.8</v>
      </c>
      <c r="N352">
        <v>4.2</v>
      </c>
      <c r="T352">
        <f t="shared" si="10"/>
        <v>0</v>
      </c>
      <c r="W352">
        <v>19932</v>
      </c>
      <c r="X352">
        <v>24968</v>
      </c>
      <c r="Y352">
        <v>12082</v>
      </c>
      <c r="Z352">
        <v>19274</v>
      </c>
      <c r="AA352">
        <v>11935</v>
      </c>
      <c r="AB352">
        <v>165</v>
      </c>
      <c r="AC352">
        <v>380</v>
      </c>
      <c r="AD352">
        <v>165</v>
      </c>
      <c r="AE352">
        <v>95</v>
      </c>
      <c r="AF352">
        <v>6.2603395268012303</v>
      </c>
      <c r="AG352">
        <v>0</v>
      </c>
      <c r="AH352">
        <v>0</v>
      </c>
      <c r="AI352">
        <v>0.44716710905723073</v>
      </c>
      <c r="AJ352">
        <v>0.89433421811446145</v>
      </c>
      <c r="AK352">
        <v>0.67075066358584612</v>
      </c>
      <c r="AL352">
        <v>0.44716710905723073</v>
      </c>
      <c r="AM352">
        <v>0.89433421811446145</v>
      </c>
      <c r="AN352">
        <v>0.67075066358584612</v>
      </c>
      <c r="AO352">
        <v>0</v>
      </c>
      <c r="AP352">
        <v>0</v>
      </c>
      <c r="AQ352">
        <v>0.44716710905723073</v>
      </c>
      <c r="AR352">
        <v>0</v>
      </c>
      <c r="AS352">
        <v>0.44716710905723073</v>
      </c>
      <c r="AT352">
        <v>1.5650848817003076</v>
      </c>
      <c r="AU352">
        <v>1.7886684362289229</v>
      </c>
      <c r="AV352">
        <v>0</v>
      </c>
      <c r="AW352">
        <v>0.44716710905723073</v>
      </c>
      <c r="AX352">
        <v>0.67075066358584612</v>
      </c>
      <c r="AY352">
        <v>0</v>
      </c>
    </row>
    <row r="353" spans="1:51">
      <c r="A353" t="s">
        <v>441</v>
      </c>
      <c r="B353">
        <v>9185</v>
      </c>
      <c r="C353">
        <v>9145</v>
      </c>
      <c r="D353">
        <v>1.2</v>
      </c>
      <c r="E353">
        <v>54234</v>
      </c>
      <c r="F353">
        <v>11.7</v>
      </c>
      <c r="G353">
        <v>3795</v>
      </c>
      <c r="H353">
        <v>1290</v>
      </c>
      <c r="I353">
        <v>375</v>
      </c>
      <c r="J353">
        <v>68</v>
      </c>
      <c r="K353">
        <v>32</v>
      </c>
      <c r="L353">
        <v>64.7</v>
      </c>
      <c r="M353">
        <v>59.1</v>
      </c>
      <c r="N353">
        <v>8.6</v>
      </c>
      <c r="T353">
        <f t="shared" si="10"/>
        <v>0</v>
      </c>
      <c r="W353">
        <v>26371</v>
      </c>
      <c r="X353">
        <v>32115</v>
      </c>
      <c r="Y353">
        <v>20138</v>
      </c>
      <c r="Z353">
        <v>29209</v>
      </c>
      <c r="AA353">
        <v>16226</v>
      </c>
      <c r="AB353">
        <v>1945</v>
      </c>
      <c r="AC353">
        <v>5770</v>
      </c>
      <c r="AD353">
        <v>2160</v>
      </c>
      <c r="AE353">
        <v>1475</v>
      </c>
      <c r="AF353">
        <v>0.21714091208221983</v>
      </c>
      <c r="AG353">
        <v>6.6812588332990724E-2</v>
      </c>
      <c r="AH353">
        <v>0.21714091208221983</v>
      </c>
      <c r="AI353">
        <v>0.65142273624665947</v>
      </c>
      <c r="AJ353">
        <v>2.0210807970729694</v>
      </c>
      <c r="AK353">
        <v>0.41757867708119201</v>
      </c>
      <c r="AL353">
        <v>1.8540493262404922</v>
      </c>
      <c r="AM353">
        <v>0.60131329499691644</v>
      </c>
      <c r="AN353">
        <v>0.33406294166495359</v>
      </c>
      <c r="AO353">
        <v>0.45098497124768733</v>
      </c>
      <c r="AP353">
        <v>0.11692202958273375</v>
      </c>
      <c r="AQ353">
        <v>0.20043776499897215</v>
      </c>
      <c r="AR353">
        <v>0</v>
      </c>
      <c r="AS353">
        <v>0.73493847166289783</v>
      </c>
      <c r="AT353">
        <v>0.90196994249537465</v>
      </c>
      <c r="AU353">
        <v>3.2404105341500498</v>
      </c>
      <c r="AV353">
        <v>0.25054720624871518</v>
      </c>
      <c r="AW353">
        <v>1.2026265899938329</v>
      </c>
      <c r="AX353">
        <v>0.70153217749640251</v>
      </c>
      <c r="AY353">
        <v>1.1191108545775945</v>
      </c>
    </row>
    <row r="354" spans="1:51">
      <c r="A354" t="s">
        <v>267</v>
      </c>
      <c r="B354">
        <v>135</v>
      </c>
      <c r="C354" s="102"/>
      <c r="D354" s="102"/>
      <c r="E354" s="102"/>
      <c r="F354" s="102"/>
      <c r="G354" s="102"/>
      <c r="H354" s="102"/>
      <c r="I354" s="102"/>
      <c r="J354" s="102"/>
      <c r="K354" s="102"/>
      <c r="L354" s="102"/>
      <c r="M354" s="102"/>
      <c r="N354" s="102"/>
      <c r="T354">
        <f t="shared" si="10"/>
        <v>0</v>
      </c>
      <c r="AB354">
        <v>0</v>
      </c>
      <c r="AC354">
        <v>0</v>
      </c>
      <c r="AD354">
        <v>0</v>
      </c>
      <c r="AE354">
        <v>0</v>
      </c>
      <c r="AF354" t="e">
        <v>#N/A</v>
      </c>
      <c r="AG354" t="e">
        <v>#N/A</v>
      </c>
      <c r="AH354" t="e">
        <v>#N/A</v>
      </c>
      <c r="AI354" t="e">
        <v>#N/A</v>
      </c>
      <c r="AJ354" t="e">
        <v>#N/A</v>
      </c>
      <c r="AK354" t="e">
        <v>#N/A</v>
      </c>
      <c r="AL354" t="e">
        <v>#N/A</v>
      </c>
      <c r="AM354" t="e">
        <v>#N/A</v>
      </c>
      <c r="AN354" t="e">
        <v>#N/A</v>
      </c>
      <c r="AO354" t="e">
        <v>#N/A</v>
      </c>
      <c r="AP354" t="e">
        <v>#N/A</v>
      </c>
      <c r="AQ354" t="e">
        <v>#N/A</v>
      </c>
      <c r="AR354" t="e">
        <v>#N/A</v>
      </c>
      <c r="AS354" t="e">
        <v>#N/A</v>
      </c>
      <c r="AT354" t="e">
        <v>#N/A</v>
      </c>
      <c r="AU354" t="e">
        <v>#N/A</v>
      </c>
      <c r="AV354" t="e">
        <v>#N/A</v>
      </c>
      <c r="AW354" t="e">
        <v>#N/A</v>
      </c>
      <c r="AX354" t="e">
        <v>#N/A</v>
      </c>
      <c r="AY354" t="e">
        <v>#N/A</v>
      </c>
    </row>
    <row r="355" spans="1:51">
      <c r="A355" t="s">
        <v>268</v>
      </c>
      <c r="B355">
        <v>895</v>
      </c>
      <c r="C355">
        <v>890</v>
      </c>
      <c r="D355">
        <v>2.6</v>
      </c>
      <c r="E355">
        <v>29632</v>
      </c>
      <c r="F355">
        <v>0</v>
      </c>
      <c r="G355">
        <v>165</v>
      </c>
      <c r="H355">
        <v>50</v>
      </c>
      <c r="I355">
        <v>70</v>
      </c>
      <c r="J355">
        <v>0</v>
      </c>
      <c r="K355">
        <v>15.2</v>
      </c>
      <c r="L355">
        <v>44.1</v>
      </c>
      <c r="M355">
        <v>32.4</v>
      </c>
      <c r="N355">
        <v>22.2</v>
      </c>
      <c r="T355" t="str">
        <f t="shared" si="10"/>
        <v>Shamattawa First Nation</v>
      </c>
      <c r="W355">
        <v>17069</v>
      </c>
      <c r="X355">
        <v>16470</v>
      </c>
      <c r="Y355">
        <v>17912</v>
      </c>
      <c r="Z355">
        <v>11584</v>
      </c>
      <c r="AA355">
        <v>11616</v>
      </c>
      <c r="AB355">
        <v>380</v>
      </c>
      <c r="AC355">
        <v>505</v>
      </c>
      <c r="AD355">
        <v>95</v>
      </c>
      <c r="AE355">
        <v>25</v>
      </c>
      <c r="AF355">
        <v>0</v>
      </c>
      <c r="AG355">
        <v>0</v>
      </c>
      <c r="AH355">
        <v>0.69559328075569227</v>
      </c>
      <c r="AI355">
        <v>0</v>
      </c>
      <c r="AJ355">
        <v>0</v>
      </c>
      <c r="AK355">
        <v>0</v>
      </c>
      <c r="AL355">
        <v>2.0867798422670765</v>
      </c>
      <c r="AM355">
        <v>0.69559328075569227</v>
      </c>
      <c r="AN355">
        <v>0</v>
      </c>
      <c r="AO355">
        <v>0</v>
      </c>
      <c r="AP355">
        <v>0</v>
      </c>
      <c r="AQ355">
        <v>0</v>
      </c>
      <c r="AR355">
        <v>0</v>
      </c>
      <c r="AS355">
        <v>0.69559328075569227</v>
      </c>
      <c r="AT355">
        <v>2.7823731230227691</v>
      </c>
      <c r="AU355">
        <v>3.4779664037784608</v>
      </c>
      <c r="AV355">
        <v>0</v>
      </c>
      <c r="AW355">
        <v>0</v>
      </c>
      <c r="AX355">
        <v>0</v>
      </c>
      <c r="AY355">
        <v>3.8257630441563073</v>
      </c>
    </row>
    <row r="356" spans="1:51">
      <c r="A356" t="s">
        <v>679</v>
      </c>
      <c r="B356">
        <v>995</v>
      </c>
      <c r="C356">
        <v>990</v>
      </c>
      <c r="D356">
        <v>1</v>
      </c>
      <c r="E356">
        <v>52390</v>
      </c>
      <c r="F356">
        <v>11.1</v>
      </c>
      <c r="G356">
        <v>355</v>
      </c>
      <c r="H356">
        <v>120</v>
      </c>
      <c r="I356">
        <v>95</v>
      </c>
      <c r="J356">
        <v>87.3</v>
      </c>
      <c r="K356">
        <v>11.3</v>
      </c>
      <c r="L356">
        <v>75.5</v>
      </c>
      <c r="M356">
        <v>73.599999999999994</v>
      </c>
      <c r="N356">
        <v>1.7</v>
      </c>
      <c r="T356">
        <f t="shared" si="10"/>
        <v>0</v>
      </c>
      <c r="W356">
        <v>22115</v>
      </c>
      <c r="X356">
        <v>23674</v>
      </c>
      <c r="Y356">
        <v>20178</v>
      </c>
      <c r="Z356">
        <v>20464</v>
      </c>
      <c r="AA356">
        <v>15228</v>
      </c>
      <c r="AB356">
        <v>190</v>
      </c>
      <c r="AC356">
        <v>680</v>
      </c>
      <c r="AD356">
        <v>300</v>
      </c>
      <c r="AE356">
        <v>105</v>
      </c>
      <c r="AF356">
        <v>5.0865258655259993</v>
      </c>
      <c r="AG356">
        <v>0.78254244085015379</v>
      </c>
      <c r="AH356">
        <v>0</v>
      </c>
      <c r="AI356">
        <v>0.26084748028338456</v>
      </c>
      <c r="AJ356">
        <v>0</v>
      </c>
      <c r="AK356">
        <v>1.0433899211335382</v>
      </c>
      <c r="AL356">
        <v>1.434661141558615</v>
      </c>
      <c r="AM356">
        <v>0.39127122042507689</v>
      </c>
      <c r="AN356">
        <v>0.26084748028338456</v>
      </c>
      <c r="AO356">
        <v>0.39127122042507689</v>
      </c>
      <c r="AP356">
        <v>0</v>
      </c>
      <c r="AQ356">
        <v>1.1738136612752306</v>
      </c>
      <c r="AR356">
        <v>0</v>
      </c>
      <c r="AS356">
        <v>0.26084748028338456</v>
      </c>
      <c r="AT356">
        <v>0.39127122042507689</v>
      </c>
      <c r="AU356">
        <v>1.9563561021253844</v>
      </c>
      <c r="AV356">
        <v>0.26084748028338456</v>
      </c>
      <c r="AW356">
        <v>1.0433899211335382</v>
      </c>
      <c r="AX356">
        <v>0.26084748028338456</v>
      </c>
      <c r="AY356">
        <v>0.39127122042507689</v>
      </c>
    </row>
    <row r="357" spans="1:51">
      <c r="A357" t="s">
        <v>847</v>
      </c>
      <c r="B357">
        <v>970</v>
      </c>
      <c r="C357">
        <v>970</v>
      </c>
      <c r="D357">
        <v>1</v>
      </c>
      <c r="E357">
        <v>51122</v>
      </c>
      <c r="F357">
        <v>10.199999999999999</v>
      </c>
      <c r="G357">
        <v>390</v>
      </c>
      <c r="H357">
        <v>170</v>
      </c>
      <c r="I357">
        <v>50</v>
      </c>
      <c r="J357">
        <v>89.7</v>
      </c>
      <c r="K357">
        <v>9</v>
      </c>
      <c r="L357">
        <v>78</v>
      </c>
      <c r="M357">
        <v>74.8</v>
      </c>
      <c r="N357">
        <v>3.2</v>
      </c>
      <c r="T357">
        <f t="shared" ref="T357:T392" si="12">IFERROR(VLOOKUP(A357,$U$12:$U$74,1,0),0)</f>
        <v>0</v>
      </c>
      <c r="W357">
        <v>19888</v>
      </c>
      <c r="X357">
        <v>22902</v>
      </c>
      <c r="Y357">
        <v>15854</v>
      </c>
      <c r="Z357">
        <v>18584</v>
      </c>
      <c r="AA357">
        <v>12456</v>
      </c>
      <c r="AB357">
        <v>170</v>
      </c>
      <c r="AC357">
        <v>635</v>
      </c>
      <c r="AD357">
        <v>310</v>
      </c>
      <c r="AE357">
        <v>160</v>
      </c>
      <c r="AF357" t="e">
        <v>#N/A</v>
      </c>
      <c r="AG357" t="e">
        <v>#N/A</v>
      </c>
      <c r="AH357" t="e">
        <v>#N/A</v>
      </c>
      <c r="AI357" t="e">
        <v>#N/A</v>
      </c>
      <c r="AJ357" t="e">
        <v>#N/A</v>
      </c>
      <c r="AK357" t="e">
        <v>#N/A</v>
      </c>
      <c r="AL357" t="e">
        <v>#N/A</v>
      </c>
      <c r="AM357" t="e">
        <v>#N/A</v>
      </c>
      <c r="AN357" t="e">
        <v>#N/A</v>
      </c>
      <c r="AO357" t="e">
        <v>#N/A</v>
      </c>
      <c r="AP357" t="e">
        <v>#N/A</v>
      </c>
      <c r="AQ357" t="e">
        <v>#N/A</v>
      </c>
      <c r="AR357" t="e">
        <v>#N/A</v>
      </c>
      <c r="AS357" t="e">
        <v>#N/A</v>
      </c>
      <c r="AT357" t="e">
        <v>#N/A</v>
      </c>
      <c r="AU357" t="e">
        <v>#N/A</v>
      </c>
      <c r="AV357" t="e">
        <v>#N/A</v>
      </c>
      <c r="AW357" t="e">
        <v>#N/A</v>
      </c>
      <c r="AX357" t="e">
        <v>#N/A</v>
      </c>
      <c r="AY357" t="e">
        <v>#N/A</v>
      </c>
    </row>
    <row r="358" spans="1:51">
      <c r="A358" t="s">
        <v>444</v>
      </c>
      <c r="B358">
        <v>113</v>
      </c>
      <c r="C358" s="102"/>
      <c r="D358" s="102"/>
      <c r="E358" s="102"/>
      <c r="F358" s="102"/>
      <c r="G358" s="102"/>
      <c r="H358" s="102"/>
      <c r="I358" s="102"/>
      <c r="J358" s="102"/>
      <c r="K358" s="102"/>
      <c r="L358" s="102"/>
      <c r="M358" s="102"/>
      <c r="N358" s="102"/>
      <c r="T358">
        <f t="shared" si="12"/>
        <v>0</v>
      </c>
      <c r="AB358">
        <v>0</v>
      </c>
      <c r="AC358">
        <v>0</v>
      </c>
      <c r="AD358">
        <v>0</v>
      </c>
      <c r="AE358">
        <v>0</v>
      </c>
      <c r="AF358" t="e">
        <v>#N/A</v>
      </c>
      <c r="AG358" t="e">
        <v>#N/A</v>
      </c>
      <c r="AH358" t="e">
        <v>#N/A</v>
      </c>
      <c r="AI358" t="e">
        <v>#N/A</v>
      </c>
      <c r="AJ358" t="e">
        <v>#N/A</v>
      </c>
      <c r="AK358" t="e">
        <v>#N/A</v>
      </c>
      <c r="AL358" t="e">
        <v>#N/A</v>
      </c>
      <c r="AM358" t="e">
        <v>#N/A</v>
      </c>
      <c r="AN358" t="e">
        <v>#N/A</v>
      </c>
      <c r="AO358" t="e">
        <v>#N/A</v>
      </c>
      <c r="AP358" t="e">
        <v>#N/A</v>
      </c>
      <c r="AQ358" t="e">
        <v>#N/A</v>
      </c>
      <c r="AR358" t="e">
        <v>#N/A</v>
      </c>
      <c r="AS358" t="e">
        <v>#N/A</v>
      </c>
      <c r="AT358" t="e">
        <v>#N/A</v>
      </c>
      <c r="AU358" t="e">
        <v>#N/A</v>
      </c>
      <c r="AV358" t="e">
        <v>#N/A</v>
      </c>
      <c r="AW358" t="e">
        <v>#N/A</v>
      </c>
      <c r="AX358" t="e">
        <v>#N/A</v>
      </c>
      <c r="AY358" t="e">
        <v>#N/A</v>
      </c>
    </row>
    <row r="359" spans="1:51">
      <c r="A359" t="s">
        <v>446</v>
      </c>
      <c r="B359">
        <v>745</v>
      </c>
      <c r="C359">
        <v>740</v>
      </c>
      <c r="D359">
        <v>0.9</v>
      </c>
      <c r="E359">
        <v>48057</v>
      </c>
      <c r="F359">
        <v>0</v>
      </c>
      <c r="G359">
        <v>345</v>
      </c>
      <c r="H359">
        <v>155</v>
      </c>
      <c r="I359">
        <v>60</v>
      </c>
      <c r="J359">
        <v>85.5</v>
      </c>
      <c r="K359">
        <v>14.5</v>
      </c>
      <c r="L359">
        <v>49.6</v>
      </c>
      <c r="M359">
        <v>49.6</v>
      </c>
      <c r="N359">
        <v>3.3</v>
      </c>
      <c r="T359">
        <f t="shared" si="12"/>
        <v>0</v>
      </c>
      <c r="W359">
        <v>24627</v>
      </c>
      <c r="X359">
        <v>30043</v>
      </c>
      <c r="Y359">
        <v>18228</v>
      </c>
      <c r="Z359">
        <v>22054</v>
      </c>
      <c r="AA359">
        <v>15015</v>
      </c>
      <c r="AB359">
        <v>140</v>
      </c>
      <c r="AC359">
        <v>360</v>
      </c>
      <c r="AD359">
        <v>180</v>
      </c>
      <c r="AE359">
        <v>220</v>
      </c>
      <c r="AF359">
        <v>0.52169496056676912</v>
      </c>
      <c r="AG359">
        <v>0</v>
      </c>
      <c r="AH359">
        <v>0.52169496056676912</v>
      </c>
      <c r="AI359">
        <v>2.0867798422670765</v>
      </c>
      <c r="AJ359">
        <v>0</v>
      </c>
      <c r="AK359">
        <v>3.651864723967384</v>
      </c>
      <c r="AL359">
        <v>0.78254244085015379</v>
      </c>
      <c r="AM359">
        <v>0.52169496056676912</v>
      </c>
      <c r="AN359">
        <v>0.52169496056676912</v>
      </c>
      <c r="AO359">
        <v>1.3042374014169229</v>
      </c>
      <c r="AP359">
        <v>0</v>
      </c>
      <c r="AQ359">
        <v>0</v>
      </c>
      <c r="AR359">
        <v>0</v>
      </c>
      <c r="AS359">
        <v>0</v>
      </c>
      <c r="AT359">
        <v>1.3042374014169229</v>
      </c>
      <c r="AU359">
        <v>3.1301697634006151</v>
      </c>
      <c r="AV359">
        <v>0</v>
      </c>
      <c r="AW359">
        <v>0.52169496056676912</v>
      </c>
      <c r="AX359">
        <v>0.52169496056676912</v>
      </c>
      <c r="AY359">
        <v>0.52169496056676912</v>
      </c>
    </row>
    <row r="360" spans="1:51">
      <c r="A360" s="82" t="s">
        <v>783</v>
      </c>
      <c r="B360">
        <v>575</v>
      </c>
      <c r="C360">
        <v>575</v>
      </c>
      <c r="D360">
        <v>1.2</v>
      </c>
      <c r="E360">
        <v>50460</v>
      </c>
      <c r="F360">
        <v>0</v>
      </c>
      <c r="G360">
        <v>260</v>
      </c>
      <c r="H360">
        <v>105</v>
      </c>
      <c r="I360">
        <v>15</v>
      </c>
      <c r="J360">
        <v>88.5</v>
      </c>
      <c r="K360">
        <v>11.5</v>
      </c>
      <c r="L360">
        <v>68.8</v>
      </c>
      <c r="M360">
        <v>66.7</v>
      </c>
      <c r="N360">
        <v>0</v>
      </c>
      <c r="T360">
        <f t="shared" si="12"/>
        <v>0</v>
      </c>
      <c r="W360">
        <v>20648</v>
      </c>
      <c r="X360">
        <v>23683</v>
      </c>
      <c r="Y360">
        <v>17034</v>
      </c>
      <c r="Z360">
        <v>23464</v>
      </c>
      <c r="AA360">
        <v>16522</v>
      </c>
      <c r="AB360">
        <v>105</v>
      </c>
      <c r="AC360">
        <v>330</v>
      </c>
      <c r="AD360">
        <v>115</v>
      </c>
      <c r="AE360">
        <v>135</v>
      </c>
      <c r="AF360">
        <v>4.9798155326827969</v>
      </c>
      <c r="AG360">
        <v>0</v>
      </c>
      <c r="AH360">
        <v>0.47426814596979017</v>
      </c>
      <c r="AI360">
        <v>0</v>
      </c>
      <c r="AJ360">
        <v>0.71140221895468525</v>
      </c>
      <c r="AK360">
        <v>0.47426814596979017</v>
      </c>
      <c r="AL360">
        <v>0.94853629193958033</v>
      </c>
      <c r="AM360">
        <v>0.71140221895468525</v>
      </c>
      <c r="AN360">
        <v>0</v>
      </c>
      <c r="AO360">
        <v>0</v>
      </c>
      <c r="AP360">
        <v>0</v>
      </c>
      <c r="AQ360">
        <v>0.94853629193958033</v>
      </c>
      <c r="AR360">
        <v>0</v>
      </c>
      <c r="AS360">
        <v>0.71140221895468525</v>
      </c>
      <c r="AT360">
        <v>1.4228044379093705</v>
      </c>
      <c r="AU360">
        <v>2.1342066568640554</v>
      </c>
      <c r="AV360">
        <v>0</v>
      </c>
      <c r="AW360">
        <v>0.71140221895468525</v>
      </c>
      <c r="AX360">
        <v>0.71140221895468525</v>
      </c>
      <c r="AY360">
        <v>0</v>
      </c>
    </row>
    <row r="361" spans="1:51">
      <c r="A361" t="s">
        <v>629</v>
      </c>
      <c r="B361">
        <v>765</v>
      </c>
      <c r="C361">
        <v>765</v>
      </c>
      <c r="D361">
        <v>1</v>
      </c>
      <c r="E361">
        <v>44051</v>
      </c>
      <c r="F361">
        <v>0</v>
      </c>
      <c r="G361">
        <v>285</v>
      </c>
      <c r="H361">
        <v>80</v>
      </c>
      <c r="I361">
        <v>45</v>
      </c>
      <c r="J361">
        <v>93</v>
      </c>
      <c r="K361">
        <v>8.8000000000000007</v>
      </c>
      <c r="L361">
        <v>75.599999999999994</v>
      </c>
      <c r="M361">
        <v>73.2</v>
      </c>
      <c r="N361">
        <v>4.2</v>
      </c>
      <c r="T361">
        <f t="shared" si="12"/>
        <v>0</v>
      </c>
      <c r="W361">
        <v>15512</v>
      </c>
      <c r="X361">
        <v>17108</v>
      </c>
      <c r="Y361">
        <v>13500</v>
      </c>
      <c r="Z361">
        <v>15404</v>
      </c>
      <c r="AA361">
        <v>12481</v>
      </c>
      <c r="AB361">
        <v>125</v>
      </c>
      <c r="AC361">
        <v>540</v>
      </c>
      <c r="AD361">
        <v>250</v>
      </c>
      <c r="AE361">
        <v>100</v>
      </c>
      <c r="AF361">
        <v>9.6187508354498075</v>
      </c>
      <c r="AG361">
        <v>0.32605935035423073</v>
      </c>
      <c r="AH361">
        <v>0</v>
      </c>
      <c r="AI361">
        <v>0.32605935035423073</v>
      </c>
      <c r="AJ361">
        <v>0.65211870070846145</v>
      </c>
      <c r="AK361">
        <v>0.32605935035423073</v>
      </c>
      <c r="AL361">
        <v>0.81514837588557687</v>
      </c>
      <c r="AM361">
        <v>0.32605935035423073</v>
      </c>
      <c r="AN361">
        <v>0</v>
      </c>
      <c r="AO361">
        <v>0</v>
      </c>
      <c r="AP361">
        <v>0</v>
      </c>
      <c r="AQ361">
        <v>0</v>
      </c>
      <c r="AR361">
        <v>0</v>
      </c>
      <c r="AS361">
        <v>0.32605935035423073</v>
      </c>
      <c r="AT361">
        <v>0.32605935035423073</v>
      </c>
      <c r="AU361">
        <v>1.3042374014169229</v>
      </c>
      <c r="AV361">
        <v>0</v>
      </c>
      <c r="AW361">
        <v>0.81514837588557687</v>
      </c>
      <c r="AX361">
        <v>0.32605935035423073</v>
      </c>
      <c r="AY361">
        <v>0.32605935035423073</v>
      </c>
    </row>
    <row r="362" spans="1:51">
      <c r="A362" t="s">
        <v>689</v>
      </c>
      <c r="B362">
        <v>1475</v>
      </c>
      <c r="C362">
        <v>1480</v>
      </c>
      <c r="D362">
        <v>1</v>
      </c>
      <c r="E362">
        <v>48063</v>
      </c>
      <c r="F362">
        <v>12.4</v>
      </c>
      <c r="G362">
        <v>635</v>
      </c>
      <c r="H362">
        <v>150</v>
      </c>
      <c r="I362">
        <v>100</v>
      </c>
      <c r="J362">
        <v>70.900000000000006</v>
      </c>
      <c r="K362">
        <v>28.3</v>
      </c>
      <c r="L362">
        <v>62.7</v>
      </c>
      <c r="M362">
        <v>59.2</v>
      </c>
      <c r="N362">
        <v>4.8</v>
      </c>
      <c r="T362">
        <f t="shared" si="12"/>
        <v>0</v>
      </c>
      <c r="W362">
        <v>19097</v>
      </c>
      <c r="X362">
        <v>20406</v>
      </c>
      <c r="Y362">
        <v>17725</v>
      </c>
      <c r="Z362">
        <v>18437</v>
      </c>
      <c r="AA362">
        <v>14134</v>
      </c>
      <c r="AB362">
        <v>305</v>
      </c>
      <c r="AC362">
        <v>830</v>
      </c>
      <c r="AD362">
        <v>375</v>
      </c>
      <c r="AE362">
        <v>360</v>
      </c>
      <c r="AF362">
        <v>3.4303230283842354</v>
      </c>
      <c r="AG362">
        <v>0</v>
      </c>
      <c r="AH362">
        <v>0.21439518927401471</v>
      </c>
      <c r="AI362">
        <v>0.64318556782204417</v>
      </c>
      <c r="AJ362">
        <v>0</v>
      </c>
      <c r="AK362">
        <v>0.42879037854802943</v>
      </c>
      <c r="AL362">
        <v>2.7871374605621915</v>
      </c>
      <c r="AM362">
        <v>0.75038316245905146</v>
      </c>
      <c r="AN362">
        <v>0</v>
      </c>
      <c r="AO362">
        <v>0.21439518927401471</v>
      </c>
      <c r="AP362">
        <v>0</v>
      </c>
      <c r="AQ362">
        <v>0.42879037854802943</v>
      </c>
      <c r="AR362">
        <v>0</v>
      </c>
      <c r="AS362">
        <v>0.21439518927401471</v>
      </c>
      <c r="AT362">
        <v>1.3935687302810957</v>
      </c>
      <c r="AU362">
        <v>1.6079639195551103</v>
      </c>
      <c r="AV362">
        <v>0.32159278391102208</v>
      </c>
      <c r="AW362">
        <v>1.9295567034661325</v>
      </c>
      <c r="AX362">
        <v>0.75038316245905146</v>
      </c>
      <c r="AY362">
        <v>0.32159278391102208</v>
      </c>
    </row>
    <row r="363" spans="1:51">
      <c r="A363" t="s">
        <v>676</v>
      </c>
      <c r="B363">
        <v>540</v>
      </c>
      <c r="C363">
        <v>535</v>
      </c>
      <c r="D363">
        <v>1.1000000000000001</v>
      </c>
      <c r="E363">
        <v>42023</v>
      </c>
      <c r="F363">
        <v>15.6</v>
      </c>
      <c r="G363">
        <v>210</v>
      </c>
      <c r="H363">
        <v>65</v>
      </c>
      <c r="I363">
        <v>70</v>
      </c>
      <c r="J363">
        <v>88.1</v>
      </c>
      <c r="K363">
        <v>11.9</v>
      </c>
      <c r="L363">
        <v>72.900000000000006</v>
      </c>
      <c r="M363">
        <v>70.599999999999994</v>
      </c>
      <c r="N363">
        <v>3.2</v>
      </c>
      <c r="T363">
        <f t="shared" si="12"/>
        <v>0</v>
      </c>
      <c r="W363">
        <v>16715</v>
      </c>
      <c r="X363">
        <v>17722</v>
      </c>
      <c r="Y363">
        <v>15283</v>
      </c>
      <c r="Z363">
        <v>14402</v>
      </c>
      <c r="AA363">
        <v>13963</v>
      </c>
      <c r="AB363">
        <v>110</v>
      </c>
      <c r="AC363">
        <v>310</v>
      </c>
      <c r="AD363">
        <v>105</v>
      </c>
      <c r="AE363">
        <v>105</v>
      </c>
      <c r="AF363">
        <v>8.0778574539370709</v>
      </c>
      <c r="AG363">
        <v>0</v>
      </c>
      <c r="AH363">
        <v>0</v>
      </c>
      <c r="AI363">
        <v>0.50486609087106693</v>
      </c>
      <c r="AJ363">
        <v>0.50486609087106693</v>
      </c>
      <c r="AK363">
        <v>0</v>
      </c>
      <c r="AL363">
        <v>0.50486609087106693</v>
      </c>
      <c r="AM363">
        <v>1.5145982726132008</v>
      </c>
      <c r="AN363">
        <v>0</v>
      </c>
      <c r="AO363">
        <v>0.50486609087106693</v>
      </c>
      <c r="AP363">
        <v>0</v>
      </c>
      <c r="AQ363">
        <v>0</v>
      </c>
      <c r="AR363">
        <v>0</v>
      </c>
      <c r="AS363">
        <v>0</v>
      </c>
      <c r="AT363">
        <v>0</v>
      </c>
      <c r="AU363">
        <v>0.50486609087106693</v>
      </c>
      <c r="AV363">
        <v>0</v>
      </c>
      <c r="AW363">
        <v>1.5145982726132008</v>
      </c>
      <c r="AX363">
        <v>1.0097321817421339</v>
      </c>
      <c r="AY363">
        <v>0.50486609087106693</v>
      </c>
    </row>
    <row r="364" spans="1:51">
      <c r="A364" t="s">
        <v>269</v>
      </c>
      <c r="B364">
        <v>1025</v>
      </c>
      <c r="C364">
        <v>1025</v>
      </c>
      <c r="D364">
        <v>1.8</v>
      </c>
      <c r="E364">
        <v>24703</v>
      </c>
      <c r="F364">
        <v>0</v>
      </c>
      <c r="G364">
        <v>320</v>
      </c>
      <c r="H364">
        <v>135</v>
      </c>
      <c r="I364">
        <v>100</v>
      </c>
      <c r="J364">
        <v>3.1</v>
      </c>
      <c r="K364">
        <v>9.4</v>
      </c>
      <c r="L364">
        <v>50</v>
      </c>
      <c r="M364">
        <v>41</v>
      </c>
      <c r="N364">
        <v>17.899999999999999</v>
      </c>
      <c r="T364" t="str">
        <f t="shared" si="12"/>
        <v>Sioux Valley Dakota Nation</v>
      </c>
      <c r="W364">
        <v>12255</v>
      </c>
      <c r="X364">
        <v>11547</v>
      </c>
      <c r="Y364">
        <v>13001</v>
      </c>
      <c r="Z364">
        <v>9632</v>
      </c>
      <c r="AA364">
        <v>10144</v>
      </c>
      <c r="AB364">
        <v>350</v>
      </c>
      <c r="AC364">
        <v>620</v>
      </c>
      <c r="AD364">
        <v>140</v>
      </c>
      <c r="AE364">
        <v>55</v>
      </c>
      <c r="AF364">
        <v>0.4671895169254649</v>
      </c>
      <c r="AG364">
        <v>0</v>
      </c>
      <c r="AH364">
        <v>0</v>
      </c>
      <c r="AI364">
        <v>1.6351633092391271</v>
      </c>
      <c r="AJ364">
        <v>0.9343790338509298</v>
      </c>
      <c r="AK364">
        <v>0</v>
      </c>
      <c r="AL364">
        <v>1.1679737923136622</v>
      </c>
      <c r="AM364">
        <v>0.70078427538819732</v>
      </c>
      <c r="AN364">
        <v>0.4671895169254649</v>
      </c>
      <c r="AO364">
        <v>0</v>
      </c>
      <c r="AP364">
        <v>0</v>
      </c>
      <c r="AQ364">
        <v>0</v>
      </c>
      <c r="AR364">
        <v>0</v>
      </c>
      <c r="AS364">
        <v>0.4671895169254649</v>
      </c>
      <c r="AT364">
        <v>2.1023528261645921</v>
      </c>
      <c r="AU364">
        <v>3.2703266184782542</v>
      </c>
      <c r="AV364">
        <v>0.4671895169254649</v>
      </c>
      <c r="AW364">
        <v>0.4671895169254649</v>
      </c>
      <c r="AX364">
        <v>0</v>
      </c>
      <c r="AY364">
        <v>2.8031371015527893</v>
      </c>
    </row>
    <row r="365" spans="1:51">
      <c r="A365" t="s">
        <v>270</v>
      </c>
      <c r="B365">
        <v>375</v>
      </c>
      <c r="C365">
        <v>375</v>
      </c>
      <c r="D365">
        <v>2.1</v>
      </c>
      <c r="E365">
        <v>27075</v>
      </c>
      <c r="F365">
        <v>0</v>
      </c>
      <c r="G365">
        <v>105</v>
      </c>
      <c r="H365">
        <v>40</v>
      </c>
      <c r="I365">
        <v>40</v>
      </c>
      <c r="J365">
        <v>0</v>
      </c>
      <c r="K365">
        <v>0</v>
      </c>
      <c r="L365">
        <v>43.2</v>
      </c>
      <c r="M365">
        <v>31.8</v>
      </c>
      <c r="N365">
        <v>26.3</v>
      </c>
      <c r="T365" t="str">
        <f t="shared" si="12"/>
        <v>Skownan First Nation</v>
      </c>
      <c r="W365">
        <v>17873</v>
      </c>
      <c r="X365">
        <v>18386</v>
      </c>
      <c r="Y365">
        <v>17259</v>
      </c>
      <c r="Z365">
        <v>9792</v>
      </c>
      <c r="AA365">
        <v>10016</v>
      </c>
      <c r="AB365">
        <v>155</v>
      </c>
      <c r="AC365">
        <v>200</v>
      </c>
      <c r="AD365">
        <v>45</v>
      </c>
      <c r="AE365">
        <v>10</v>
      </c>
      <c r="AF365">
        <v>0</v>
      </c>
      <c r="AG365">
        <v>0</v>
      </c>
      <c r="AH365">
        <v>0</v>
      </c>
      <c r="AI365">
        <v>0</v>
      </c>
      <c r="AJ365">
        <v>0</v>
      </c>
      <c r="AK365">
        <v>0</v>
      </c>
      <c r="AL365">
        <v>0</v>
      </c>
      <c r="AM365">
        <v>0</v>
      </c>
      <c r="AN365">
        <v>0</v>
      </c>
      <c r="AO365">
        <v>0</v>
      </c>
      <c r="AP365">
        <v>0</v>
      </c>
      <c r="AQ365">
        <v>0</v>
      </c>
      <c r="AR365">
        <v>0</v>
      </c>
      <c r="AS365">
        <v>0</v>
      </c>
      <c r="AT365">
        <v>2.4711866553162749</v>
      </c>
      <c r="AU365">
        <v>0</v>
      </c>
      <c r="AV365">
        <v>0</v>
      </c>
      <c r="AW365">
        <v>1.6474577702108499</v>
      </c>
      <c r="AX365">
        <v>0</v>
      </c>
      <c r="AY365">
        <v>7.4135599659488243</v>
      </c>
    </row>
    <row r="366" spans="1:51">
      <c r="A366" t="s">
        <v>448</v>
      </c>
      <c r="B366">
        <v>1205</v>
      </c>
      <c r="C366">
        <v>1200</v>
      </c>
      <c r="D366">
        <v>1.2</v>
      </c>
      <c r="E366">
        <v>72582</v>
      </c>
      <c r="F366">
        <v>0</v>
      </c>
      <c r="G366">
        <v>460</v>
      </c>
      <c r="H366">
        <v>185</v>
      </c>
      <c r="I366">
        <v>40</v>
      </c>
      <c r="J366">
        <v>76.099999999999994</v>
      </c>
      <c r="K366">
        <v>22.8</v>
      </c>
      <c r="L366">
        <v>70.8</v>
      </c>
      <c r="M366">
        <v>66.5</v>
      </c>
      <c r="N366">
        <v>5.3</v>
      </c>
      <c r="T366">
        <f t="shared" si="12"/>
        <v>0</v>
      </c>
      <c r="W366">
        <v>35580</v>
      </c>
      <c r="X366">
        <v>50518</v>
      </c>
      <c r="Y366">
        <v>15162</v>
      </c>
      <c r="Z366">
        <v>52529</v>
      </c>
      <c r="AA366">
        <v>13600</v>
      </c>
      <c r="AB366">
        <v>270</v>
      </c>
      <c r="AC366">
        <v>825</v>
      </c>
      <c r="AD366">
        <v>250</v>
      </c>
      <c r="AE366">
        <v>95</v>
      </c>
      <c r="AF366">
        <v>0.3584163851222078</v>
      </c>
      <c r="AG366">
        <v>7.1683277024441567</v>
      </c>
      <c r="AH366">
        <v>0</v>
      </c>
      <c r="AI366">
        <v>0</v>
      </c>
      <c r="AJ366">
        <v>0</v>
      </c>
      <c r="AK366">
        <v>0.23894425674813854</v>
      </c>
      <c r="AL366">
        <v>2.1504983107332469</v>
      </c>
      <c r="AM366">
        <v>0</v>
      </c>
      <c r="AN366">
        <v>0.23894425674813854</v>
      </c>
      <c r="AO366">
        <v>0.23894425674813854</v>
      </c>
      <c r="AP366">
        <v>0</v>
      </c>
      <c r="AQ366">
        <v>0</v>
      </c>
      <c r="AR366">
        <v>0</v>
      </c>
      <c r="AS366">
        <v>0.23894425674813854</v>
      </c>
      <c r="AT366">
        <v>0.95577702699255418</v>
      </c>
      <c r="AU366">
        <v>0.83630489861848489</v>
      </c>
      <c r="AV366">
        <v>0.71683277024441561</v>
      </c>
      <c r="AW366">
        <v>1.0752491553666235</v>
      </c>
      <c r="AX366">
        <v>0.83630489861848489</v>
      </c>
      <c r="AY366">
        <v>0.3584163851222078</v>
      </c>
    </row>
    <row r="367" spans="1:51">
      <c r="A367" t="s">
        <v>449</v>
      </c>
      <c r="B367">
        <v>455</v>
      </c>
      <c r="C367">
        <v>450</v>
      </c>
      <c r="D367">
        <v>1.2</v>
      </c>
      <c r="E367">
        <v>40812</v>
      </c>
      <c r="F367">
        <v>0</v>
      </c>
      <c r="G367">
        <v>190</v>
      </c>
      <c r="H367">
        <v>50</v>
      </c>
      <c r="I367">
        <v>15</v>
      </c>
      <c r="J367">
        <v>73.7</v>
      </c>
      <c r="K367">
        <v>26.3</v>
      </c>
      <c r="L367">
        <v>49.3</v>
      </c>
      <c r="M367">
        <v>49.3</v>
      </c>
      <c r="N367">
        <v>0</v>
      </c>
      <c r="T367">
        <f t="shared" si="12"/>
        <v>0</v>
      </c>
      <c r="W367">
        <v>20028</v>
      </c>
      <c r="X367">
        <v>19598</v>
      </c>
      <c r="Y367">
        <v>20618</v>
      </c>
      <c r="Z367">
        <v>21827</v>
      </c>
      <c r="AA367">
        <v>12595</v>
      </c>
      <c r="AB367">
        <v>115</v>
      </c>
      <c r="AC367">
        <v>230</v>
      </c>
      <c r="AD367">
        <v>100</v>
      </c>
      <c r="AE367">
        <v>100</v>
      </c>
      <c r="AF367">
        <v>3.3198770217885314</v>
      </c>
      <c r="AG367">
        <v>0</v>
      </c>
      <c r="AH367">
        <v>0</v>
      </c>
      <c r="AI367">
        <v>0.94853629193958033</v>
      </c>
      <c r="AJ367">
        <v>0.94853629193958033</v>
      </c>
      <c r="AK367">
        <v>0</v>
      </c>
      <c r="AL367">
        <v>0</v>
      </c>
      <c r="AM367">
        <v>2.3713407298489511</v>
      </c>
      <c r="AN367">
        <v>0</v>
      </c>
      <c r="AO367">
        <v>0.94853629193958033</v>
      </c>
      <c r="AP367">
        <v>0</v>
      </c>
      <c r="AQ367">
        <v>0</v>
      </c>
      <c r="AR367">
        <v>0</v>
      </c>
      <c r="AS367">
        <v>0</v>
      </c>
      <c r="AT367">
        <v>0</v>
      </c>
      <c r="AU367">
        <v>4.2684133137281108</v>
      </c>
      <c r="AV367">
        <v>0</v>
      </c>
      <c r="AW367">
        <v>0</v>
      </c>
      <c r="AX367">
        <v>2.3713407298489511</v>
      </c>
      <c r="AY367">
        <v>0</v>
      </c>
    </row>
    <row r="368" spans="1:51">
      <c r="A368" t="s">
        <v>450</v>
      </c>
      <c r="B368">
        <v>1675</v>
      </c>
      <c r="C368">
        <v>1675</v>
      </c>
      <c r="D368">
        <v>1</v>
      </c>
      <c r="E368">
        <v>56419</v>
      </c>
      <c r="F368">
        <v>4.3</v>
      </c>
      <c r="G368">
        <v>780</v>
      </c>
      <c r="H368">
        <v>260</v>
      </c>
      <c r="I368">
        <v>95</v>
      </c>
      <c r="J368">
        <v>71.8</v>
      </c>
      <c r="K368">
        <v>28.2</v>
      </c>
      <c r="L368">
        <v>61.6</v>
      </c>
      <c r="M368">
        <v>60.1</v>
      </c>
      <c r="N368">
        <v>2.4</v>
      </c>
      <c r="T368">
        <f t="shared" si="12"/>
        <v>0</v>
      </c>
      <c r="W368">
        <v>24641</v>
      </c>
      <c r="X368">
        <v>30218</v>
      </c>
      <c r="Y368">
        <v>18631</v>
      </c>
      <c r="Z368">
        <v>26709</v>
      </c>
      <c r="AA368">
        <v>15048</v>
      </c>
      <c r="AB368">
        <v>300</v>
      </c>
      <c r="AC368">
        <v>955</v>
      </c>
      <c r="AD368">
        <v>345</v>
      </c>
      <c r="AE368">
        <v>415</v>
      </c>
      <c r="AF368">
        <v>0.64067802174866384</v>
      </c>
      <c r="AG368">
        <v>0.1830508633567611</v>
      </c>
      <c r="AH368">
        <v>0.54915259007028328</v>
      </c>
      <c r="AI368">
        <v>0.45762715839190277</v>
      </c>
      <c r="AJ368">
        <v>1.4644069068540888</v>
      </c>
      <c r="AK368">
        <v>0.64067802174866384</v>
      </c>
      <c r="AL368">
        <v>2.0135594969243722</v>
      </c>
      <c r="AM368">
        <v>0.91525431678380553</v>
      </c>
      <c r="AN368">
        <v>0.1830508633567611</v>
      </c>
      <c r="AO368">
        <v>0.45762715839190277</v>
      </c>
      <c r="AP368">
        <v>0.1830508633567611</v>
      </c>
      <c r="AQ368">
        <v>0.27457629503514164</v>
      </c>
      <c r="AR368">
        <v>0</v>
      </c>
      <c r="AS368">
        <v>0.27457629503514164</v>
      </c>
      <c r="AT368">
        <v>1.4644069068540888</v>
      </c>
      <c r="AU368">
        <v>2.9288138137081776</v>
      </c>
      <c r="AV368">
        <v>0.27457629503514164</v>
      </c>
      <c r="AW368">
        <v>1.4644069068540888</v>
      </c>
      <c r="AX368">
        <v>0.3661017267135222</v>
      </c>
      <c r="AY368">
        <v>1.0067797484621861</v>
      </c>
    </row>
    <row r="369" spans="1:51">
      <c r="A369" t="s">
        <v>765</v>
      </c>
      <c r="B369">
        <v>51555</v>
      </c>
      <c r="C369">
        <v>50115</v>
      </c>
      <c r="D369">
        <v>1.3</v>
      </c>
      <c r="E369">
        <v>51352</v>
      </c>
      <c r="F369">
        <v>9.9</v>
      </c>
      <c r="G369">
        <v>18320</v>
      </c>
      <c r="H369">
        <v>5425</v>
      </c>
      <c r="I369">
        <v>1810</v>
      </c>
      <c r="J369">
        <v>79.599999999999994</v>
      </c>
      <c r="K369">
        <v>19.8</v>
      </c>
      <c r="L369">
        <v>69</v>
      </c>
      <c r="M369">
        <v>66.599999999999994</v>
      </c>
      <c r="N369">
        <v>3.6</v>
      </c>
      <c r="T369">
        <f t="shared" si="12"/>
        <v>0</v>
      </c>
      <c r="AB369">
        <v>0</v>
      </c>
      <c r="AC369">
        <v>0</v>
      </c>
      <c r="AD369">
        <v>0</v>
      </c>
      <c r="AE369">
        <v>0</v>
      </c>
      <c r="AF369">
        <v>2.0621516496597323</v>
      </c>
      <c r="AG369">
        <v>9.9247940357955033E-2</v>
      </c>
      <c r="AH369">
        <v>0.13784436160827088</v>
      </c>
      <c r="AI369">
        <v>1.3729298416183779</v>
      </c>
      <c r="AJ369">
        <v>2.0704223113562286</v>
      </c>
      <c r="AK369">
        <v>0.58170320598690317</v>
      </c>
      <c r="AL369">
        <v>1.4473657968868443</v>
      </c>
      <c r="AM369">
        <v>1.1523788630451446</v>
      </c>
      <c r="AN369">
        <v>0.16541323392992505</v>
      </c>
      <c r="AO369">
        <v>0.40526242312831634</v>
      </c>
      <c r="AP369">
        <v>0.13508747437610544</v>
      </c>
      <c r="AQ369">
        <v>0.34461090402067718</v>
      </c>
      <c r="AR369">
        <v>1.102754892866167E-2</v>
      </c>
      <c r="AS369">
        <v>0.33082646785985009</v>
      </c>
      <c r="AT369">
        <v>1.1854615098311294</v>
      </c>
      <c r="AU369">
        <v>1.5107742032266487</v>
      </c>
      <c r="AV369">
        <v>0.24260607643055673</v>
      </c>
      <c r="AW369">
        <v>0.91804344831108409</v>
      </c>
      <c r="AX369">
        <v>0.82706616964962532</v>
      </c>
      <c r="AY369">
        <v>0.55137744643308351</v>
      </c>
    </row>
    <row r="370" spans="1:51">
      <c r="A370" t="s">
        <v>632</v>
      </c>
      <c r="B370">
        <v>815</v>
      </c>
      <c r="C370">
        <v>585</v>
      </c>
      <c r="D370">
        <v>0.9</v>
      </c>
      <c r="E370">
        <v>44467</v>
      </c>
      <c r="F370">
        <v>10.5</v>
      </c>
      <c r="G370">
        <v>220</v>
      </c>
      <c r="H370">
        <v>75</v>
      </c>
      <c r="I370">
        <v>55</v>
      </c>
      <c r="J370">
        <v>90.9</v>
      </c>
      <c r="K370">
        <v>6.8</v>
      </c>
      <c r="L370">
        <v>72.8</v>
      </c>
      <c r="M370">
        <v>70.400000000000006</v>
      </c>
      <c r="N370">
        <v>3.3</v>
      </c>
      <c r="T370">
        <f t="shared" si="12"/>
        <v>0</v>
      </c>
      <c r="W370">
        <v>17388</v>
      </c>
      <c r="X370">
        <v>20057</v>
      </c>
      <c r="Y370">
        <v>14833</v>
      </c>
      <c r="Z370">
        <v>20414</v>
      </c>
      <c r="AA370">
        <v>12093</v>
      </c>
      <c r="AB370">
        <v>180</v>
      </c>
      <c r="AC370">
        <v>560</v>
      </c>
      <c r="AD370">
        <v>255</v>
      </c>
      <c r="AE370">
        <v>55</v>
      </c>
      <c r="AF370">
        <v>7.5674433840454434</v>
      </c>
      <c r="AG370">
        <v>0</v>
      </c>
      <c r="AH370">
        <v>0</v>
      </c>
      <c r="AI370">
        <v>0.51596204891218933</v>
      </c>
      <c r="AJ370">
        <v>0.68794939854958581</v>
      </c>
      <c r="AK370">
        <v>0.68794939854958581</v>
      </c>
      <c r="AL370">
        <v>1.2039114474617751</v>
      </c>
      <c r="AM370">
        <v>0.51596204891218933</v>
      </c>
      <c r="AN370">
        <v>0.68794939854958581</v>
      </c>
      <c r="AO370">
        <v>0.85993674818698218</v>
      </c>
      <c r="AP370">
        <v>0</v>
      </c>
      <c r="AQ370">
        <v>0</v>
      </c>
      <c r="AR370">
        <v>0</v>
      </c>
      <c r="AS370">
        <v>0</v>
      </c>
      <c r="AT370">
        <v>0.68794939854958581</v>
      </c>
      <c r="AU370">
        <v>1.5478861467365679</v>
      </c>
      <c r="AV370">
        <v>0</v>
      </c>
      <c r="AW370">
        <v>0.51596204891218933</v>
      </c>
      <c r="AX370">
        <v>0.34397469927479291</v>
      </c>
      <c r="AY370">
        <v>0</v>
      </c>
    </row>
    <row r="371" spans="1:51">
      <c r="A371" t="s">
        <v>766</v>
      </c>
      <c r="B371">
        <v>53445</v>
      </c>
      <c r="C371">
        <v>52780</v>
      </c>
      <c r="D371">
        <v>1.4</v>
      </c>
      <c r="E371">
        <v>54778</v>
      </c>
      <c r="F371">
        <v>8.1999999999999993</v>
      </c>
      <c r="G371">
        <v>18000</v>
      </c>
      <c r="H371">
        <v>5500</v>
      </c>
      <c r="I371">
        <v>1830</v>
      </c>
      <c r="J371">
        <v>82.8</v>
      </c>
      <c r="K371">
        <v>17.2</v>
      </c>
      <c r="L371">
        <v>71.5</v>
      </c>
      <c r="M371">
        <v>68.7</v>
      </c>
      <c r="N371">
        <v>3.9</v>
      </c>
      <c r="T371">
        <f t="shared" si="12"/>
        <v>0</v>
      </c>
      <c r="W371">
        <v>24165</v>
      </c>
      <c r="X371">
        <v>29076</v>
      </c>
      <c r="Y371">
        <v>17995</v>
      </c>
      <c r="Z371">
        <v>26546</v>
      </c>
      <c r="AA371">
        <v>14261</v>
      </c>
      <c r="AB371">
        <v>13750</v>
      </c>
      <c r="AC371">
        <v>34180</v>
      </c>
      <c r="AD371">
        <v>11155</v>
      </c>
      <c r="AE371">
        <v>5535</v>
      </c>
      <c r="AF371">
        <v>3.4599057473790182</v>
      </c>
      <c r="AG371">
        <v>1.1610421971070531E-2</v>
      </c>
      <c r="AH371">
        <v>7.2565137319190814E-2</v>
      </c>
      <c r="AI371">
        <v>0.87078164783028977</v>
      </c>
      <c r="AJ371">
        <v>2.3162791832285707</v>
      </c>
      <c r="AK371">
        <v>0.68791750178592892</v>
      </c>
      <c r="AL371">
        <v>1.5674069660945216</v>
      </c>
      <c r="AM371">
        <v>0.56891067658245598</v>
      </c>
      <c r="AN371">
        <v>0.15674069660945217</v>
      </c>
      <c r="AO371">
        <v>0.36863089758148937</v>
      </c>
      <c r="AP371">
        <v>9.2883375768564244E-2</v>
      </c>
      <c r="AQ371">
        <v>0.31057878772613673</v>
      </c>
      <c r="AR371">
        <v>8.7078164783028975E-3</v>
      </c>
      <c r="AS371">
        <v>0.3047735767406014</v>
      </c>
      <c r="AT371">
        <v>0.91432073022180427</v>
      </c>
      <c r="AU371">
        <v>1.8112258274870028</v>
      </c>
      <c r="AV371">
        <v>0.1596433021022198</v>
      </c>
      <c r="AW371">
        <v>0.69662531826423191</v>
      </c>
      <c r="AX371">
        <v>0.72565137319190809</v>
      </c>
      <c r="AY371">
        <v>0.4237804019440744</v>
      </c>
    </row>
    <row r="372" spans="1:51">
      <c r="A372" t="s">
        <v>640</v>
      </c>
      <c r="B372">
        <v>1245</v>
      </c>
      <c r="C372">
        <v>1080</v>
      </c>
      <c r="D372">
        <v>1.4</v>
      </c>
      <c r="E372">
        <v>55914</v>
      </c>
      <c r="F372">
        <v>10.199999999999999</v>
      </c>
      <c r="G372">
        <v>390</v>
      </c>
      <c r="H372">
        <v>110</v>
      </c>
      <c r="I372">
        <v>65</v>
      </c>
      <c r="J372">
        <v>88.5</v>
      </c>
      <c r="K372">
        <v>10.3</v>
      </c>
      <c r="L372">
        <v>64.2</v>
      </c>
      <c r="M372">
        <v>61</v>
      </c>
      <c r="N372">
        <v>5</v>
      </c>
      <c r="T372">
        <f t="shared" si="12"/>
        <v>0</v>
      </c>
      <c r="W372">
        <v>21533</v>
      </c>
      <c r="X372">
        <v>23810</v>
      </c>
      <c r="Y372">
        <v>18518</v>
      </c>
      <c r="Z372">
        <v>23385</v>
      </c>
      <c r="AA372">
        <v>18778</v>
      </c>
      <c r="AB372">
        <v>300</v>
      </c>
      <c r="AC372">
        <v>780</v>
      </c>
      <c r="AD372">
        <v>295</v>
      </c>
      <c r="AE372">
        <v>135</v>
      </c>
      <c r="AF372">
        <v>6.7820344873679996</v>
      </c>
      <c r="AG372">
        <v>0.26084748028338456</v>
      </c>
      <c r="AH372">
        <v>0</v>
      </c>
      <c r="AI372">
        <v>1.825932361983692</v>
      </c>
      <c r="AJ372">
        <v>0.65211870070846145</v>
      </c>
      <c r="AK372">
        <v>0.39127122042507689</v>
      </c>
      <c r="AL372">
        <v>1.3042374014169229</v>
      </c>
      <c r="AM372">
        <v>0.39127122042507689</v>
      </c>
      <c r="AN372">
        <v>0</v>
      </c>
      <c r="AO372">
        <v>0</v>
      </c>
      <c r="AP372">
        <v>0</v>
      </c>
      <c r="AQ372">
        <v>0</v>
      </c>
      <c r="AR372">
        <v>0</v>
      </c>
      <c r="AS372">
        <v>0</v>
      </c>
      <c r="AT372">
        <v>0.39127122042507689</v>
      </c>
      <c r="AU372">
        <v>2.3476273225504611</v>
      </c>
      <c r="AV372">
        <v>0</v>
      </c>
      <c r="AW372">
        <v>0.26084748028338456</v>
      </c>
      <c r="AX372">
        <v>0.78254244085015379</v>
      </c>
      <c r="AY372">
        <v>0</v>
      </c>
    </row>
    <row r="373" spans="1:51">
      <c r="A373" t="s">
        <v>570</v>
      </c>
      <c r="B373">
        <v>85950</v>
      </c>
      <c r="C373">
        <v>84725</v>
      </c>
      <c r="D373">
        <v>1.2</v>
      </c>
      <c r="E373">
        <v>55888</v>
      </c>
      <c r="F373">
        <v>7.9</v>
      </c>
      <c r="G373">
        <v>30355</v>
      </c>
      <c r="H373">
        <v>9485</v>
      </c>
      <c r="I373">
        <v>3270</v>
      </c>
      <c r="J373">
        <v>83.9</v>
      </c>
      <c r="K373">
        <v>15.6</v>
      </c>
      <c r="L373">
        <v>69.8</v>
      </c>
      <c r="M373">
        <v>66.7</v>
      </c>
      <c r="N373">
        <v>4.4000000000000004</v>
      </c>
      <c r="T373">
        <f t="shared" si="12"/>
        <v>0</v>
      </c>
      <c r="AB373">
        <v>0</v>
      </c>
      <c r="AC373">
        <v>0</v>
      </c>
      <c r="AD373">
        <v>0</v>
      </c>
      <c r="AE373">
        <v>0</v>
      </c>
      <c r="AF373">
        <v>1.8127801484421151</v>
      </c>
      <c r="AG373">
        <v>0.19000811754209138</v>
      </c>
      <c r="AH373">
        <v>0.2499205870373454</v>
      </c>
      <c r="AI373">
        <v>1.2564500745576133</v>
      </c>
      <c r="AJ373">
        <v>1.9291815177471798</v>
      </c>
      <c r="AK373">
        <v>0.5323650860864001</v>
      </c>
      <c r="AL373">
        <v>1.4806938889541355</v>
      </c>
      <c r="AM373">
        <v>1.092118729656345</v>
      </c>
      <c r="AN373">
        <v>0.18829633269936982</v>
      </c>
      <c r="AO373">
        <v>0.43308156520855057</v>
      </c>
      <c r="AP373">
        <v>0.14550171163133122</v>
      </c>
      <c r="AQ373">
        <v>0.48101154080475383</v>
      </c>
      <c r="AR373">
        <v>5.1353545281646309E-3</v>
      </c>
      <c r="AS373">
        <v>0.35262767760063801</v>
      </c>
      <c r="AT373">
        <v>1.0972540841845095</v>
      </c>
      <c r="AU373">
        <v>1.6005188279446434</v>
      </c>
      <c r="AV373">
        <v>0.25847951125095309</v>
      </c>
      <c r="AW373">
        <v>0.89183990305792438</v>
      </c>
      <c r="AX373">
        <v>0.74804997626931469</v>
      </c>
      <c r="AY373">
        <v>0.77886210343830242</v>
      </c>
    </row>
    <row r="374" spans="1:51">
      <c r="A374" t="s">
        <v>572</v>
      </c>
      <c r="B374">
        <v>101325</v>
      </c>
      <c r="C374">
        <v>99120</v>
      </c>
      <c r="D374">
        <v>1</v>
      </c>
      <c r="E374">
        <v>52147</v>
      </c>
      <c r="F374">
        <v>11.6</v>
      </c>
      <c r="G374">
        <v>41495</v>
      </c>
      <c r="H374">
        <v>13570</v>
      </c>
      <c r="I374">
        <v>4235</v>
      </c>
      <c r="J374">
        <v>72.099999999999994</v>
      </c>
      <c r="K374">
        <v>26.3</v>
      </c>
      <c r="L374">
        <v>67.3</v>
      </c>
      <c r="M374">
        <v>64.2</v>
      </c>
      <c r="N374">
        <v>4.5999999999999996</v>
      </c>
      <c r="T374">
        <f t="shared" si="12"/>
        <v>0</v>
      </c>
      <c r="AB374">
        <v>0</v>
      </c>
      <c r="AC374">
        <v>0</v>
      </c>
      <c r="AD374">
        <v>0</v>
      </c>
      <c r="AE374">
        <v>0</v>
      </c>
      <c r="AF374">
        <v>2.6103882264926273</v>
      </c>
      <c r="AG374">
        <v>0.11337035178280239</v>
      </c>
      <c r="AH374">
        <v>0.19229907770753824</v>
      </c>
      <c r="AI374">
        <v>0.76776124308606686</v>
      </c>
      <c r="AJ374">
        <v>1.2585544115635152</v>
      </c>
      <c r="AK374">
        <v>0.68022211069681437</v>
      </c>
      <c r="AL374">
        <v>1.5599186378215975</v>
      </c>
      <c r="AM374">
        <v>0.7261442785075698</v>
      </c>
      <c r="AN374">
        <v>0.26692260040001575</v>
      </c>
      <c r="AO374">
        <v>0.47931262652475948</v>
      </c>
      <c r="AP374">
        <v>0.13776650343226621</v>
      </c>
      <c r="AQ374">
        <v>0.30853956497851287</v>
      </c>
      <c r="AR374">
        <v>1.2915609696774957E-2</v>
      </c>
      <c r="AS374">
        <v>0.38746829090324869</v>
      </c>
      <c r="AT374">
        <v>1.162404872709746</v>
      </c>
      <c r="AU374">
        <v>1.9588674706775351</v>
      </c>
      <c r="AV374">
        <v>0.18225360349893552</v>
      </c>
      <c r="AW374">
        <v>1.0648202661118911</v>
      </c>
      <c r="AX374">
        <v>0.69170265264950326</v>
      </c>
      <c r="AY374">
        <v>0.95862525304951895</v>
      </c>
    </row>
    <row r="375" spans="1:51">
      <c r="A375" t="s">
        <v>271</v>
      </c>
      <c r="B375">
        <v>44</v>
      </c>
      <c r="C375" s="102"/>
      <c r="D375" s="102"/>
      <c r="E375" s="102"/>
      <c r="F375" s="102"/>
      <c r="G375" s="102"/>
      <c r="H375" s="102"/>
      <c r="I375" s="102"/>
      <c r="J375" s="102"/>
      <c r="K375" s="102"/>
      <c r="L375" s="102"/>
      <c r="M375" s="102"/>
      <c r="N375" s="102"/>
      <c r="T375">
        <f t="shared" si="12"/>
        <v>0</v>
      </c>
      <c r="AB375">
        <v>0</v>
      </c>
      <c r="AC375">
        <v>0</v>
      </c>
      <c r="AD375">
        <v>0</v>
      </c>
      <c r="AE375">
        <v>0</v>
      </c>
      <c r="AF375" t="e">
        <v>#N/A</v>
      </c>
      <c r="AG375" t="e">
        <v>#N/A</v>
      </c>
      <c r="AH375" t="e">
        <v>#N/A</v>
      </c>
      <c r="AI375" t="e">
        <v>#N/A</v>
      </c>
      <c r="AJ375" t="e">
        <v>#N/A</v>
      </c>
      <c r="AK375" t="e">
        <v>#N/A</v>
      </c>
      <c r="AL375" t="e">
        <v>#N/A</v>
      </c>
      <c r="AM375" t="e">
        <v>#N/A</v>
      </c>
      <c r="AN375" t="e">
        <v>#N/A</v>
      </c>
      <c r="AO375" t="e">
        <v>#N/A</v>
      </c>
      <c r="AP375" t="e">
        <v>#N/A</v>
      </c>
      <c r="AQ375" t="e">
        <v>#N/A</v>
      </c>
      <c r="AR375" t="e">
        <v>#N/A</v>
      </c>
      <c r="AS375" t="e">
        <v>#N/A</v>
      </c>
      <c r="AT375" t="e">
        <v>#N/A</v>
      </c>
      <c r="AU375" t="e">
        <v>#N/A</v>
      </c>
      <c r="AV375" t="e">
        <v>#N/A</v>
      </c>
      <c r="AW375" t="e">
        <v>#N/A</v>
      </c>
      <c r="AX375" t="e">
        <v>#N/A</v>
      </c>
      <c r="AY375" t="e">
        <v>#N/A</v>
      </c>
    </row>
    <row r="376" spans="1:51">
      <c r="A376" t="s">
        <v>654</v>
      </c>
      <c r="B376">
        <v>12560</v>
      </c>
      <c r="C376">
        <v>12280</v>
      </c>
      <c r="D376">
        <v>1.2</v>
      </c>
      <c r="E376">
        <v>66526</v>
      </c>
      <c r="F376">
        <v>5.9</v>
      </c>
      <c r="G376">
        <v>4230</v>
      </c>
      <c r="H376">
        <v>1325</v>
      </c>
      <c r="I376">
        <v>450</v>
      </c>
      <c r="J376">
        <v>93.6</v>
      </c>
      <c r="K376">
        <v>6.4</v>
      </c>
      <c r="L376">
        <v>77</v>
      </c>
      <c r="M376">
        <v>74.3</v>
      </c>
      <c r="N376">
        <v>3.5</v>
      </c>
      <c r="T376">
        <f t="shared" si="12"/>
        <v>0</v>
      </c>
      <c r="W376">
        <v>29466</v>
      </c>
      <c r="X376">
        <v>35948</v>
      </c>
      <c r="Y376">
        <v>22064</v>
      </c>
      <c r="Z376">
        <v>32404</v>
      </c>
      <c r="AA376">
        <v>18161</v>
      </c>
      <c r="AB376">
        <v>2820</v>
      </c>
      <c r="AC376">
        <v>8665</v>
      </c>
      <c r="AD376">
        <v>3365</v>
      </c>
      <c r="AE376">
        <v>1085</v>
      </c>
      <c r="AF376">
        <v>1.1268611148242214</v>
      </c>
      <c r="AG376">
        <v>0.10433899211335385</v>
      </c>
      <c r="AH376">
        <v>0.39648817003074455</v>
      </c>
      <c r="AI376">
        <v>1.0538238203448735</v>
      </c>
      <c r="AJ376">
        <v>1.8468001604063629</v>
      </c>
      <c r="AK376">
        <v>0.68863734794813525</v>
      </c>
      <c r="AL376">
        <v>1.3459729982622644</v>
      </c>
      <c r="AM376">
        <v>1.1790306108808983</v>
      </c>
      <c r="AN376">
        <v>0.30258307712872612</v>
      </c>
      <c r="AO376">
        <v>0.62603395268012307</v>
      </c>
      <c r="AP376">
        <v>0.21911188343804305</v>
      </c>
      <c r="AQ376">
        <v>0.79297634006148909</v>
      </c>
      <c r="AR376">
        <v>0</v>
      </c>
      <c r="AS376">
        <v>0.39648817003074455</v>
      </c>
      <c r="AT376">
        <v>0.97035262665419064</v>
      </c>
      <c r="AU376">
        <v>1.6381221761796554</v>
      </c>
      <c r="AV376">
        <v>0.36518647239673846</v>
      </c>
      <c r="AW376">
        <v>0.55299665820077537</v>
      </c>
      <c r="AX376">
        <v>0.67820344873679994</v>
      </c>
      <c r="AY376">
        <v>1.2312001069375751</v>
      </c>
    </row>
    <row r="377" spans="1:51">
      <c r="A377" t="s">
        <v>657</v>
      </c>
      <c r="B377">
        <v>10690</v>
      </c>
      <c r="C377">
        <v>10600</v>
      </c>
      <c r="D377">
        <v>1.1000000000000001</v>
      </c>
      <c r="E377">
        <v>68706</v>
      </c>
      <c r="F377">
        <v>3.3</v>
      </c>
      <c r="G377">
        <v>3720</v>
      </c>
      <c r="H377">
        <v>1225</v>
      </c>
      <c r="I377">
        <v>475</v>
      </c>
      <c r="J377">
        <v>96</v>
      </c>
      <c r="K377">
        <v>3.9</v>
      </c>
      <c r="L377">
        <v>72.900000000000006</v>
      </c>
      <c r="M377">
        <v>69.900000000000006</v>
      </c>
      <c r="N377">
        <v>4.0999999999999996</v>
      </c>
      <c r="T377">
        <f t="shared" si="12"/>
        <v>0</v>
      </c>
      <c r="W377">
        <v>29486</v>
      </c>
      <c r="X377">
        <v>34557</v>
      </c>
      <c r="Y377">
        <v>23459</v>
      </c>
      <c r="Z377">
        <v>33113</v>
      </c>
      <c r="AA377">
        <v>19205</v>
      </c>
      <c r="AB377">
        <v>2160</v>
      </c>
      <c r="AC377">
        <v>7420</v>
      </c>
      <c r="AD377">
        <v>3155</v>
      </c>
      <c r="AE377">
        <v>1100</v>
      </c>
      <c r="AF377">
        <v>0.69251543438066698</v>
      </c>
      <c r="AG377">
        <v>7.5547138296072763E-2</v>
      </c>
      <c r="AH377">
        <v>0.26441498403625469</v>
      </c>
      <c r="AI377">
        <v>1.196163023021152</v>
      </c>
      <c r="AJ377">
        <v>2.0271815442779526</v>
      </c>
      <c r="AK377">
        <v>0.75547138296072769</v>
      </c>
      <c r="AL377">
        <v>1.77535774995771</v>
      </c>
      <c r="AM377">
        <v>1.0198863669969824</v>
      </c>
      <c r="AN377">
        <v>0.27700617375226683</v>
      </c>
      <c r="AO377">
        <v>0.46587401949244878</v>
      </c>
      <c r="AP377">
        <v>0.23923260460423043</v>
      </c>
      <c r="AQ377">
        <v>0.56660353722054579</v>
      </c>
      <c r="AR377">
        <v>2.5182379432024254E-2</v>
      </c>
      <c r="AS377">
        <v>0.46587401949244878</v>
      </c>
      <c r="AT377">
        <v>0.84360971097281257</v>
      </c>
      <c r="AU377">
        <v>1.8509048882537829</v>
      </c>
      <c r="AV377">
        <v>0.31477974290030319</v>
      </c>
      <c r="AW377">
        <v>0.73028900352870352</v>
      </c>
      <c r="AX377">
        <v>0.80583614182477614</v>
      </c>
      <c r="AY377">
        <v>1.2087542127371642</v>
      </c>
    </row>
    <row r="378" spans="1:51">
      <c r="A378" t="s">
        <v>429</v>
      </c>
      <c r="B378">
        <v>540</v>
      </c>
      <c r="C378">
        <v>540</v>
      </c>
      <c r="D378">
        <v>1</v>
      </c>
      <c r="E378">
        <v>50005</v>
      </c>
      <c r="F378">
        <v>0</v>
      </c>
      <c r="G378">
        <v>245</v>
      </c>
      <c r="H378">
        <v>50</v>
      </c>
      <c r="I378">
        <v>40</v>
      </c>
      <c r="J378">
        <v>71.400000000000006</v>
      </c>
      <c r="K378">
        <v>28.6</v>
      </c>
      <c r="L378">
        <v>55.4</v>
      </c>
      <c r="M378">
        <v>52.2</v>
      </c>
      <c r="N378">
        <v>7.8</v>
      </c>
      <c r="T378">
        <f t="shared" si="12"/>
        <v>0</v>
      </c>
      <c r="W378">
        <v>24126</v>
      </c>
      <c r="X378">
        <v>27496</v>
      </c>
      <c r="Y378">
        <v>20219</v>
      </c>
      <c r="Z378">
        <v>24663</v>
      </c>
      <c r="AA378">
        <v>17170</v>
      </c>
      <c r="AB378">
        <v>80</v>
      </c>
      <c r="AC378">
        <v>320</v>
      </c>
      <c r="AD378">
        <v>150</v>
      </c>
      <c r="AE378">
        <v>140</v>
      </c>
      <c r="AF378">
        <v>0.9029335855963313</v>
      </c>
      <c r="AG378">
        <v>0</v>
      </c>
      <c r="AH378">
        <v>0</v>
      </c>
      <c r="AI378">
        <v>0.9029335855963313</v>
      </c>
      <c r="AJ378">
        <v>3.0097786186544377</v>
      </c>
      <c r="AK378">
        <v>0</v>
      </c>
      <c r="AL378">
        <v>0.60195572373088757</v>
      </c>
      <c r="AM378">
        <v>1.2039114474617751</v>
      </c>
      <c r="AN378">
        <v>0</v>
      </c>
      <c r="AO378">
        <v>0</v>
      </c>
      <c r="AP378">
        <v>0</v>
      </c>
      <c r="AQ378">
        <v>0</v>
      </c>
      <c r="AR378">
        <v>0</v>
      </c>
      <c r="AS378">
        <v>0.9029335855963313</v>
      </c>
      <c r="AT378">
        <v>1.8058671711926626</v>
      </c>
      <c r="AU378">
        <v>3.0097786186544377</v>
      </c>
      <c r="AV378">
        <v>0</v>
      </c>
      <c r="AW378">
        <v>1.5048893093272189</v>
      </c>
      <c r="AX378">
        <v>0</v>
      </c>
      <c r="AY378">
        <v>0</v>
      </c>
    </row>
    <row r="379" spans="1:51">
      <c r="A379" t="s">
        <v>659</v>
      </c>
      <c r="B379">
        <v>9115</v>
      </c>
      <c r="C379">
        <v>9025</v>
      </c>
      <c r="D379">
        <v>1.1000000000000001</v>
      </c>
      <c r="E379">
        <v>66182</v>
      </c>
      <c r="F379">
        <v>4.2</v>
      </c>
      <c r="G379">
        <v>3310</v>
      </c>
      <c r="H379">
        <v>980</v>
      </c>
      <c r="I379">
        <v>475</v>
      </c>
      <c r="J379">
        <v>95.9</v>
      </c>
      <c r="K379">
        <v>4.0999999999999996</v>
      </c>
      <c r="L379">
        <v>73.2</v>
      </c>
      <c r="M379">
        <v>68.900000000000006</v>
      </c>
      <c r="N379">
        <v>5.9</v>
      </c>
      <c r="T379">
        <f t="shared" si="12"/>
        <v>0</v>
      </c>
      <c r="W379">
        <v>30230</v>
      </c>
      <c r="X379">
        <v>36803</v>
      </c>
      <c r="Y379">
        <v>22245</v>
      </c>
      <c r="Z379">
        <v>31385</v>
      </c>
      <c r="AA379">
        <v>17847</v>
      </c>
      <c r="AB379">
        <v>1895</v>
      </c>
      <c r="AC379">
        <v>6295</v>
      </c>
      <c r="AD379">
        <v>2545</v>
      </c>
      <c r="AE379">
        <v>920</v>
      </c>
      <c r="AF379">
        <v>0.96335717150113631</v>
      </c>
      <c r="AG379">
        <v>0</v>
      </c>
      <c r="AH379">
        <v>0.37052198903889855</v>
      </c>
      <c r="AI379">
        <v>1.4079835583478146</v>
      </c>
      <c r="AJ379">
        <v>1.7933264269482689</v>
      </c>
      <c r="AK379">
        <v>0.75586485763935307</v>
      </c>
      <c r="AL379">
        <v>1.3635209196631468</v>
      </c>
      <c r="AM379">
        <v>1.1412077262398077</v>
      </c>
      <c r="AN379">
        <v>0.22231319342333913</v>
      </c>
      <c r="AO379">
        <v>0.54837254377756983</v>
      </c>
      <c r="AP379">
        <v>0.23713407298489508</v>
      </c>
      <c r="AQ379">
        <v>0.50390990509290201</v>
      </c>
      <c r="AR379">
        <v>2.9641759123111885E-2</v>
      </c>
      <c r="AS379">
        <v>0.42980550728512235</v>
      </c>
      <c r="AT379">
        <v>0.72622309851624123</v>
      </c>
      <c r="AU379">
        <v>2.0008187408100522</v>
      </c>
      <c r="AV379">
        <v>0.35570110947734263</v>
      </c>
      <c r="AW379">
        <v>0.77068573720090894</v>
      </c>
      <c r="AX379">
        <v>0.65211870070846145</v>
      </c>
      <c r="AY379">
        <v>1.1560286058013636</v>
      </c>
    </row>
    <row r="380" spans="1:51">
      <c r="A380" t="s">
        <v>652</v>
      </c>
      <c r="B380">
        <v>1025</v>
      </c>
      <c r="C380">
        <v>1020</v>
      </c>
      <c r="D380">
        <v>1.2</v>
      </c>
      <c r="E380">
        <v>73297</v>
      </c>
      <c r="F380">
        <v>6.3</v>
      </c>
      <c r="G380">
        <v>350</v>
      </c>
      <c r="H380">
        <v>95</v>
      </c>
      <c r="I380">
        <v>10</v>
      </c>
      <c r="J380">
        <v>101.4</v>
      </c>
      <c r="K380">
        <v>0</v>
      </c>
      <c r="L380">
        <v>79.400000000000006</v>
      </c>
      <c r="M380">
        <v>73.099999999999994</v>
      </c>
      <c r="N380">
        <v>8.6999999999999993</v>
      </c>
      <c r="T380">
        <f t="shared" si="12"/>
        <v>0</v>
      </c>
      <c r="W380">
        <v>33174</v>
      </c>
      <c r="X380">
        <v>44743</v>
      </c>
      <c r="Y380">
        <v>21085</v>
      </c>
      <c r="Z380">
        <v>36783</v>
      </c>
      <c r="AA380">
        <v>16172</v>
      </c>
      <c r="AB380">
        <v>225</v>
      </c>
      <c r="AC380">
        <v>715</v>
      </c>
      <c r="AD380">
        <v>280</v>
      </c>
      <c r="AE380">
        <v>75</v>
      </c>
      <c r="AF380">
        <v>1.3555853306065655</v>
      </c>
      <c r="AG380">
        <v>0</v>
      </c>
      <c r="AH380">
        <v>0</v>
      </c>
      <c r="AI380">
        <v>0.98588024044113853</v>
      </c>
      <c r="AJ380">
        <v>0.73941018033085393</v>
      </c>
      <c r="AK380">
        <v>0.61617515027571157</v>
      </c>
      <c r="AL380">
        <v>1.6020553907168502</v>
      </c>
      <c r="AM380">
        <v>0.49294012022056927</v>
      </c>
      <c r="AN380">
        <v>0.36970509016542696</v>
      </c>
      <c r="AO380">
        <v>0.73941018033085393</v>
      </c>
      <c r="AP380">
        <v>0</v>
      </c>
      <c r="AQ380">
        <v>0.49294012022056927</v>
      </c>
      <c r="AR380">
        <v>0</v>
      </c>
      <c r="AS380">
        <v>0.36970509016542696</v>
      </c>
      <c r="AT380">
        <v>0.98588024044113853</v>
      </c>
      <c r="AU380">
        <v>1.7252904207719926</v>
      </c>
      <c r="AV380">
        <v>0.36970509016542696</v>
      </c>
      <c r="AW380">
        <v>0.73941018033085393</v>
      </c>
      <c r="AX380">
        <v>1.4788203606617079</v>
      </c>
      <c r="AY380">
        <v>2.3414655710477041</v>
      </c>
    </row>
    <row r="381" spans="1:51">
      <c r="A381" t="s">
        <v>432</v>
      </c>
      <c r="B381">
        <v>1155</v>
      </c>
      <c r="C381">
        <v>1150</v>
      </c>
      <c r="D381">
        <v>1.1000000000000001</v>
      </c>
      <c r="E381">
        <v>41795</v>
      </c>
      <c r="F381">
        <v>15.9</v>
      </c>
      <c r="G381">
        <v>430</v>
      </c>
      <c r="H381">
        <v>140</v>
      </c>
      <c r="I381">
        <v>95</v>
      </c>
      <c r="J381">
        <v>83.7</v>
      </c>
      <c r="K381">
        <v>15.1</v>
      </c>
      <c r="L381">
        <v>61</v>
      </c>
      <c r="M381">
        <v>45.2</v>
      </c>
      <c r="N381">
        <v>25.9</v>
      </c>
      <c r="T381">
        <f t="shared" si="12"/>
        <v>0</v>
      </c>
      <c r="W381">
        <v>19768</v>
      </c>
      <c r="X381">
        <v>25518</v>
      </c>
      <c r="Y381">
        <v>12642</v>
      </c>
      <c r="Z381">
        <v>21293</v>
      </c>
      <c r="AA381">
        <v>11474</v>
      </c>
      <c r="AB381">
        <v>265</v>
      </c>
      <c r="AC381">
        <v>715</v>
      </c>
      <c r="AD381">
        <v>295</v>
      </c>
      <c r="AE381">
        <v>160</v>
      </c>
      <c r="AF381">
        <v>2.7533900696579483</v>
      </c>
      <c r="AG381">
        <v>0.2898305336482051</v>
      </c>
      <c r="AH381">
        <v>0</v>
      </c>
      <c r="AI381">
        <v>3.3330511369543587</v>
      </c>
      <c r="AJ381">
        <v>1.7389832018892304</v>
      </c>
      <c r="AK381">
        <v>0.2898305336482051</v>
      </c>
      <c r="AL381">
        <v>0.7245763341205127</v>
      </c>
      <c r="AM381">
        <v>0.4347458004723076</v>
      </c>
      <c r="AN381">
        <v>0</v>
      </c>
      <c r="AO381">
        <v>0</v>
      </c>
      <c r="AP381">
        <v>0.2898305336482051</v>
      </c>
      <c r="AQ381">
        <v>0</v>
      </c>
      <c r="AR381">
        <v>0</v>
      </c>
      <c r="AS381">
        <v>0.2898305336482051</v>
      </c>
      <c r="AT381">
        <v>1.4491526682410254</v>
      </c>
      <c r="AU381">
        <v>1.4491526682410254</v>
      </c>
      <c r="AV381">
        <v>0.2898305336482051</v>
      </c>
      <c r="AW381">
        <v>1.1593221345928204</v>
      </c>
      <c r="AX381">
        <v>0.5796610672964102</v>
      </c>
      <c r="AY381">
        <v>0.7245763341205127</v>
      </c>
    </row>
    <row r="382" spans="1:51">
      <c r="A382" t="s">
        <v>437</v>
      </c>
      <c r="B382">
        <v>265</v>
      </c>
      <c r="C382">
        <v>260</v>
      </c>
      <c r="D382">
        <v>1.4</v>
      </c>
      <c r="E382">
        <v>46026</v>
      </c>
      <c r="F382">
        <v>0</v>
      </c>
      <c r="G382">
        <v>90</v>
      </c>
      <c r="H382">
        <v>20</v>
      </c>
      <c r="I382">
        <v>10</v>
      </c>
      <c r="J382">
        <v>72.2</v>
      </c>
      <c r="K382">
        <v>33.299999999999997</v>
      </c>
      <c r="L382">
        <v>64.099999999999994</v>
      </c>
      <c r="M382">
        <v>56.4</v>
      </c>
      <c r="N382">
        <v>8</v>
      </c>
      <c r="T382">
        <f t="shared" si="12"/>
        <v>0</v>
      </c>
      <c r="W382">
        <v>23479</v>
      </c>
      <c r="X382">
        <v>30783</v>
      </c>
      <c r="Y382">
        <v>12854</v>
      </c>
      <c r="Z382">
        <v>26560</v>
      </c>
      <c r="AA382">
        <v>11296</v>
      </c>
      <c r="AB382">
        <v>70</v>
      </c>
      <c r="AC382">
        <v>145</v>
      </c>
      <c r="AD382">
        <v>30</v>
      </c>
      <c r="AE382">
        <v>45</v>
      </c>
      <c r="AF382">
        <v>1.2520679053602461</v>
      </c>
      <c r="AG382">
        <v>2.5041358107204923</v>
      </c>
      <c r="AH382">
        <v>0</v>
      </c>
      <c r="AI382">
        <v>1.2520679053602461</v>
      </c>
      <c r="AJ382">
        <v>1.2520679053602461</v>
      </c>
      <c r="AK382">
        <v>0</v>
      </c>
      <c r="AL382">
        <v>1.878101858040369</v>
      </c>
      <c r="AM382">
        <v>1.878101858040369</v>
      </c>
      <c r="AN382">
        <v>0</v>
      </c>
      <c r="AO382">
        <v>1.2520679053602461</v>
      </c>
      <c r="AP382">
        <v>0</v>
      </c>
      <c r="AQ382">
        <v>0</v>
      </c>
      <c r="AR382">
        <v>0</v>
      </c>
      <c r="AS382">
        <v>1.2520679053602461</v>
      </c>
      <c r="AT382">
        <v>1.878101858040369</v>
      </c>
      <c r="AU382">
        <v>1.2520679053602461</v>
      </c>
      <c r="AV382">
        <v>0</v>
      </c>
      <c r="AW382">
        <v>1.2520679053602461</v>
      </c>
      <c r="AX382">
        <v>1.2520679053602461</v>
      </c>
      <c r="AY382">
        <v>0</v>
      </c>
    </row>
    <row r="383" spans="1:51">
      <c r="A383" t="s">
        <v>848</v>
      </c>
      <c r="B383">
        <v>870</v>
      </c>
      <c r="C383">
        <v>875</v>
      </c>
      <c r="D383">
        <v>1.5</v>
      </c>
      <c r="E383">
        <v>54534</v>
      </c>
      <c r="F383">
        <v>0</v>
      </c>
      <c r="G383">
        <v>340</v>
      </c>
      <c r="H383">
        <v>115</v>
      </c>
      <c r="I383">
        <v>20</v>
      </c>
      <c r="J383">
        <v>72.099999999999994</v>
      </c>
      <c r="K383">
        <v>27.9</v>
      </c>
      <c r="L383">
        <v>68.2</v>
      </c>
      <c r="M383">
        <v>65.099999999999994</v>
      </c>
      <c r="N383">
        <v>3.4</v>
      </c>
      <c r="T383">
        <f t="shared" si="12"/>
        <v>0</v>
      </c>
      <c r="W383">
        <v>24111</v>
      </c>
      <c r="X383">
        <v>26013</v>
      </c>
      <c r="Y383">
        <v>21833</v>
      </c>
      <c r="Z383">
        <v>23108</v>
      </c>
      <c r="AA383">
        <v>13412</v>
      </c>
      <c r="AB383">
        <v>220</v>
      </c>
      <c r="AC383">
        <v>535</v>
      </c>
      <c r="AD383">
        <v>180</v>
      </c>
      <c r="AE383">
        <v>105</v>
      </c>
      <c r="AF383" t="e">
        <v>#N/A</v>
      </c>
      <c r="AG383" t="e">
        <v>#N/A</v>
      </c>
      <c r="AH383" t="e">
        <v>#N/A</v>
      </c>
      <c r="AI383" t="e">
        <v>#N/A</v>
      </c>
      <c r="AJ383" t="e">
        <v>#N/A</v>
      </c>
      <c r="AK383" t="e">
        <v>#N/A</v>
      </c>
      <c r="AL383" t="e">
        <v>#N/A</v>
      </c>
      <c r="AM383" t="e">
        <v>#N/A</v>
      </c>
      <c r="AN383" t="e">
        <v>#N/A</v>
      </c>
      <c r="AO383" t="e">
        <v>#N/A</v>
      </c>
      <c r="AP383" t="e">
        <v>#N/A</v>
      </c>
      <c r="AQ383" t="e">
        <v>#N/A</v>
      </c>
      <c r="AR383" t="e">
        <v>#N/A</v>
      </c>
      <c r="AS383" t="e">
        <v>#N/A</v>
      </c>
      <c r="AT383" t="e">
        <v>#N/A</v>
      </c>
      <c r="AU383" t="e">
        <v>#N/A</v>
      </c>
      <c r="AV383" t="e">
        <v>#N/A</v>
      </c>
      <c r="AW383" t="e">
        <v>#N/A</v>
      </c>
      <c r="AX383" t="e">
        <v>#N/A</v>
      </c>
      <c r="AY383" t="e">
        <v>#N/A</v>
      </c>
    </row>
    <row r="384" spans="1:51">
      <c r="A384" t="s">
        <v>261</v>
      </c>
      <c r="B384">
        <v>2185</v>
      </c>
      <c r="C384">
        <v>2185</v>
      </c>
      <c r="D384">
        <v>2.8</v>
      </c>
      <c r="E384">
        <v>29713</v>
      </c>
      <c r="F384">
        <v>0</v>
      </c>
      <c r="G384">
        <v>450</v>
      </c>
      <c r="H384">
        <v>125</v>
      </c>
      <c r="I384">
        <v>215</v>
      </c>
      <c r="J384">
        <v>4.4000000000000004</v>
      </c>
      <c r="K384">
        <v>7.8</v>
      </c>
      <c r="L384">
        <v>31.5</v>
      </c>
      <c r="M384">
        <v>22.8</v>
      </c>
      <c r="N384">
        <v>28.8</v>
      </c>
      <c r="T384" t="str">
        <f t="shared" si="12"/>
        <v>St. Theresa Point First Nation</v>
      </c>
      <c r="W384">
        <v>16838</v>
      </c>
      <c r="X384">
        <v>17644</v>
      </c>
      <c r="Y384">
        <v>15861</v>
      </c>
      <c r="Z384">
        <v>10048</v>
      </c>
      <c r="AA384">
        <v>8608</v>
      </c>
      <c r="AB384">
        <v>915</v>
      </c>
      <c r="AC384">
        <v>1210</v>
      </c>
      <c r="AD384">
        <v>205</v>
      </c>
      <c r="AE384">
        <v>65</v>
      </c>
      <c r="AF384" t="e">
        <v>#N/A</v>
      </c>
      <c r="AG384" t="e">
        <v>#N/A</v>
      </c>
      <c r="AH384" t="e">
        <v>#N/A</v>
      </c>
      <c r="AI384" t="e">
        <v>#N/A</v>
      </c>
      <c r="AJ384" t="e">
        <v>#N/A</v>
      </c>
      <c r="AK384" t="e">
        <v>#N/A</v>
      </c>
      <c r="AL384" t="e">
        <v>#N/A</v>
      </c>
      <c r="AM384" t="e">
        <v>#N/A</v>
      </c>
      <c r="AN384" t="e">
        <v>#N/A</v>
      </c>
      <c r="AO384" t="e">
        <v>#N/A</v>
      </c>
      <c r="AP384" t="e">
        <v>#N/A</v>
      </c>
      <c r="AQ384" t="e">
        <v>#N/A</v>
      </c>
      <c r="AR384" t="e">
        <v>#N/A</v>
      </c>
      <c r="AS384" t="e">
        <v>#N/A</v>
      </c>
      <c r="AT384" t="e">
        <v>#N/A</v>
      </c>
      <c r="AU384" t="e">
        <v>#N/A</v>
      </c>
      <c r="AV384" t="e">
        <v>#N/A</v>
      </c>
      <c r="AW384" t="e">
        <v>#N/A</v>
      </c>
      <c r="AX384" t="e">
        <v>#N/A</v>
      </c>
      <c r="AY384" t="e">
        <v>#N/A</v>
      </c>
    </row>
    <row r="385" spans="1:51">
      <c r="A385" t="s">
        <v>613</v>
      </c>
      <c r="B385">
        <v>5115</v>
      </c>
      <c r="C385">
        <v>5115</v>
      </c>
      <c r="D385">
        <v>2</v>
      </c>
      <c r="E385">
        <v>48676</v>
      </c>
      <c r="F385">
        <v>13.3</v>
      </c>
      <c r="G385">
        <v>1340</v>
      </c>
      <c r="H385">
        <v>445</v>
      </c>
      <c r="I385">
        <v>165</v>
      </c>
      <c r="J385">
        <v>92.5</v>
      </c>
      <c r="K385">
        <v>7.5</v>
      </c>
      <c r="L385">
        <v>72.599999999999994</v>
      </c>
      <c r="M385">
        <v>71.099999999999994</v>
      </c>
      <c r="N385">
        <v>1.8</v>
      </c>
      <c r="T385">
        <f t="shared" si="12"/>
        <v>0</v>
      </c>
      <c r="W385">
        <v>19685</v>
      </c>
      <c r="X385">
        <v>24838</v>
      </c>
      <c r="Y385">
        <v>12663</v>
      </c>
      <c r="Z385">
        <v>24988</v>
      </c>
      <c r="AA385">
        <v>9088</v>
      </c>
      <c r="AB385">
        <v>1685</v>
      </c>
      <c r="AC385">
        <v>3210</v>
      </c>
      <c r="AD385">
        <v>860</v>
      </c>
      <c r="AE385">
        <v>215</v>
      </c>
      <c r="AF385">
        <v>3.2684503553580719</v>
      </c>
      <c r="AG385">
        <v>0</v>
      </c>
      <c r="AH385">
        <v>0</v>
      </c>
      <c r="AI385">
        <v>1.4142333268376273</v>
      </c>
      <c r="AJ385">
        <v>3.7398614643039476</v>
      </c>
      <c r="AK385">
        <v>0.72283036705034276</v>
      </c>
      <c r="AL385">
        <v>1.1942414759962188</v>
      </c>
      <c r="AM385">
        <v>0.50283851620893405</v>
      </c>
      <c r="AN385">
        <v>0.15713703631529191</v>
      </c>
      <c r="AO385">
        <v>0.25141925810446702</v>
      </c>
      <c r="AP385">
        <v>6.2854814526116756E-2</v>
      </c>
      <c r="AQ385">
        <v>0.18856444357835031</v>
      </c>
      <c r="AR385">
        <v>0</v>
      </c>
      <c r="AS385">
        <v>0.12570962905223351</v>
      </c>
      <c r="AT385">
        <v>0.87996740336563473</v>
      </c>
      <c r="AU385">
        <v>1.319951105048452</v>
      </c>
      <c r="AV385">
        <v>0.18856444357835031</v>
      </c>
      <c r="AW385">
        <v>0.81711258883951798</v>
      </c>
      <c r="AX385">
        <v>0.50283851620893405</v>
      </c>
      <c r="AY385">
        <v>0.15713703631529191</v>
      </c>
    </row>
    <row r="386" spans="1:51">
      <c r="A386" t="s">
        <v>428</v>
      </c>
      <c r="B386">
        <v>1460</v>
      </c>
      <c r="C386">
        <v>1460</v>
      </c>
      <c r="D386">
        <v>1.3</v>
      </c>
      <c r="E386">
        <v>53452</v>
      </c>
      <c r="F386">
        <v>10.1</v>
      </c>
      <c r="G386">
        <v>535</v>
      </c>
      <c r="H386">
        <v>160</v>
      </c>
      <c r="I386">
        <v>70</v>
      </c>
      <c r="J386">
        <v>72.900000000000006</v>
      </c>
      <c r="K386">
        <v>28</v>
      </c>
      <c r="L386">
        <v>72</v>
      </c>
      <c r="M386">
        <v>69.7</v>
      </c>
      <c r="N386">
        <v>2.5</v>
      </c>
      <c r="T386">
        <f t="shared" si="12"/>
        <v>0</v>
      </c>
      <c r="W386">
        <v>24226</v>
      </c>
      <c r="X386">
        <v>26806</v>
      </c>
      <c r="Y386">
        <v>21308</v>
      </c>
      <c r="Z386">
        <v>27908</v>
      </c>
      <c r="AA386">
        <v>15388</v>
      </c>
      <c r="AB386">
        <v>370</v>
      </c>
      <c r="AC386">
        <v>900</v>
      </c>
      <c r="AD386">
        <v>285</v>
      </c>
      <c r="AE386">
        <v>170</v>
      </c>
      <c r="AF386">
        <v>0.40130381582059166</v>
      </c>
      <c r="AG386">
        <v>0</v>
      </c>
      <c r="AH386">
        <v>0</v>
      </c>
      <c r="AI386">
        <v>1.9061931251478104</v>
      </c>
      <c r="AJ386">
        <v>3.2104305265647333</v>
      </c>
      <c r="AK386">
        <v>0.30097786186544379</v>
      </c>
      <c r="AL386">
        <v>1.1035854935066272</v>
      </c>
      <c r="AM386">
        <v>0.80260763164118332</v>
      </c>
      <c r="AN386">
        <v>0.40130381582059166</v>
      </c>
      <c r="AO386">
        <v>0.70228167768603544</v>
      </c>
      <c r="AP386">
        <v>0</v>
      </c>
      <c r="AQ386">
        <v>0.40130381582059166</v>
      </c>
      <c r="AR386">
        <v>0</v>
      </c>
      <c r="AS386">
        <v>0</v>
      </c>
      <c r="AT386">
        <v>1.6052152632823666</v>
      </c>
      <c r="AU386">
        <v>2.9094526646992898</v>
      </c>
      <c r="AV386">
        <v>0.40130381582059166</v>
      </c>
      <c r="AW386">
        <v>0.60195572373088757</v>
      </c>
      <c r="AX386">
        <v>0.30097786186544379</v>
      </c>
      <c r="AY386">
        <v>0.30097786186544379</v>
      </c>
    </row>
    <row r="387" spans="1:51">
      <c r="A387" s="93" t="s">
        <v>784</v>
      </c>
      <c r="B387">
        <v>4435</v>
      </c>
      <c r="C387">
        <v>4430</v>
      </c>
      <c r="D387">
        <v>1.3</v>
      </c>
      <c r="E387">
        <v>53242</v>
      </c>
      <c r="F387">
        <v>7.2</v>
      </c>
      <c r="G387">
        <v>1490</v>
      </c>
      <c r="H387">
        <v>465</v>
      </c>
      <c r="I387">
        <v>185</v>
      </c>
      <c r="J387">
        <v>89.9</v>
      </c>
      <c r="K387">
        <v>10.1</v>
      </c>
      <c r="L387">
        <v>66.5</v>
      </c>
      <c r="M387">
        <v>62.4</v>
      </c>
      <c r="N387">
        <v>6.2</v>
      </c>
      <c r="T387">
        <f t="shared" si="12"/>
        <v>0</v>
      </c>
      <c r="W387">
        <v>22644</v>
      </c>
      <c r="X387">
        <v>26520</v>
      </c>
      <c r="Y387">
        <v>17779</v>
      </c>
      <c r="Z387">
        <v>28157</v>
      </c>
      <c r="AA387">
        <v>15192</v>
      </c>
      <c r="AB387">
        <v>1150</v>
      </c>
      <c r="AC387">
        <v>2755</v>
      </c>
      <c r="AD387">
        <v>915</v>
      </c>
      <c r="AE387">
        <v>525</v>
      </c>
      <c r="AF387">
        <v>2.614443852725914</v>
      </c>
      <c r="AG387">
        <v>0.21488579611445868</v>
      </c>
      <c r="AH387">
        <v>0.10744289805722934</v>
      </c>
      <c r="AI387">
        <v>1.3967576747439816</v>
      </c>
      <c r="AJ387">
        <v>1.7907149676204892</v>
      </c>
      <c r="AK387">
        <v>0.3939572928765076</v>
      </c>
      <c r="AL387">
        <v>1.4325719740963914</v>
      </c>
      <c r="AM387">
        <v>1.0386146812198835</v>
      </c>
      <c r="AN387">
        <v>0.10744289805722934</v>
      </c>
      <c r="AO387">
        <v>0.35814299352409784</v>
      </c>
      <c r="AP387">
        <v>0.17907149676204892</v>
      </c>
      <c r="AQ387">
        <v>0.21488579611445868</v>
      </c>
      <c r="AR387">
        <v>7.1628598704819565E-2</v>
      </c>
      <c r="AS387">
        <v>0.32232869417168802</v>
      </c>
      <c r="AT387">
        <v>1.2535004773343426</v>
      </c>
      <c r="AU387">
        <v>1.6474577702108499</v>
      </c>
      <c r="AV387">
        <v>0.32232869417168802</v>
      </c>
      <c r="AW387">
        <v>0.96698608251506413</v>
      </c>
      <c r="AX387">
        <v>0.42977159222891737</v>
      </c>
      <c r="AY387">
        <v>0.57302878963855652</v>
      </c>
    </row>
    <row r="388" spans="1:51">
      <c r="A388" t="s">
        <v>681</v>
      </c>
      <c r="B388">
        <v>865</v>
      </c>
      <c r="C388">
        <v>860</v>
      </c>
      <c r="D388">
        <v>1</v>
      </c>
      <c r="E388">
        <v>50546</v>
      </c>
      <c r="F388">
        <v>7.3</v>
      </c>
      <c r="G388">
        <v>325</v>
      </c>
      <c r="H388">
        <v>135</v>
      </c>
      <c r="I388">
        <v>55</v>
      </c>
      <c r="J388">
        <v>84.6</v>
      </c>
      <c r="K388">
        <v>13.8</v>
      </c>
      <c r="L388">
        <v>74.099999999999994</v>
      </c>
      <c r="M388">
        <v>68.5</v>
      </c>
      <c r="N388">
        <v>8.5</v>
      </c>
      <c r="T388">
        <f t="shared" si="12"/>
        <v>0</v>
      </c>
      <c r="W388">
        <v>20724</v>
      </c>
      <c r="X388">
        <v>22732</v>
      </c>
      <c r="Y388">
        <v>18655</v>
      </c>
      <c r="Z388">
        <v>18194</v>
      </c>
      <c r="AA388">
        <v>14611</v>
      </c>
      <c r="AB388">
        <v>155</v>
      </c>
      <c r="AC388">
        <v>585</v>
      </c>
      <c r="AD388">
        <v>285</v>
      </c>
      <c r="AE388">
        <v>110</v>
      </c>
      <c r="AF388">
        <v>4.4294855142461529</v>
      </c>
      <c r="AG388">
        <v>0</v>
      </c>
      <c r="AH388">
        <v>0</v>
      </c>
      <c r="AI388">
        <v>1.4764951714153844</v>
      </c>
      <c r="AJ388">
        <v>0</v>
      </c>
      <c r="AK388">
        <v>0.29529903428307686</v>
      </c>
      <c r="AL388">
        <v>1.7717942056984615</v>
      </c>
      <c r="AM388">
        <v>0.59059806856615371</v>
      </c>
      <c r="AN388">
        <v>0</v>
      </c>
      <c r="AO388">
        <v>0.29529903428307686</v>
      </c>
      <c r="AP388">
        <v>0</v>
      </c>
      <c r="AQ388">
        <v>0.29529903428307686</v>
      </c>
      <c r="AR388">
        <v>0</v>
      </c>
      <c r="AS388">
        <v>0.44294855142461537</v>
      </c>
      <c r="AT388">
        <v>0.73824758570769222</v>
      </c>
      <c r="AU388">
        <v>4.2818359971046149</v>
      </c>
      <c r="AV388">
        <v>0</v>
      </c>
      <c r="AW388">
        <v>0.59059806856615371</v>
      </c>
      <c r="AX388">
        <v>0.29529903428307686</v>
      </c>
      <c r="AY388">
        <v>0.29529903428307686</v>
      </c>
    </row>
    <row r="389" spans="1:51">
      <c r="A389" t="s">
        <v>435</v>
      </c>
      <c r="B389">
        <v>975</v>
      </c>
      <c r="C389">
        <v>970</v>
      </c>
      <c r="D389">
        <v>1.2</v>
      </c>
      <c r="E389">
        <v>52768</v>
      </c>
      <c r="F389">
        <v>13</v>
      </c>
      <c r="G389">
        <v>450</v>
      </c>
      <c r="H389">
        <v>150</v>
      </c>
      <c r="I389">
        <v>30</v>
      </c>
      <c r="J389">
        <v>65.599999999999994</v>
      </c>
      <c r="K389">
        <v>33.299999999999997</v>
      </c>
      <c r="L389">
        <v>61.2</v>
      </c>
      <c r="M389">
        <v>58.1</v>
      </c>
      <c r="N389">
        <v>6.1</v>
      </c>
      <c r="T389">
        <f t="shared" si="12"/>
        <v>0</v>
      </c>
      <c r="W389">
        <v>23616</v>
      </c>
      <c r="X389">
        <v>26895</v>
      </c>
      <c r="Y389">
        <v>20665</v>
      </c>
      <c r="Z389">
        <v>19378</v>
      </c>
      <c r="AA389">
        <v>16522</v>
      </c>
      <c r="AB389">
        <v>180</v>
      </c>
      <c r="AC389">
        <v>580</v>
      </c>
      <c r="AD389">
        <v>240</v>
      </c>
      <c r="AE389">
        <v>205</v>
      </c>
      <c r="AF389">
        <v>0.79851269474505482</v>
      </c>
      <c r="AG389">
        <v>0</v>
      </c>
      <c r="AH389">
        <v>0</v>
      </c>
      <c r="AI389">
        <v>0.9582152336940658</v>
      </c>
      <c r="AJ389">
        <v>0.63881015579604383</v>
      </c>
      <c r="AK389">
        <v>0</v>
      </c>
      <c r="AL389">
        <v>2.3955380842351648</v>
      </c>
      <c r="AM389">
        <v>0.31940507789802192</v>
      </c>
      <c r="AN389">
        <v>0.31940507789802192</v>
      </c>
      <c r="AO389">
        <v>0.31940507789802192</v>
      </c>
      <c r="AP389">
        <v>0</v>
      </c>
      <c r="AQ389">
        <v>0</v>
      </c>
      <c r="AR389">
        <v>0</v>
      </c>
      <c r="AS389">
        <v>0.79851269474505482</v>
      </c>
      <c r="AT389">
        <v>0.79851269474505482</v>
      </c>
      <c r="AU389">
        <v>3.8328609347762632</v>
      </c>
      <c r="AV389">
        <v>0</v>
      </c>
      <c r="AW389">
        <v>2.2358355452861534</v>
      </c>
      <c r="AX389">
        <v>0.4791076168470329</v>
      </c>
      <c r="AY389">
        <v>1.2776203115920877</v>
      </c>
    </row>
    <row r="390" spans="1:51">
      <c r="A390" t="s">
        <v>457</v>
      </c>
      <c r="B390">
        <v>9030</v>
      </c>
      <c r="C390">
        <v>9025</v>
      </c>
      <c r="D390">
        <v>1.1000000000000001</v>
      </c>
      <c r="E390">
        <v>52694</v>
      </c>
      <c r="F390">
        <v>8.1</v>
      </c>
      <c r="G390">
        <v>3630</v>
      </c>
      <c r="H390">
        <v>965</v>
      </c>
      <c r="I390">
        <v>250</v>
      </c>
      <c r="J390">
        <v>64.5</v>
      </c>
      <c r="K390">
        <v>35.5</v>
      </c>
      <c r="L390">
        <v>68.400000000000006</v>
      </c>
      <c r="M390">
        <v>65.599999999999994</v>
      </c>
      <c r="N390">
        <v>4.0999999999999996</v>
      </c>
      <c r="T390">
        <f t="shared" si="12"/>
        <v>0</v>
      </c>
      <c r="W390">
        <v>23464</v>
      </c>
      <c r="X390">
        <v>29047</v>
      </c>
      <c r="Y390">
        <v>17013</v>
      </c>
      <c r="Z390">
        <v>26049</v>
      </c>
      <c r="AA390">
        <v>14387</v>
      </c>
      <c r="AB390">
        <v>1820</v>
      </c>
      <c r="AC390">
        <v>5705</v>
      </c>
      <c r="AD390">
        <v>1780</v>
      </c>
      <c r="AE390">
        <v>1505</v>
      </c>
      <c r="AF390">
        <v>0.77857014419609205</v>
      </c>
      <c r="AG390">
        <v>0</v>
      </c>
      <c r="AH390">
        <v>0.11122430631372744</v>
      </c>
      <c r="AI390">
        <v>0.96924038359105347</v>
      </c>
      <c r="AJ390">
        <v>2.7329400979944456</v>
      </c>
      <c r="AK390">
        <v>0.47667559848740332</v>
      </c>
      <c r="AL390">
        <v>1.9702591404146004</v>
      </c>
      <c r="AM390">
        <v>1.0327971300560406</v>
      </c>
      <c r="AN390">
        <v>0.23833779924370166</v>
      </c>
      <c r="AO390">
        <v>0.5561215315686372</v>
      </c>
      <c r="AP390">
        <v>0.15889186616246775</v>
      </c>
      <c r="AQ390">
        <v>0.47667559848740332</v>
      </c>
      <c r="AR390">
        <v>0</v>
      </c>
      <c r="AS390">
        <v>0.15889186616246775</v>
      </c>
      <c r="AT390">
        <v>1.1440214363697681</v>
      </c>
      <c r="AU390">
        <v>1.8272564608683795</v>
      </c>
      <c r="AV390">
        <v>0.28600535909244201</v>
      </c>
      <c r="AW390">
        <v>1.2234673694510019</v>
      </c>
      <c r="AX390">
        <v>0.88979445050981953</v>
      </c>
      <c r="AY390">
        <v>0.38134047878992261</v>
      </c>
    </row>
    <row r="391" spans="1:51">
      <c r="A391" t="s">
        <v>458</v>
      </c>
      <c r="B391">
        <v>3950</v>
      </c>
      <c r="C391">
        <v>3945</v>
      </c>
      <c r="D391">
        <v>1.3</v>
      </c>
      <c r="E391">
        <v>67765</v>
      </c>
      <c r="F391">
        <v>6.4</v>
      </c>
      <c r="G391">
        <v>1475</v>
      </c>
      <c r="H391">
        <v>350</v>
      </c>
      <c r="I391">
        <v>75</v>
      </c>
      <c r="J391">
        <v>75.599999999999994</v>
      </c>
      <c r="K391">
        <v>24.7</v>
      </c>
      <c r="L391">
        <v>68.7</v>
      </c>
      <c r="M391">
        <v>66.3</v>
      </c>
      <c r="N391">
        <v>3.6</v>
      </c>
      <c r="T391">
        <f t="shared" si="12"/>
        <v>0</v>
      </c>
      <c r="W391">
        <v>29675</v>
      </c>
      <c r="X391">
        <v>37087</v>
      </c>
      <c r="Y391">
        <v>20182</v>
      </c>
      <c r="Z391">
        <v>34902</v>
      </c>
      <c r="AA391">
        <v>15553</v>
      </c>
      <c r="AB391">
        <v>880</v>
      </c>
      <c r="AC391">
        <v>2545</v>
      </c>
      <c r="AD391">
        <v>870</v>
      </c>
      <c r="AE391">
        <v>520</v>
      </c>
      <c r="AF391">
        <v>0.22305247720194407</v>
      </c>
      <c r="AG391">
        <v>0</v>
      </c>
      <c r="AH391">
        <v>0.29740330293592543</v>
      </c>
      <c r="AI391">
        <v>0.66915743160583219</v>
      </c>
      <c r="AJ391">
        <v>1.1152623860097204</v>
      </c>
      <c r="AK391">
        <v>0.74350825733981352</v>
      </c>
      <c r="AL391">
        <v>1.5613673404136084</v>
      </c>
      <c r="AM391">
        <v>1.5985427532805989</v>
      </c>
      <c r="AN391">
        <v>0.66915743160583219</v>
      </c>
      <c r="AO391">
        <v>0.44610495440388814</v>
      </c>
      <c r="AP391">
        <v>0.22305247720194407</v>
      </c>
      <c r="AQ391">
        <v>0.66915743160583219</v>
      </c>
      <c r="AR391">
        <v>0</v>
      </c>
      <c r="AS391">
        <v>0.52045578013786953</v>
      </c>
      <c r="AT391">
        <v>0.92938532167476684</v>
      </c>
      <c r="AU391">
        <v>2.4907526620883753</v>
      </c>
      <c r="AV391">
        <v>0.40892954153689748</v>
      </c>
      <c r="AW391">
        <v>0.78068367020680418</v>
      </c>
      <c r="AX391">
        <v>0.81785908307379496</v>
      </c>
      <c r="AY391">
        <v>1.3754902760786551</v>
      </c>
    </row>
    <row r="392" spans="1:51">
      <c r="A392" t="s">
        <v>670</v>
      </c>
      <c r="B392">
        <v>890</v>
      </c>
      <c r="C392">
        <v>890</v>
      </c>
      <c r="D392">
        <v>0.9</v>
      </c>
      <c r="E392">
        <v>41160</v>
      </c>
      <c r="F392">
        <v>11.5</v>
      </c>
      <c r="G392">
        <v>400</v>
      </c>
      <c r="H392">
        <v>125</v>
      </c>
      <c r="I392">
        <v>70</v>
      </c>
      <c r="J392">
        <v>85</v>
      </c>
      <c r="K392">
        <v>17.5</v>
      </c>
      <c r="L392">
        <v>55.5</v>
      </c>
      <c r="M392">
        <v>51.4</v>
      </c>
      <c r="N392">
        <v>6.2</v>
      </c>
      <c r="T392">
        <f t="shared" si="12"/>
        <v>0</v>
      </c>
      <c r="W392">
        <v>17550</v>
      </c>
      <c r="X392">
        <v>17465</v>
      </c>
      <c r="Y392">
        <v>17656</v>
      </c>
      <c r="Z392">
        <v>13614</v>
      </c>
      <c r="AA392">
        <v>17282</v>
      </c>
      <c r="AB392">
        <v>150</v>
      </c>
      <c r="AC392">
        <v>430</v>
      </c>
      <c r="AD392">
        <v>245</v>
      </c>
      <c r="AE392">
        <v>275</v>
      </c>
      <c r="AF392">
        <v>5.8690683063761533</v>
      </c>
      <c r="AG392">
        <v>0</v>
      </c>
      <c r="AH392">
        <v>0</v>
      </c>
      <c r="AI392">
        <v>0.78254244085015379</v>
      </c>
      <c r="AJ392">
        <v>0.58690683063761528</v>
      </c>
      <c r="AK392">
        <v>1.7607204919128461</v>
      </c>
      <c r="AL392">
        <v>1.1738136612752306</v>
      </c>
      <c r="AM392">
        <v>1.1738136612752306</v>
      </c>
      <c r="AN392">
        <v>0</v>
      </c>
      <c r="AO392">
        <v>0.39127122042507689</v>
      </c>
      <c r="AP392">
        <v>0</v>
      </c>
      <c r="AQ392">
        <v>0.39127122042507689</v>
      </c>
      <c r="AR392">
        <v>0</v>
      </c>
      <c r="AS392">
        <v>0</v>
      </c>
      <c r="AT392">
        <v>0</v>
      </c>
      <c r="AU392">
        <v>1.3694492714877691</v>
      </c>
      <c r="AV392">
        <v>0</v>
      </c>
      <c r="AW392">
        <v>1.1738136612752306</v>
      </c>
      <c r="AX392">
        <v>0.58690683063761528</v>
      </c>
      <c r="AY392">
        <v>0</v>
      </c>
    </row>
    <row r="393" spans="1:51">
      <c r="A393" t="s">
        <v>628</v>
      </c>
      <c r="B393">
        <v>620</v>
      </c>
      <c r="C393">
        <v>620</v>
      </c>
      <c r="D393">
        <v>0.8</v>
      </c>
      <c r="E393">
        <v>41036</v>
      </c>
      <c r="F393">
        <v>0</v>
      </c>
      <c r="G393">
        <v>270</v>
      </c>
      <c r="H393">
        <v>85</v>
      </c>
      <c r="I393">
        <v>55</v>
      </c>
      <c r="J393">
        <v>88.9</v>
      </c>
      <c r="K393">
        <v>11.1</v>
      </c>
      <c r="L393">
        <v>69.7</v>
      </c>
      <c r="M393">
        <v>67</v>
      </c>
      <c r="N393">
        <v>2.6</v>
      </c>
      <c r="T393">
        <f t="shared" ref="T393:T435" si="13">IFERROR(VLOOKUP(A393,$U$12:$U$74,1,0),0)</f>
        <v>0</v>
      </c>
      <c r="W393">
        <v>17769</v>
      </c>
      <c r="X393">
        <v>20103</v>
      </c>
      <c r="Y393">
        <v>15325</v>
      </c>
      <c r="Z393">
        <v>19651</v>
      </c>
      <c r="AA393">
        <v>13996</v>
      </c>
      <c r="AB393">
        <v>75</v>
      </c>
      <c r="AC393">
        <v>400</v>
      </c>
      <c r="AD393">
        <v>190</v>
      </c>
      <c r="AE393">
        <v>150</v>
      </c>
      <c r="AF393">
        <v>7.207627744672469</v>
      </c>
      <c r="AG393">
        <v>0</v>
      </c>
      <c r="AH393">
        <v>0.41186444255271248</v>
      </c>
      <c r="AI393">
        <v>1.4415255489344936</v>
      </c>
      <c r="AJ393">
        <v>0.61779666382906873</v>
      </c>
      <c r="AK393">
        <v>0</v>
      </c>
      <c r="AL393">
        <v>0.61779666382906873</v>
      </c>
      <c r="AM393">
        <v>0.41186444255271248</v>
      </c>
      <c r="AN393">
        <v>0</v>
      </c>
      <c r="AO393">
        <v>0.41186444255271248</v>
      </c>
      <c r="AP393">
        <v>0</v>
      </c>
      <c r="AQ393">
        <v>0</v>
      </c>
      <c r="AR393">
        <v>0</v>
      </c>
      <c r="AS393">
        <v>0</v>
      </c>
      <c r="AT393">
        <v>0.61779666382906873</v>
      </c>
      <c r="AU393">
        <v>2.2652544340399188</v>
      </c>
      <c r="AV393">
        <v>0</v>
      </c>
      <c r="AW393">
        <v>0.61779666382906873</v>
      </c>
      <c r="AX393">
        <v>0.41186444255271248</v>
      </c>
      <c r="AY393">
        <v>0.41186444255271248</v>
      </c>
    </row>
    <row r="394" spans="1:51">
      <c r="A394" t="s">
        <v>460</v>
      </c>
      <c r="B394">
        <v>1585</v>
      </c>
      <c r="C394">
        <v>1585</v>
      </c>
      <c r="D394">
        <v>1.2</v>
      </c>
      <c r="E394">
        <v>46061</v>
      </c>
      <c r="F394">
        <v>12.6</v>
      </c>
      <c r="G394">
        <v>660</v>
      </c>
      <c r="H394">
        <v>300</v>
      </c>
      <c r="I394">
        <v>110</v>
      </c>
      <c r="J394">
        <v>87.9</v>
      </c>
      <c r="K394">
        <v>12.1</v>
      </c>
      <c r="L394">
        <v>60.3</v>
      </c>
      <c r="M394">
        <v>55.6</v>
      </c>
      <c r="N394">
        <v>7.7</v>
      </c>
      <c r="T394">
        <f t="shared" si="13"/>
        <v>0</v>
      </c>
      <c r="W394">
        <v>19784</v>
      </c>
      <c r="X394">
        <v>23469</v>
      </c>
      <c r="Y394">
        <v>14983</v>
      </c>
      <c r="Z394">
        <v>20961</v>
      </c>
      <c r="AA394">
        <v>12476</v>
      </c>
      <c r="AB394">
        <v>295</v>
      </c>
      <c r="AC394">
        <v>960</v>
      </c>
      <c r="AD394">
        <v>390</v>
      </c>
      <c r="AE394">
        <v>315</v>
      </c>
      <c r="AF394">
        <v>4.139901945142749</v>
      </c>
      <c r="AG394">
        <v>0.20194643634842677</v>
      </c>
      <c r="AH394">
        <v>0</v>
      </c>
      <c r="AI394">
        <v>1.6155714907874141</v>
      </c>
      <c r="AJ394">
        <v>1.2116786180905608</v>
      </c>
      <c r="AK394">
        <v>0.30291965452264019</v>
      </c>
      <c r="AL394">
        <v>1.0097321817421339</v>
      </c>
      <c r="AM394">
        <v>1.1107053999163472</v>
      </c>
      <c r="AN394">
        <v>0</v>
      </c>
      <c r="AO394">
        <v>0.20194643634842677</v>
      </c>
      <c r="AP394">
        <v>0.30291965452264019</v>
      </c>
      <c r="AQ394">
        <v>0</v>
      </c>
      <c r="AR394">
        <v>0</v>
      </c>
      <c r="AS394">
        <v>0.30291965452264019</v>
      </c>
      <c r="AT394">
        <v>1.1107053999163472</v>
      </c>
      <c r="AU394">
        <v>1.9184911453100544</v>
      </c>
      <c r="AV394">
        <v>0.30291965452264019</v>
      </c>
      <c r="AW394">
        <v>0.20194643634842677</v>
      </c>
      <c r="AX394">
        <v>0.80778574539370707</v>
      </c>
      <c r="AY394">
        <v>0.60583930904528038</v>
      </c>
    </row>
    <row r="395" spans="1:51">
      <c r="A395" t="s">
        <v>272</v>
      </c>
      <c r="B395">
        <v>420</v>
      </c>
      <c r="C395">
        <v>425</v>
      </c>
      <c r="D395">
        <v>2.1</v>
      </c>
      <c r="E395">
        <v>26073</v>
      </c>
      <c r="F395">
        <v>0</v>
      </c>
      <c r="G395">
        <v>120</v>
      </c>
      <c r="H395">
        <v>30</v>
      </c>
      <c r="I395">
        <v>75</v>
      </c>
      <c r="J395">
        <v>0</v>
      </c>
      <c r="K395">
        <v>0</v>
      </c>
      <c r="L395">
        <v>50</v>
      </c>
      <c r="M395">
        <v>25</v>
      </c>
      <c r="N395">
        <v>50</v>
      </c>
      <c r="T395" t="str">
        <f t="shared" si="13"/>
        <v>Swan Lake First Nation</v>
      </c>
      <c r="W395">
        <v>13295</v>
      </c>
      <c r="X395">
        <v>12118</v>
      </c>
      <c r="Y395">
        <v>14585</v>
      </c>
      <c r="Z395">
        <v>7208</v>
      </c>
      <c r="AA395">
        <v>11232</v>
      </c>
      <c r="AB395">
        <v>140</v>
      </c>
      <c r="AC395">
        <v>230</v>
      </c>
      <c r="AD395">
        <v>40</v>
      </c>
      <c r="AE395">
        <v>30</v>
      </c>
      <c r="AF395">
        <v>1.0793688839312465</v>
      </c>
      <c r="AG395">
        <v>0</v>
      </c>
      <c r="AH395">
        <v>0</v>
      </c>
      <c r="AI395">
        <v>1.0793688839312465</v>
      </c>
      <c r="AJ395">
        <v>1.0793688839312465</v>
      </c>
      <c r="AK395">
        <v>0</v>
      </c>
      <c r="AL395">
        <v>1.0793688839312465</v>
      </c>
      <c r="AM395">
        <v>0</v>
      </c>
      <c r="AN395">
        <v>0</v>
      </c>
      <c r="AO395">
        <v>1.0793688839312465</v>
      </c>
      <c r="AP395">
        <v>0</v>
      </c>
      <c r="AQ395">
        <v>0</v>
      </c>
      <c r="AR395">
        <v>0</v>
      </c>
      <c r="AS395">
        <v>1.0793688839312465</v>
      </c>
      <c r="AT395">
        <v>1.0793688839312465</v>
      </c>
      <c r="AU395">
        <v>2.6984222098281165</v>
      </c>
      <c r="AV395">
        <v>1.0793688839312465</v>
      </c>
      <c r="AW395">
        <v>1.0793688839312465</v>
      </c>
      <c r="AX395">
        <v>0</v>
      </c>
      <c r="AY395">
        <v>1.6190533258968698</v>
      </c>
    </row>
    <row r="396" spans="1:51">
      <c r="A396" t="s">
        <v>835</v>
      </c>
      <c r="B396">
        <v>145</v>
      </c>
      <c r="C396">
        <v>145</v>
      </c>
      <c r="D396">
        <v>2.2000000000000002</v>
      </c>
      <c r="E396">
        <v>18597</v>
      </c>
      <c r="F396">
        <v>0</v>
      </c>
      <c r="G396">
        <v>45</v>
      </c>
      <c r="H396">
        <v>20</v>
      </c>
      <c r="I396">
        <v>10</v>
      </c>
      <c r="J396">
        <v>0</v>
      </c>
      <c r="K396">
        <v>0</v>
      </c>
      <c r="L396">
        <v>23.5</v>
      </c>
      <c r="M396">
        <v>17.600000000000001</v>
      </c>
      <c r="N396">
        <v>50</v>
      </c>
      <c r="T396">
        <f t="shared" si="13"/>
        <v>0</v>
      </c>
      <c r="W396">
        <v>9291</v>
      </c>
      <c r="X396">
        <v>9864</v>
      </c>
      <c r="Y396">
        <v>8496</v>
      </c>
      <c r="Z396">
        <v>3520</v>
      </c>
      <c r="AA396">
        <v>7088</v>
      </c>
      <c r="AB396">
        <v>70</v>
      </c>
      <c r="AC396">
        <v>80</v>
      </c>
      <c r="AD396">
        <v>20</v>
      </c>
      <c r="AE396">
        <v>0</v>
      </c>
      <c r="AF396">
        <v>0</v>
      </c>
      <c r="AG396">
        <v>0</v>
      </c>
      <c r="AH396">
        <v>0</v>
      </c>
      <c r="AI396">
        <v>0</v>
      </c>
      <c r="AJ396">
        <v>0</v>
      </c>
      <c r="AK396">
        <v>0</v>
      </c>
      <c r="AL396">
        <v>0</v>
      </c>
      <c r="AM396">
        <v>0</v>
      </c>
      <c r="AN396">
        <v>0</v>
      </c>
      <c r="AO396">
        <v>0</v>
      </c>
      <c r="AP396">
        <v>0</v>
      </c>
      <c r="AQ396">
        <v>0</v>
      </c>
      <c r="AR396">
        <v>0</v>
      </c>
      <c r="AS396">
        <v>0</v>
      </c>
      <c r="AT396">
        <v>0</v>
      </c>
      <c r="AU396">
        <v>0</v>
      </c>
      <c r="AV396">
        <v>0</v>
      </c>
      <c r="AW396">
        <v>0</v>
      </c>
      <c r="AX396">
        <v>0</v>
      </c>
      <c r="AY396">
        <v>11.738136612752307</v>
      </c>
    </row>
    <row r="397" spans="1:51">
      <c r="A397" s="83" t="s">
        <v>697</v>
      </c>
      <c r="B397">
        <v>3905</v>
      </c>
      <c r="C397">
        <v>3895</v>
      </c>
      <c r="D397">
        <v>1</v>
      </c>
      <c r="E397">
        <v>49867</v>
      </c>
      <c r="F397">
        <v>12.7</v>
      </c>
      <c r="G397">
        <v>1805</v>
      </c>
      <c r="H397">
        <v>400</v>
      </c>
      <c r="I397">
        <v>175</v>
      </c>
      <c r="J397">
        <v>59.6</v>
      </c>
      <c r="K397">
        <v>40.200000000000003</v>
      </c>
      <c r="L397">
        <v>58</v>
      </c>
      <c r="M397">
        <v>53.5</v>
      </c>
      <c r="N397">
        <v>7.7</v>
      </c>
      <c r="T397">
        <f>IFERROR(VLOOKUP(A397,$U$12:$U$74,1,0),0)</f>
        <v>0</v>
      </c>
      <c r="W397">
        <v>23507</v>
      </c>
      <c r="X397">
        <v>29711</v>
      </c>
      <c r="Y397">
        <v>17356</v>
      </c>
      <c r="Z397">
        <v>27504</v>
      </c>
      <c r="AA397">
        <v>14526</v>
      </c>
      <c r="AB397">
        <v>780</v>
      </c>
      <c r="AC397">
        <v>2180</v>
      </c>
      <c r="AD397">
        <v>795</v>
      </c>
      <c r="AE397">
        <v>945</v>
      </c>
      <c r="AF397">
        <v>0.77394307336828394</v>
      </c>
      <c r="AG397">
        <v>0.25798102445609467</v>
      </c>
      <c r="AH397">
        <v>0.12899051222804733</v>
      </c>
      <c r="AI397">
        <v>0.64495256114023658</v>
      </c>
      <c r="AJ397">
        <v>1.2469082848711239</v>
      </c>
      <c r="AK397">
        <v>0.38697153668414197</v>
      </c>
      <c r="AL397">
        <v>2.1068450330581063</v>
      </c>
      <c r="AM397">
        <v>0.85993674818698218</v>
      </c>
      <c r="AN397">
        <v>0.17198734963739645</v>
      </c>
      <c r="AO397">
        <v>0.12899051222804733</v>
      </c>
      <c r="AP397">
        <v>0.30097786186544379</v>
      </c>
      <c r="AQ397">
        <v>0.38697153668414197</v>
      </c>
      <c r="AR397">
        <v>0</v>
      </c>
      <c r="AS397">
        <v>0.38697153668414197</v>
      </c>
      <c r="AT397">
        <v>1.5048893093272189</v>
      </c>
      <c r="AU397">
        <v>2.3218292201048518</v>
      </c>
      <c r="AV397">
        <v>0</v>
      </c>
      <c r="AW397">
        <v>1.5048893093272189</v>
      </c>
      <c r="AX397">
        <v>0.98892726041502943</v>
      </c>
      <c r="AY397">
        <v>1.1609146100524259</v>
      </c>
    </row>
    <row r="398" spans="1:51">
      <c r="A398" s="82" t="s">
        <v>785</v>
      </c>
      <c r="B398">
        <v>2925</v>
      </c>
      <c r="C398">
        <v>2920</v>
      </c>
      <c r="D398">
        <v>1.1000000000000001</v>
      </c>
      <c r="E398">
        <v>49617</v>
      </c>
      <c r="F398">
        <v>8</v>
      </c>
      <c r="G398">
        <v>1060</v>
      </c>
      <c r="H398">
        <v>425</v>
      </c>
      <c r="I398">
        <v>135</v>
      </c>
      <c r="J398">
        <v>92</v>
      </c>
      <c r="K398">
        <v>8</v>
      </c>
      <c r="L398">
        <v>75</v>
      </c>
      <c r="M398">
        <v>70.5</v>
      </c>
      <c r="N398">
        <v>5.7</v>
      </c>
      <c r="T398">
        <f>IFERROR(VLOOKUP(A398,$U$12:$U$74,1,0),0)</f>
        <v>0</v>
      </c>
      <c r="W398">
        <v>19175</v>
      </c>
      <c r="X398">
        <v>22574</v>
      </c>
      <c r="Y398">
        <v>15042</v>
      </c>
      <c r="Z398">
        <v>21589</v>
      </c>
      <c r="AA398">
        <v>12554</v>
      </c>
      <c r="AB398">
        <v>575</v>
      </c>
      <c r="AC398">
        <v>2005</v>
      </c>
      <c r="AD398">
        <v>860</v>
      </c>
      <c r="AE398">
        <v>340</v>
      </c>
      <c r="AF398">
        <v>5.2169496056676916</v>
      </c>
      <c r="AG398">
        <v>8.9178625737909259E-2</v>
      </c>
      <c r="AH398">
        <v>0</v>
      </c>
      <c r="AI398">
        <v>0.5796610672964102</v>
      </c>
      <c r="AJ398">
        <v>0.98096488311700192</v>
      </c>
      <c r="AK398">
        <v>0.44589312868954634</v>
      </c>
      <c r="AL398">
        <v>1.2930900731996842</v>
      </c>
      <c r="AM398">
        <v>0.75801831877222869</v>
      </c>
      <c r="AN398">
        <v>0.1337679386068639</v>
      </c>
      <c r="AO398">
        <v>0.62425038016536483</v>
      </c>
      <c r="AP398">
        <v>0</v>
      </c>
      <c r="AQ398">
        <v>0.31212519008268241</v>
      </c>
      <c r="AR398">
        <v>0</v>
      </c>
      <c r="AS398">
        <v>8.9178625737909259E-2</v>
      </c>
      <c r="AT398">
        <v>0.75801831877222869</v>
      </c>
      <c r="AU398">
        <v>1.9619297662340038</v>
      </c>
      <c r="AV398">
        <v>0</v>
      </c>
      <c r="AW398">
        <v>0.9363755702480473</v>
      </c>
      <c r="AX398">
        <v>0.9363755702480473</v>
      </c>
      <c r="AY398">
        <v>0.49048244155850096</v>
      </c>
    </row>
    <row r="399" spans="1:51">
      <c r="A399" t="s">
        <v>609</v>
      </c>
      <c r="B399">
        <v>8580</v>
      </c>
      <c r="C399">
        <v>8550</v>
      </c>
      <c r="D399">
        <v>1.4</v>
      </c>
      <c r="E399">
        <v>63563</v>
      </c>
      <c r="F399">
        <v>5.7</v>
      </c>
      <c r="G399">
        <v>2685</v>
      </c>
      <c r="H399">
        <v>765</v>
      </c>
      <c r="I399">
        <v>280</v>
      </c>
      <c r="J399">
        <v>91.1</v>
      </c>
      <c r="K399">
        <v>8.8000000000000007</v>
      </c>
      <c r="L399">
        <v>76.900000000000006</v>
      </c>
      <c r="M399">
        <v>74.099999999999994</v>
      </c>
      <c r="N399">
        <v>3.7</v>
      </c>
      <c r="T399">
        <f t="shared" si="13"/>
        <v>0</v>
      </c>
      <c r="W399">
        <v>28435</v>
      </c>
      <c r="X399">
        <v>34893</v>
      </c>
      <c r="Y399">
        <v>20419</v>
      </c>
      <c r="Z399">
        <v>32009</v>
      </c>
      <c r="AA399">
        <v>15804</v>
      </c>
      <c r="AB399">
        <v>2285</v>
      </c>
      <c r="AC399">
        <v>5840</v>
      </c>
      <c r="AD399">
        <v>1895</v>
      </c>
      <c r="AE399">
        <v>435</v>
      </c>
      <c r="AF399">
        <v>1.1167617046258658</v>
      </c>
      <c r="AG399">
        <v>9.7109713445727455E-2</v>
      </c>
      <c r="AH399">
        <v>9.7109713445727455E-2</v>
      </c>
      <c r="AI399">
        <v>1.4404607494449573</v>
      </c>
      <c r="AJ399">
        <v>2.0554889346012315</v>
      </c>
      <c r="AK399">
        <v>0.6312131373972284</v>
      </c>
      <c r="AL399">
        <v>1.3109811315173208</v>
      </c>
      <c r="AM399">
        <v>1.4566457016859118</v>
      </c>
      <c r="AN399">
        <v>0.32369904481909151</v>
      </c>
      <c r="AO399">
        <v>0.33988399706004613</v>
      </c>
      <c r="AP399">
        <v>0.17803447465050032</v>
      </c>
      <c r="AQ399">
        <v>0.50173351946959188</v>
      </c>
      <c r="AR399">
        <v>0</v>
      </c>
      <c r="AS399">
        <v>0.5179184717105465</v>
      </c>
      <c r="AT399">
        <v>1.1329466568668203</v>
      </c>
      <c r="AU399">
        <v>1.149131609107775</v>
      </c>
      <c r="AV399">
        <v>0.42080875826481901</v>
      </c>
      <c r="AW399">
        <v>0.72832285084295589</v>
      </c>
      <c r="AX399">
        <v>1.0843918001439565</v>
      </c>
      <c r="AY399">
        <v>0.95491218221632002</v>
      </c>
    </row>
    <row r="400" spans="1:51">
      <c r="A400" t="s">
        <v>273</v>
      </c>
      <c r="B400">
        <v>1580</v>
      </c>
      <c r="C400">
        <v>1580</v>
      </c>
      <c r="D400">
        <v>2.4</v>
      </c>
      <c r="E400">
        <v>30047</v>
      </c>
      <c r="F400">
        <v>0</v>
      </c>
      <c r="G400">
        <v>355</v>
      </c>
      <c r="H400">
        <v>95</v>
      </c>
      <c r="I400">
        <v>195</v>
      </c>
      <c r="J400">
        <v>0</v>
      </c>
      <c r="K400">
        <v>11.3</v>
      </c>
      <c r="L400">
        <v>59.1</v>
      </c>
      <c r="M400">
        <v>29.3</v>
      </c>
      <c r="N400">
        <v>50.4</v>
      </c>
      <c r="T400" t="str">
        <f t="shared" si="13"/>
        <v>Tataskweyak Cree Nation</v>
      </c>
      <c r="AB400">
        <v>0</v>
      </c>
      <c r="AC400">
        <v>0</v>
      </c>
      <c r="AD400">
        <v>0</v>
      </c>
      <c r="AE400">
        <v>0</v>
      </c>
      <c r="AF400">
        <v>0.26753587721372779</v>
      </c>
      <c r="AG400">
        <v>0</v>
      </c>
      <c r="AH400">
        <v>0.26753587721372779</v>
      </c>
      <c r="AI400">
        <v>1.7389832018892304</v>
      </c>
      <c r="AJ400">
        <v>0.26753587721372779</v>
      </c>
      <c r="AK400">
        <v>0</v>
      </c>
      <c r="AL400">
        <v>0.80260763164118332</v>
      </c>
      <c r="AM400">
        <v>0.26753587721372779</v>
      </c>
      <c r="AN400">
        <v>0</v>
      </c>
      <c r="AO400">
        <v>0</v>
      </c>
      <c r="AP400">
        <v>0</v>
      </c>
      <c r="AQ400">
        <v>0</v>
      </c>
      <c r="AR400">
        <v>0</v>
      </c>
      <c r="AS400">
        <v>0.53507175442745558</v>
      </c>
      <c r="AT400">
        <v>1.7389832018892304</v>
      </c>
      <c r="AU400">
        <v>2.1402870177098223</v>
      </c>
      <c r="AV400">
        <v>0.26753587721372779</v>
      </c>
      <c r="AW400">
        <v>0</v>
      </c>
      <c r="AX400">
        <v>0.26753587721372779</v>
      </c>
      <c r="AY400">
        <v>2.4078228949235503</v>
      </c>
    </row>
    <row r="401" spans="1:51">
      <c r="A401" s="103" t="s">
        <v>273</v>
      </c>
      <c r="AB401">
        <v>0</v>
      </c>
      <c r="AC401">
        <v>0</v>
      </c>
      <c r="AD401">
        <v>0</v>
      </c>
      <c r="AE401">
        <v>0</v>
      </c>
      <c r="AF401">
        <v>0.26753587721372779</v>
      </c>
      <c r="AG401">
        <v>0</v>
      </c>
      <c r="AH401">
        <v>0.26753587721372779</v>
      </c>
      <c r="AI401">
        <v>1.7389832018892304</v>
      </c>
      <c r="AJ401">
        <v>0.26753587721372779</v>
      </c>
      <c r="AK401">
        <v>0</v>
      </c>
      <c r="AL401">
        <v>0.80260763164118332</v>
      </c>
      <c r="AM401">
        <v>0.26753587721372779</v>
      </c>
      <c r="AN401">
        <v>0</v>
      </c>
      <c r="AO401">
        <v>0</v>
      </c>
      <c r="AP401">
        <v>0</v>
      </c>
      <c r="AQ401">
        <v>0</v>
      </c>
      <c r="AR401">
        <v>0</v>
      </c>
      <c r="AS401">
        <v>0.53507175442745558</v>
      </c>
      <c r="AT401">
        <v>1.7389832018892304</v>
      </c>
      <c r="AU401">
        <v>2.1402870177098223</v>
      </c>
      <c r="AV401">
        <v>0.26753587721372779</v>
      </c>
      <c r="AW401">
        <v>0</v>
      </c>
      <c r="AX401">
        <v>0.26753587721372779</v>
      </c>
      <c r="AY401">
        <v>2.4078228949235503</v>
      </c>
    </row>
    <row r="402" spans="1:51">
      <c r="A402" s="103" t="s">
        <v>273</v>
      </c>
      <c r="AB402">
        <v>0</v>
      </c>
      <c r="AC402">
        <v>0</v>
      </c>
      <c r="AD402">
        <v>0</v>
      </c>
      <c r="AE402">
        <v>0</v>
      </c>
      <c r="AF402">
        <v>0.26753587721372779</v>
      </c>
      <c r="AG402">
        <v>0</v>
      </c>
      <c r="AH402">
        <v>0.26753587721372779</v>
      </c>
      <c r="AI402">
        <v>1.7389832018892304</v>
      </c>
      <c r="AJ402">
        <v>0.26753587721372779</v>
      </c>
      <c r="AK402">
        <v>0</v>
      </c>
      <c r="AL402">
        <v>0.80260763164118332</v>
      </c>
      <c r="AM402">
        <v>0.26753587721372779</v>
      </c>
      <c r="AN402">
        <v>0</v>
      </c>
      <c r="AO402">
        <v>0</v>
      </c>
      <c r="AP402">
        <v>0</v>
      </c>
      <c r="AQ402">
        <v>0</v>
      </c>
      <c r="AR402">
        <v>0</v>
      </c>
      <c r="AS402">
        <v>0.53507175442745558</v>
      </c>
      <c r="AT402">
        <v>1.7389832018892304</v>
      </c>
      <c r="AU402">
        <v>2.1402870177098223</v>
      </c>
      <c r="AV402">
        <v>0.26753587721372779</v>
      </c>
      <c r="AW402">
        <v>0</v>
      </c>
      <c r="AX402">
        <v>0.26753587721372779</v>
      </c>
      <c r="AY402">
        <v>2.4078228949235503</v>
      </c>
    </row>
    <row r="403" spans="1:51">
      <c r="A403" t="s">
        <v>464</v>
      </c>
      <c r="B403">
        <v>1035</v>
      </c>
      <c r="C403">
        <v>1035</v>
      </c>
      <c r="D403">
        <v>0.9</v>
      </c>
      <c r="E403">
        <v>47323</v>
      </c>
      <c r="F403">
        <v>0</v>
      </c>
      <c r="G403">
        <v>495</v>
      </c>
      <c r="H403">
        <v>155</v>
      </c>
      <c r="I403">
        <v>45</v>
      </c>
      <c r="J403">
        <v>65.7</v>
      </c>
      <c r="K403">
        <v>34.299999999999997</v>
      </c>
      <c r="L403">
        <v>51.4</v>
      </c>
      <c r="M403">
        <v>43.4</v>
      </c>
      <c r="N403">
        <v>15.6</v>
      </c>
      <c r="T403">
        <f t="shared" si="13"/>
        <v>0</v>
      </c>
      <c r="W403">
        <v>21906</v>
      </c>
      <c r="X403">
        <v>25101</v>
      </c>
      <c r="Y403">
        <v>18362</v>
      </c>
      <c r="Z403">
        <v>18381</v>
      </c>
      <c r="AA403">
        <v>15916</v>
      </c>
      <c r="AB403">
        <v>155</v>
      </c>
      <c r="AC403">
        <v>550</v>
      </c>
      <c r="AD403">
        <v>225</v>
      </c>
      <c r="AE403">
        <v>325</v>
      </c>
      <c r="AF403">
        <v>1.2172882413224615</v>
      </c>
      <c r="AG403">
        <v>0</v>
      </c>
      <c r="AH403">
        <v>0</v>
      </c>
      <c r="AI403">
        <v>1.7389832018892304</v>
      </c>
      <c r="AJ403">
        <v>2.2606781624559997</v>
      </c>
      <c r="AK403">
        <v>1.0433899211335382</v>
      </c>
      <c r="AL403">
        <v>1.7389832018892304</v>
      </c>
      <c r="AM403">
        <v>1.7389832018892304</v>
      </c>
      <c r="AN403">
        <v>0</v>
      </c>
      <c r="AO403">
        <v>0.34779664037784613</v>
      </c>
      <c r="AP403">
        <v>0.52169496056676912</v>
      </c>
      <c r="AQ403">
        <v>0.34779664037784613</v>
      </c>
      <c r="AR403">
        <v>0</v>
      </c>
      <c r="AS403">
        <v>0.34779664037784613</v>
      </c>
      <c r="AT403">
        <v>0.52169496056676912</v>
      </c>
      <c r="AU403">
        <v>0.86949160094461519</v>
      </c>
      <c r="AV403">
        <v>0.69559328075569227</v>
      </c>
      <c r="AW403">
        <v>0.69559328075569227</v>
      </c>
      <c r="AX403">
        <v>1.2172882413224615</v>
      </c>
      <c r="AY403">
        <v>0</v>
      </c>
    </row>
    <row r="404" spans="1:51">
      <c r="A404" t="s">
        <v>465</v>
      </c>
      <c r="B404">
        <v>5730</v>
      </c>
      <c r="C404">
        <v>5705</v>
      </c>
      <c r="D404">
        <v>1.3</v>
      </c>
      <c r="E404">
        <v>60679</v>
      </c>
      <c r="F404">
        <v>13.2</v>
      </c>
      <c r="G404">
        <v>2245</v>
      </c>
      <c r="H404">
        <v>915</v>
      </c>
      <c r="I404">
        <v>255</v>
      </c>
      <c r="J404">
        <v>62.4</v>
      </c>
      <c r="K404">
        <v>37.6</v>
      </c>
      <c r="L404">
        <v>71.099999999999994</v>
      </c>
      <c r="M404">
        <v>64.5</v>
      </c>
      <c r="N404">
        <v>9</v>
      </c>
      <c r="T404">
        <f t="shared" si="13"/>
        <v>0</v>
      </c>
      <c r="W404">
        <v>29806</v>
      </c>
      <c r="X404">
        <v>36298</v>
      </c>
      <c r="Y404">
        <v>22785</v>
      </c>
      <c r="Z404">
        <v>31877</v>
      </c>
      <c r="AA404">
        <v>17341</v>
      </c>
      <c r="AB404">
        <v>1440</v>
      </c>
      <c r="AC404">
        <v>3815</v>
      </c>
      <c r="AD404">
        <v>1205</v>
      </c>
      <c r="AE404">
        <v>470</v>
      </c>
      <c r="AF404">
        <v>0.53968444196562326</v>
      </c>
      <c r="AG404">
        <v>0</v>
      </c>
      <c r="AH404">
        <v>5.1398518282440311E-2</v>
      </c>
      <c r="AI404">
        <v>0.53968444196562326</v>
      </c>
      <c r="AJ404">
        <v>1.9788429538739523</v>
      </c>
      <c r="AK404">
        <v>0.46258666454196279</v>
      </c>
      <c r="AL404">
        <v>1.9788429538739523</v>
      </c>
      <c r="AM404">
        <v>0.66818073767172415</v>
      </c>
      <c r="AN404">
        <v>0.33409036883586207</v>
      </c>
      <c r="AO404">
        <v>0.10279703656488062</v>
      </c>
      <c r="AP404">
        <v>0.2569925914122016</v>
      </c>
      <c r="AQ404">
        <v>0.23129333227098139</v>
      </c>
      <c r="AR404">
        <v>0</v>
      </c>
      <c r="AS404">
        <v>0.23129333227098139</v>
      </c>
      <c r="AT404">
        <v>1.5676548076144297</v>
      </c>
      <c r="AU404">
        <v>2.1330385087212731</v>
      </c>
      <c r="AV404">
        <v>5.1398518282440311E-2</v>
      </c>
      <c r="AW404">
        <v>1.824647399026631</v>
      </c>
      <c r="AX404">
        <v>0.69387999681294421</v>
      </c>
      <c r="AY404">
        <v>1.6190533258968698</v>
      </c>
    </row>
    <row r="405" spans="1:51">
      <c r="A405" t="s">
        <v>274</v>
      </c>
      <c r="B405">
        <v>137</v>
      </c>
      <c r="C405" s="102"/>
      <c r="D405" s="102"/>
      <c r="E405" s="102"/>
      <c r="F405" s="102"/>
      <c r="G405" s="102"/>
      <c r="H405" s="102"/>
      <c r="I405" s="102"/>
      <c r="J405" s="102"/>
      <c r="K405" s="102"/>
      <c r="L405" s="102"/>
      <c r="M405" s="102"/>
      <c r="N405" s="102"/>
      <c r="T405">
        <f t="shared" si="13"/>
        <v>0</v>
      </c>
      <c r="AB405">
        <v>0</v>
      </c>
      <c r="AC405">
        <v>0</v>
      </c>
      <c r="AD405">
        <v>0</v>
      </c>
      <c r="AE405">
        <v>0</v>
      </c>
      <c r="AF405" t="e">
        <v>#N/A</v>
      </c>
      <c r="AG405" t="e">
        <v>#N/A</v>
      </c>
      <c r="AH405" t="e">
        <v>#N/A</v>
      </c>
      <c r="AI405" t="e">
        <v>#N/A</v>
      </c>
      <c r="AJ405" t="e">
        <v>#N/A</v>
      </c>
      <c r="AK405" t="e">
        <v>#N/A</v>
      </c>
      <c r="AL405" t="e">
        <v>#N/A</v>
      </c>
      <c r="AM405" t="e">
        <v>#N/A</v>
      </c>
      <c r="AN405" t="e">
        <v>#N/A</v>
      </c>
      <c r="AO405" t="e">
        <v>#N/A</v>
      </c>
      <c r="AP405" t="e">
        <v>#N/A</v>
      </c>
      <c r="AQ405" t="e">
        <v>#N/A</v>
      </c>
      <c r="AR405" t="e">
        <v>#N/A</v>
      </c>
      <c r="AS405" t="e">
        <v>#N/A</v>
      </c>
      <c r="AT405" t="e">
        <v>#N/A</v>
      </c>
      <c r="AU405" t="e">
        <v>#N/A</v>
      </c>
      <c r="AV405" t="e">
        <v>#N/A</v>
      </c>
      <c r="AW405" t="e">
        <v>#N/A</v>
      </c>
      <c r="AX405" t="e">
        <v>#N/A</v>
      </c>
      <c r="AY405" t="e">
        <v>#N/A</v>
      </c>
    </row>
    <row r="406" spans="1:51">
      <c r="A406" t="s">
        <v>466</v>
      </c>
      <c r="B406">
        <v>13220</v>
      </c>
      <c r="C406">
        <v>13210</v>
      </c>
      <c r="D406">
        <v>1.4</v>
      </c>
      <c r="E406">
        <v>66014</v>
      </c>
      <c r="F406">
        <v>18.600000000000001</v>
      </c>
      <c r="G406">
        <v>4690</v>
      </c>
      <c r="H406">
        <v>1805</v>
      </c>
      <c r="I406">
        <v>475</v>
      </c>
      <c r="J406">
        <v>57.2</v>
      </c>
      <c r="K406">
        <v>42.8</v>
      </c>
      <c r="L406">
        <v>79.599999999999994</v>
      </c>
      <c r="M406">
        <v>74</v>
      </c>
      <c r="N406">
        <v>7</v>
      </c>
      <c r="T406">
        <f t="shared" si="13"/>
        <v>0</v>
      </c>
      <c r="W406">
        <v>33583</v>
      </c>
      <c r="X406">
        <v>42857</v>
      </c>
      <c r="Y406">
        <v>23059</v>
      </c>
      <c r="Z406">
        <v>42100</v>
      </c>
      <c r="AA406">
        <v>17982</v>
      </c>
      <c r="AB406">
        <v>3725</v>
      </c>
      <c r="AC406">
        <v>9195</v>
      </c>
      <c r="AD406">
        <v>2785</v>
      </c>
      <c r="AE406">
        <v>310</v>
      </c>
      <c r="AF406">
        <v>0.13447523768740249</v>
      </c>
      <c r="AG406">
        <v>2.5033082707962619</v>
      </c>
      <c r="AH406">
        <v>0.43445846022083884</v>
      </c>
      <c r="AI406">
        <v>0.56893369790824133</v>
      </c>
      <c r="AJ406">
        <v>0.48617970548522438</v>
      </c>
      <c r="AK406">
        <v>0.26895047537480499</v>
      </c>
      <c r="AL406">
        <v>1.4585391164556731</v>
      </c>
      <c r="AM406">
        <v>1.4171621202441647</v>
      </c>
      <c r="AN406">
        <v>0.18619648295178806</v>
      </c>
      <c r="AO406">
        <v>0.26895047537480499</v>
      </c>
      <c r="AP406">
        <v>0.18619648295178806</v>
      </c>
      <c r="AQ406">
        <v>0.31032747158631341</v>
      </c>
      <c r="AR406">
        <v>2.0688498105754228E-2</v>
      </c>
      <c r="AS406">
        <v>0.45514695832659308</v>
      </c>
      <c r="AT406">
        <v>1.2619983844510081</v>
      </c>
      <c r="AU406">
        <v>2.1929807992099484</v>
      </c>
      <c r="AV406">
        <v>0.2068849810575423</v>
      </c>
      <c r="AW406">
        <v>1.1482116448693598</v>
      </c>
      <c r="AX406">
        <v>0.55858944885536421</v>
      </c>
      <c r="AY406">
        <v>1.2102771391866225</v>
      </c>
    </row>
    <row r="407" spans="1:51">
      <c r="A407" s="78" t="s">
        <v>772</v>
      </c>
      <c r="B407">
        <v>1335</v>
      </c>
      <c r="C407">
        <v>1070</v>
      </c>
      <c r="D407">
        <v>1.1000000000000001</v>
      </c>
      <c r="E407">
        <v>49539</v>
      </c>
      <c r="F407">
        <v>4.7</v>
      </c>
      <c r="G407">
        <v>400</v>
      </c>
      <c r="H407">
        <v>120</v>
      </c>
      <c r="I407">
        <v>50</v>
      </c>
      <c r="J407">
        <v>88.8</v>
      </c>
      <c r="K407">
        <v>12.5</v>
      </c>
      <c r="L407">
        <v>69.8</v>
      </c>
      <c r="M407">
        <v>68.3</v>
      </c>
      <c r="N407">
        <v>1.4</v>
      </c>
      <c r="T407">
        <f t="shared" si="13"/>
        <v>0</v>
      </c>
      <c r="W407">
        <v>20317</v>
      </c>
      <c r="X407">
        <v>22809</v>
      </c>
      <c r="Y407">
        <v>17517</v>
      </c>
      <c r="Z407">
        <v>20821</v>
      </c>
      <c r="AA407">
        <v>16780</v>
      </c>
      <c r="AB407">
        <v>335</v>
      </c>
      <c r="AC407">
        <v>780</v>
      </c>
      <c r="AD407">
        <v>280</v>
      </c>
      <c r="AE407">
        <v>195</v>
      </c>
      <c r="AF407">
        <v>6.010833241312775</v>
      </c>
      <c r="AG407">
        <v>0</v>
      </c>
      <c r="AH407">
        <v>0.22682389589859531</v>
      </c>
      <c r="AI407">
        <v>0.45364779179719061</v>
      </c>
      <c r="AJ407">
        <v>1.0207075315436789</v>
      </c>
      <c r="AK407">
        <v>0.56705973974648827</v>
      </c>
      <c r="AL407">
        <v>1.4743553233408695</v>
      </c>
      <c r="AM407">
        <v>0.22682389589859531</v>
      </c>
      <c r="AN407">
        <v>0</v>
      </c>
      <c r="AO407">
        <v>0.45364779179719061</v>
      </c>
      <c r="AP407">
        <v>0.22682389589859531</v>
      </c>
      <c r="AQ407">
        <v>0.45364779179719061</v>
      </c>
      <c r="AR407">
        <v>0</v>
      </c>
      <c r="AS407">
        <v>0</v>
      </c>
      <c r="AT407">
        <v>1.1341194794929765</v>
      </c>
      <c r="AU407">
        <v>2.3816509069352505</v>
      </c>
      <c r="AV407">
        <v>0.3402358438478929</v>
      </c>
      <c r="AW407">
        <v>0</v>
      </c>
      <c r="AX407">
        <v>0.22682389589859531</v>
      </c>
      <c r="AY407">
        <v>0.45364779179719061</v>
      </c>
    </row>
    <row r="408" spans="1:51">
      <c r="A408" t="s">
        <v>275</v>
      </c>
      <c r="B408">
        <v>380</v>
      </c>
      <c r="C408">
        <v>380</v>
      </c>
      <c r="D408">
        <v>2</v>
      </c>
      <c r="E408">
        <v>21060</v>
      </c>
      <c r="F408">
        <v>0</v>
      </c>
      <c r="G408">
        <v>110</v>
      </c>
      <c r="H408">
        <v>35</v>
      </c>
      <c r="I408">
        <v>50</v>
      </c>
      <c r="J408">
        <v>13.6</v>
      </c>
      <c r="K408">
        <v>9.1</v>
      </c>
      <c r="L408">
        <v>58.5</v>
      </c>
      <c r="M408">
        <v>43.9</v>
      </c>
      <c r="N408">
        <v>25</v>
      </c>
      <c r="T408" t="str">
        <f t="shared" si="13"/>
        <v>Tootinaowaziibeeng First Nation</v>
      </c>
      <c r="W408">
        <v>12323</v>
      </c>
      <c r="X408">
        <v>15273</v>
      </c>
      <c r="Y408">
        <v>8974</v>
      </c>
      <c r="Z408">
        <v>9568</v>
      </c>
      <c r="AA408">
        <v>10384</v>
      </c>
      <c r="AB408">
        <v>185</v>
      </c>
      <c r="AC408">
        <v>200</v>
      </c>
      <c r="AD408">
        <v>50</v>
      </c>
      <c r="AE408">
        <v>0</v>
      </c>
      <c r="AF408">
        <v>1.3042374014169229</v>
      </c>
      <c r="AG408">
        <v>0</v>
      </c>
      <c r="AH408">
        <v>0</v>
      </c>
      <c r="AI408">
        <v>1.3042374014169229</v>
      </c>
      <c r="AJ408">
        <v>0</v>
      </c>
      <c r="AK408">
        <v>0</v>
      </c>
      <c r="AL408">
        <v>0</v>
      </c>
      <c r="AM408">
        <v>0</v>
      </c>
      <c r="AN408">
        <v>0</v>
      </c>
      <c r="AO408">
        <v>0</v>
      </c>
      <c r="AP408">
        <v>0</v>
      </c>
      <c r="AQ408">
        <v>0</v>
      </c>
      <c r="AR408">
        <v>0</v>
      </c>
      <c r="AS408">
        <v>0</v>
      </c>
      <c r="AT408">
        <v>1.9563561021253844</v>
      </c>
      <c r="AU408">
        <v>2.6084748028338458</v>
      </c>
      <c r="AV408">
        <v>0</v>
      </c>
      <c r="AW408">
        <v>1.3042374014169229</v>
      </c>
      <c r="AX408">
        <v>0</v>
      </c>
      <c r="AY408">
        <v>4.5648309049592308</v>
      </c>
    </row>
    <row r="409" spans="1:51">
      <c r="A409" t="s">
        <v>468</v>
      </c>
      <c r="B409">
        <v>625</v>
      </c>
      <c r="C409">
        <v>620</v>
      </c>
      <c r="D409">
        <v>0.9</v>
      </c>
      <c r="E409">
        <v>41211</v>
      </c>
      <c r="F409">
        <v>0</v>
      </c>
      <c r="G409">
        <v>300</v>
      </c>
      <c r="H409">
        <v>90</v>
      </c>
      <c r="I409">
        <v>30</v>
      </c>
      <c r="J409">
        <v>86.7</v>
      </c>
      <c r="K409">
        <v>13.3</v>
      </c>
      <c r="L409">
        <v>47.5</v>
      </c>
      <c r="M409">
        <v>45.5</v>
      </c>
      <c r="N409">
        <v>4.3</v>
      </c>
      <c r="T409">
        <f t="shared" si="13"/>
        <v>0</v>
      </c>
      <c r="W409">
        <v>22223</v>
      </c>
      <c r="X409">
        <v>27413</v>
      </c>
      <c r="Y409">
        <v>15447</v>
      </c>
      <c r="Z409">
        <v>19601</v>
      </c>
      <c r="AA409">
        <v>14583</v>
      </c>
      <c r="AB409">
        <v>125</v>
      </c>
      <c r="AC409">
        <v>280</v>
      </c>
      <c r="AD409">
        <v>140</v>
      </c>
      <c r="AE409">
        <v>200</v>
      </c>
      <c r="AF409">
        <v>1.3319871333619637</v>
      </c>
      <c r="AG409">
        <v>0.66599356668098186</v>
      </c>
      <c r="AH409">
        <v>0</v>
      </c>
      <c r="AI409">
        <v>0.99899035002147285</v>
      </c>
      <c r="AJ409">
        <v>1.3319871333619637</v>
      </c>
      <c r="AK409">
        <v>1.3319871333619637</v>
      </c>
      <c r="AL409">
        <v>1.6649839167024547</v>
      </c>
      <c r="AM409">
        <v>0.66599356668098186</v>
      </c>
      <c r="AN409">
        <v>0</v>
      </c>
      <c r="AO409">
        <v>0.66599356668098186</v>
      </c>
      <c r="AP409">
        <v>0</v>
      </c>
      <c r="AQ409">
        <v>0.66599356668098186</v>
      </c>
      <c r="AR409">
        <v>0</v>
      </c>
      <c r="AS409">
        <v>0</v>
      </c>
      <c r="AT409">
        <v>0.99899035002147285</v>
      </c>
      <c r="AU409">
        <v>2.3309774833834367</v>
      </c>
      <c r="AV409">
        <v>0</v>
      </c>
      <c r="AW409">
        <v>2.3309774833834367</v>
      </c>
      <c r="AX409">
        <v>0.66599356668098186</v>
      </c>
      <c r="AY409">
        <v>0.66599356668098186</v>
      </c>
    </row>
    <row r="410" spans="1:51">
      <c r="A410" t="s">
        <v>619</v>
      </c>
      <c r="B410">
        <v>1145</v>
      </c>
      <c r="C410">
        <v>1050</v>
      </c>
      <c r="D410">
        <v>1.1000000000000001</v>
      </c>
      <c r="E410">
        <v>51448</v>
      </c>
      <c r="F410">
        <v>7.8</v>
      </c>
      <c r="G410">
        <v>375</v>
      </c>
      <c r="H410">
        <v>155</v>
      </c>
      <c r="I410">
        <v>50</v>
      </c>
      <c r="J410">
        <v>97.3</v>
      </c>
      <c r="K410">
        <v>4</v>
      </c>
      <c r="L410">
        <v>74.2</v>
      </c>
      <c r="M410">
        <v>71.900000000000006</v>
      </c>
      <c r="N410">
        <v>2.2999999999999998</v>
      </c>
      <c r="T410">
        <f t="shared" si="13"/>
        <v>0</v>
      </c>
      <c r="W410">
        <v>20054</v>
      </c>
      <c r="X410">
        <v>21657</v>
      </c>
      <c r="Y410">
        <v>17734</v>
      </c>
      <c r="Z410">
        <v>20308</v>
      </c>
      <c r="AA410">
        <v>11999</v>
      </c>
      <c r="AB410">
        <v>260</v>
      </c>
      <c r="AC410">
        <v>765</v>
      </c>
      <c r="AD410">
        <v>310</v>
      </c>
      <c r="AE410">
        <v>110</v>
      </c>
      <c r="AF410">
        <v>7.5267440875663647</v>
      </c>
      <c r="AG410">
        <v>0</v>
      </c>
      <c r="AH410">
        <v>0.23894425674813854</v>
      </c>
      <c r="AI410">
        <v>0.47788851349627709</v>
      </c>
      <c r="AJ410">
        <v>0.83630489861848489</v>
      </c>
      <c r="AK410">
        <v>1.5531376688629006</v>
      </c>
      <c r="AL410">
        <v>1.314193412114762</v>
      </c>
      <c r="AM410">
        <v>0.71683277024441561</v>
      </c>
      <c r="AN410">
        <v>0</v>
      </c>
      <c r="AO410">
        <v>0</v>
      </c>
      <c r="AP410">
        <v>0</v>
      </c>
      <c r="AQ410">
        <v>0.3584163851222078</v>
      </c>
      <c r="AR410">
        <v>0</v>
      </c>
      <c r="AS410">
        <v>0.23894425674813854</v>
      </c>
      <c r="AT410">
        <v>0.59736064187034643</v>
      </c>
      <c r="AU410">
        <v>0.23894425674813854</v>
      </c>
      <c r="AV410">
        <v>0.23894425674813854</v>
      </c>
      <c r="AW410">
        <v>0.47788851349627709</v>
      </c>
      <c r="AX410">
        <v>0.59736064187034643</v>
      </c>
      <c r="AY410">
        <v>0</v>
      </c>
    </row>
    <row r="411" spans="1:51">
      <c r="A411" t="s">
        <v>642</v>
      </c>
      <c r="B411">
        <v>1180</v>
      </c>
      <c r="C411">
        <v>1095</v>
      </c>
      <c r="D411">
        <v>1</v>
      </c>
      <c r="E411">
        <v>46003</v>
      </c>
      <c r="F411">
        <v>9.4</v>
      </c>
      <c r="G411">
        <v>475</v>
      </c>
      <c r="H411">
        <v>135</v>
      </c>
      <c r="I411">
        <v>45</v>
      </c>
      <c r="J411">
        <v>88.4</v>
      </c>
      <c r="K411">
        <v>11.6</v>
      </c>
      <c r="L411">
        <v>60.2</v>
      </c>
      <c r="M411">
        <v>58.6</v>
      </c>
      <c r="N411">
        <v>3.5</v>
      </c>
      <c r="T411">
        <f t="shared" si="13"/>
        <v>0</v>
      </c>
      <c r="W411">
        <v>21274</v>
      </c>
      <c r="X411">
        <v>23886</v>
      </c>
      <c r="Y411">
        <v>18325</v>
      </c>
      <c r="Z411">
        <v>19997</v>
      </c>
      <c r="AA411">
        <v>14978</v>
      </c>
      <c r="AB411">
        <v>220</v>
      </c>
      <c r="AC411">
        <v>655</v>
      </c>
      <c r="AD411">
        <v>260</v>
      </c>
      <c r="AE411">
        <v>290</v>
      </c>
      <c r="AF411">
        <v>5.3968444196562331</v>
      </c>
      <c r="AG411">
        <v>0</v>
      </c>
      <c r="AH411">
        <v>0</v>
      </c>
      <c r="AI411">
        <v>1.3492111049140583</v>
      </c>
      <c r="AJ411">
        <v>0.67460555245702913</v>
      </c>
      <c r="AK411">
        <v>0.53968444196562326</v>
      </c>
      <c r="AL411">
        <v>0.67460555245702913</v>
      </c>
      <c r="AM411">
        <v>0.80952666294843489</v>
      </c>
      <c r="AN411">
        <v>0</v>
      </c>
      <c r="AO411">
        <v>0.53968444196562326</v>
      </c>
      <c r="AP411">
        <v>0</v>
      </c>
      <c r="AQ411">
        <v>0</v>
      </c>
      <c r="AR411">
        <v>0</v>
      </c>
      <c r="AS411">
        <v>0.94444777343984077</v>
      </c>
      <c r="AT411">
        <v>1.2142899944226524</v>
      </c>
      <c r="AU411">
        <v>2.0238166573710874</v>
      </c>
      <c r="AV411">
        <v>0</v>
      </c>
      <c r="AW411">
        <v>0</v>
      </c>
      <c r="AX411">
        <v>1.0793688839312465</v>
      </c>
      <c r="AY411">
        <v>0.40476333147421745</v>
      </c>
    </row>
    <row r="412" spans="1:51">
      <c r="A412" t="s">
        <v>604</v>
      </c>
      <c r="B412">
        <v>265</v>
      </c>
      <c r="C412">
        <v>265</v>
      </c>
      <c r="D412">
        <v>0.6</v>
      </c>
      <c r="E412">
        <v>65684</v>
      </c>
      <c r="F412">
        <v>0</v>
      </c>
      <c r="G412">
        <v>135</v>
      </c>
      <c r="H412">
        <v>50</v>
      </c>
      <c r="I412">
        <v>10</v>
      </c>
      <c r="J412">
        <v>100</v>
      </c>
      <c r="K412">
        <v>7.4</v>
      </c>
      <c r="L412">
        <v>60</v>
      </c>
      <c r="M412">
        <v>57.8</v>
      </c>
      <c r="N412">
        <v>0</v>
      </c>
      <c r="T412">
        <f t="shared" si="13"/>
        <v>0</v>
      </c>
      <c r="W412">
        <v>23893</v>
      </c>
      <c r="X412">
        <v>30885</v>
      </c>
      <c r="Y412">
        <v>11996</v>
      </c>
      <c r="Z412">
        <v>33236</v>
      </c>
      <c r="AA412">
        <v>15554</v>
      </c>
      <c r="AB412">
        <v>50</v>
      </c>
      <c r="AC412">
        <v>150</v>
      </c>
      <c r="AD412">
        <v>70</v>
      </c>
      <c r="AE412">
        <v>60</v>
      </c>
      <c r="AF412">
        <v>1.1179177726430767</v>
      </c>
      <c r="AG412">
        <v>0</v>
      </c>
      <c r="AH412">
        <v>0</v>
      </c>
      <c r="AI412">
        <v>5.0306299768938461</v>
      </c>
      <c r="AJ412">
        <v>0</v>
      </c>
      <c r="AK412">
        <v>1.1179177726430767</v>
      </c>
      <c r="AL412">
        <v>1.6768766589646151</v>
      </c>
      <c r="AM412">
        <v>1.1179177726430767</v>
      </c>
      <c r="AN412">
        <v>1.1179177726430767</v>
      </c>
      <c r="AO412">
        <v>0</v>
      </c>
      <c r="AP412">
        <v>1.1179177726430767</v>
      </c>
      <c r="AQ412">
        <v>0</v>
      </c>
      <c r="AR412">
        <v>0</v>
      </c>
      <c r="AS412">
        <v>0</v>
      </c>
      <c r="AT412">
        <v>1.1179177726430767</v>
      </c>
      <c r="AU412">
        <v>1.1179177726430767</v>
      </c>
      <c r="AV412">
        <v>1.6768766589646151</v>
      </c>
      <c r="AW412">
        <v>1.1179177726430767</v>
      </c>
      <c r="AX412">
        <v>0</v>
      </c>
      <c r="AY412">
        <v>0</v>
      </c>
    </row>
    <row r="413" spans="1:51">
      <c r="A413" t="s">
        <v>472</v>
      </c>
      <c r="B413">
        <v>2985</v>
      </c>
      <c r="C413">
        <v>2980</v>
      </c>
      <c r="D413">
        <v>0.9</v>
      </c>
      <c r="E413">
        <v>54715</v>
      </c>
      <c r="F413">
        <v>8.6999999999999993</v>
      </c>
      <c r="G413">
        <v>1335</v>
      </c>
      <c r="H413">
        <v>390</v>
      </c>
      <c r="I413">
        <v>80</v>
      </c>
      <c r="J413">
        <v>74.2</v>
      </c>
      <c r="K413">
        <v>25.8</v>
      </c>
      <c r="L413">
        <v>59.3</v>
      </c>
      <c r="M413">
        <v>55.9</v>
      </c>
      <c r="N413">
        <v>5.8</v>
      </c>
      <c r="T413">
        <f t="shared" si="13"/>
        <v>0</v>
      </c>
      <c r="W413">
        <v>26543</v>
      </c>
      <c r="X413">
        <v>33528</v>
      </c>
      <c r="Y413">
        <v>18840</v>
      </c>
      <c r="Z413">
        <v>26050</v>
      </c>
      <c r="AA413">
        <v>15587</v>
      </c>
      <c r="AB413">
        <v>505</v>
      </c>
      <c r="AC413">
        <v>1680</v>
      </c>
      <c r="AD413">
        <v>660</v>
      </c>
      <c r="AE413">
        <v>770</v>
      </c>
      <c r="AF413">
        <v>0.64318556782204417</v>
      </c>
      <c r="AG413">
        <v>1.0719759463700735</v>
      </c>
      <c r="AH413">
        <v>0.10719759463700736</v>
      </c>
      <c r="AI413">
        <v>0.69678436514054787</v>
      </c>
      <c r="AJ413">
        <v>0.26799398659251839</v>
      </c>
      <c r="AK413">
        <v>0.48238917586653313</v>
      </c>
      <c r="AL413">
        <v>2.519143473969673</v>
      </c>
      <c r="AM413">
        <v>1.2327723383255846</v>
      </c>
      <c r="AN413">
        <v>0</v>
      </c>
      <c r="AO413">
        <v>0.42879037854802943</v>
      </c>
      <c r="AP413">
        <v>0.10719759463700736</v>
      </c>
      <c r="AQ413">
        <v>0.26799398659251839</v>
      </c>
      <c r="AR413">
        <v>0</v>
      </c>
      <c r="AS413">
        <v>0.10719759463700736</v>
      </c>
      <c r="AT413">
        <v>1.7151615141921177</v>
      </c>
      <c r="AU413">
        <v>2.4119458793326656</v>
      </c>
      <c r="AV413">
        <v>0.10719759463700736</v>
      </c>
      <c r="AW413">
        <v>1.6079639195551103</v>
      </c>
      <c r="AX413">
        <v>1.1791735410070809</v>
      </c>
      <c r="AY413">
        <v>0.64318556782204417</v>
      </c>
    </row>
    <row r="414" spans="1:51">
      <c r="A414" t="s">
        <v>473</v>
      </c>
      <c r="B414">
        <v>558</v>
      </c>
      <c r="C414" s="102"/>
      <c r="D414" s="102"/>
      <c r="E414" s="102"/>
      <c r="F414" s="102"/>
      <c r="G414" s="102"/>
      <c r="H414" s="102"/>
      <c r="I414" s="102"/>
      <c r="J414" s="102"/>
      <c r="K414" s="102"/>
      <c r="L414" s="102"/>
      <c r="M414" s="102"/>
      <c r="N414" s="102"/>
      <c r="T414">
        <f t="shared" si="13"/>
        <v>0</v>
      </c>
      <c r="AB414">
        <v>0</v>
      </c>
      <c r="AC414">
        <v>0</v>
      </c>
      <c r="AD414">
        <v>0</v>
      </c>
      <c r="AE414">
        <v>0</v>
      </c>
      <c r="AF414" t="e">
        <v>#N/A</v>
      </c>
      <c r="AG414" t="e">
        <v>#N/A</v>
      </c>
      <c r="AH414" t="e">
        <v>#N/A</v>
      </c>
      <c r="AI414" t="e">
        <v>#N/A</v>
      </c>
      <c r="AJ414" t="e">
        <v>#N/A</v>
      </c>
      <c r="AK414" t="e">
        <v>#N/A</v>
      </c>
      <c r="AL414" t="e">
        <v>#N/A</v>
      </c>
      <c r="AM414" t="e">
        <v>#N/A</v>
      </c>
      <c r="AN414" t="e">
        <v>#N/A</v>
      </c>
      <c r="AO414" t="e">
        <v>#N/A</v>
      </c>
      <c r="AP414" t="e">
        <v>#N/A</v>
      </c>
      <c r="AQ414" t="e">
        <v>#N/A</v>
      </c>
      <c r="AR414" t="e">
        <v>#N/A</v>
      </c>
      <c r="AS414" t="e">
        <v>#N/A</v>
      </c>
      <c r="AT414" t="e">
        <v>#N/A</v>
      </c>
      <c r="AU414" t="e">
        <v>#N/A</v>
      </c>
      <c r="AV414" t="e">
        <v>#N/A</v>
      </c>
      <c r="AW414" t="e">
        <v>#N/A</v>
      </c>
      <c r="AX414" t="e">
        <v>#N/A</v>
      </c>
      <c r="AY414" t="e">
        <v>#N/A</v>
      </c>
    </row>
    <row r="415" spans="1:51">
      <c r="A415" t="s">
        <v>630</v>
      </c>
      <c r="B415">
        <v>1545</v>
      </c>
      <c r="C415">
        <v>1415</v>
      </c>
      <c r="D415">
        <v>1.2</v>
      </c>
      <c r="E415">
        <v>53702</v>
      </c>
      <c r="F415">
        <v>12.6</v>
      </c>
      <c r="G415">
        <v>500</v>
      </c>
      <c r="H415">
        <v>190</v>
      </c>
      <c r="I415">
        <v>85</v>
      </c>
      <c r="J415">
        <v>93</v>
      </c>
      <c r="K415">
        <v>8</v>
      </c>
      <c r="L415">
        <v>82.8</v>
      </c>
      <c r="M415">
        <v>81.099999999999994</v>
      </c>
      <c r="N415">
        <v>2.1</v>
      </c>
      <c r="T415">
        <f t="shared" si="13"/>
        <v>0</v>
      </c>
      <c r="W415">
        <v>19672</v>
      </c>
      <c r="X415">
        <v>25013</v>
      </c>
      <c r="Y415">
        <v>13399</v>
      </c>
      <c r="Z415">
        <v>21360</v>
      </c>
      <c r="AA415">
        <v>13260</v>
      </c>
      <c r="AB415">
        <v>415</v>
      </c>
      <c r="AC415">
        <v>965</v>
      </c>
      <c r="AD415">
        <v>345</v>
      </c>
      <c r="AE415">
        <v>165</v>
      </c>
      <c r="AF415">
        <v>6.2436896876342054</v>
      </c>
      <c r="AG415">
        <v>0.58274437084585917</v>
      </c>
      <c r="AH415">
        <v>0</v>
      </c>
      <c r="AI415">
        <v>0.91574115418635016</v>
      </c>
      <c r="AJ415">
        <v>0.49949517501073643</v>
      </c>
      <c r="AK415">
        <v>0.33299678334049093</v>
      </c>
      <c r="AL415">
        <v>0.83249195835122736</v>
      </c>
      <c r="AM415">
        <v>1.0822395458565957</v>
      </c>
      <c r="AN415">
        <v>0.16649839167024547</v>
      </c>
      <c r="AO415">
        <v>0.66599356668098186</v>
      </c>
      <c r="AP415">
        <v>0.16649839167024547</v>
      </c>
      <c r="AQ415">
        <v>0.24974758750536821</v>
      </c>
      <c r="AR415">
        <v>0</v>
      </c>
      <c r="AS415">
        <v>0.24974758750536821</v>
      </c>
      <c r="AT415">
        <v>0.74924276251610467</v>
      </c>
      <c r="AU415">
        <v>1.1654887416917183</v>
      </c>
      <c r="AV415">
        <v>0</v>
      </c>
      <c r="AW415">
        <v>0.33299678334049093</v>
      </c>
      <c r="AX415">
        <v>0.91574115418635016</v>
      </c>
      <c r="AY415">
        <v>0.33299678334049093</v>
      </c>
    </row>
    <row r="416" spans="1:51">
      <c r="A416" t="s">
        <v>276</v>
      </c>
      <c r="B416">
        <v>143</v>
      </c>
      <c r="C416">
        <v>143</v>
      </c>
      <c r="D416">
        <v>1.7</v>
      </c>
      <c r="E416">
        <v>35093</v>
      </c>
      <c r="F416">
        <v>0</v>
      </c>
      <c r="G416">
        <v>40</v>
      </c>
      <c r="H416">
        <v>10</v>
      </c>
      <c r="I416">
        <v>10</v>
      </c>
      <c r="J416">
        <v>25</v>
      </c>
      <c r="K416">
        <v>50</v>
      </c>
      <c r="L416">
        <v>68.400000000000006</v>
      </c>
      <c r="M416">
        <v>68.400000000000006</v>
      </c>
      <c r="N416">
        <v>0</v>
      </c>
      <c r="T416" t="str">
        <f t="shared" si="13"/>
        <v>War Lake First Nation</v>
      </c>
      <c r="W416">
        <v>14543</v>
      </c>
      <c r="X416">
        <v>14623</v>
      </c>
      <c r="Y416">
        <v>14449</v>
      </c>
      <c r="Z416">
        <v>13744</v>
      </c>
      <c r="AA416">
        <v>12320</v>
      </c>
      <c r="AB416">
        <v>35</v>
      </c>
      <c r="AC416">
        <v>70</v>
      </c>
      <c r="AD416">
        <v>20</v>
      </c>
      <c r="AE416">
        <v>0</v>
      </c>
      <c r="AF416">
        <v>0</v>
      </c>
      <c r="AG416">
        <v>0</v>
      </c>
      <c r="AH416">
        <v>0</v>
      </c>
      <c r="AI416">
        <v>0</v>
      </c>
      <c r="AJ416">
        <v>0</v>
      </c>
      <c r="AK416">
        <v>0</v>
      </c>
      <c r="AL416">
        <v>0</v>
      </c>
      <c r="AM416">
        <v>2.4078228949235503</v>
      </c>
      <c r="AN416">
        <v>0</v>
      </c>
      <c r="AO416">
        <v>0</v>
      </c>
      <c r="AP416">
        <v>0</v>
      </c>
      <c r="AQ416">
        <v>2.4078228949235503</v>
      </c>
      <c r="AR416">
        <v>0</v>
      </c>
      <c r="AS416">
        <v>0</v>
      </c>
      <c r="AT416">
        <v>2.4078228949235503</v>
      </c>
      <c r="AU416">
        <v>2.4078228949235503</v>
      </c>
      <c r="AV416">
        <v>0</v>
      </c>
      <c r="AW416">
        <v>0</v>
      </c>
      <c r="AX416">
        <v>2.4078228949235503</v>
      </c>
      <c r="AY416">
        <v>7.2234686847706504</v>
      </c>
    </row>
    <row r="417" spans="1:51">
      <c r="A417" t="s">
        <v>277</v>
      </c>
      <c r="B417">
        <v>1120</v>
      </c>
      <c r="C417">
        <v>1120</v>
      </c>
      <c r="D417">
        <v>2.5</v>
      </c>
      <c r="E417">
        <v>32208</v>
      </c>
      <c r="F417">
        <v>0</v>
      </c>
      <c r="G417">
        <v>260</v>
      </c>
      <c r="H417">
        <v>55</v>
      </c>
      <c r="I417">
        <v>140</v>
      </c>
      <c r="J417">
        <v>9.6</v>
      </c>
      <c r="K417">
        <v>9.6</v>
      </c>
      <c r="L417">
        <v>44.2</v>
      </c>
      <c r="M417">
        <v>31.8</v>
      </c>
      <c r="N417">
        <v>28.1</v>
      </c>
      <c r="T417" t="str">
        <f t="shared" si="13"/>
        <v>Wasagamack First Nation</v>
      </c>
      <c r="W417">
        <v>17205</v>
      </c>
      <c r="X417">
        <v>16748</v>
      </c>
      <c r="Y417">
        <v>17794</v>
      </c>
      <c r="Z417">
        <v>14192</v>
      </c>
      <c r="AA417">
        <v>10784</v>
      </c>
      <c r="AB417">
        <v>475</v>
      </c>
      <c r="AC417">
        <v>600</v>
      </c>
      <c r="AD417">
        <v>105</v>
      </c>
      <c r="AE417">
        <v>30</v>
      </c>
      <c r="AF417">
        <v>0</v>
      </c>
      <c r="AG417">
        <v>0</v>
      </c>
      <c r="AH417">
        <v>0</v>
      </c>
      <c r="AI417">
        <v>1.3973972158038461</v>
      </c>
      <c r="AJ417">
        <v>0</v>
      </c>
      <c r="AK417">
        <v>0</v>
      </c>
      <c r="AL417">
        <v>1.9563561021253844</v>
      </c>
      <c r="AM417">
        <v>0</v>
      </c>
      <c r="AN417">
        <v>0.55895888632153834</v>
      </c>
      <c r="AO417">
        <v>0</v>
      </c>
      <c r="AP417">
        <v>0</v>
      </c>
      <c r="AQ417">
        <v>0</v>
      </c>
      <c r="AR417">
        <v>0</v>
      </c>
      <c r="AS417">
        <v>0</v>
      </c>
      <c r="AT417">
        <v>3.6332327610899999</v>
      </c>
      <c r="AU417">
        <v>1.9563561021253844</v>
      </c>
      <c r="AV417">
        <v>0.55895888632153834</v>
      </c>
      <c r="AW417">
        <v>0.55895888632153834</v>
      </c>
      <c r="AX417">
        <v>0.55895888632153834</v>
      </c>
      <c r="AY417">
        <v>4.1921916474115379</v>
      </c>
    </row>
    <row r="418" spans="1:51">
      <c r="A418" t="s">
        <v>476</v>
      </c>
      <c r="B418">
        <v>210</v>
      </c>
      <c r="C418">
        <v>210</v>
      </c>
      <c r="D418">
        <v>0.7</v>
      </c>
      <c r="E418">
        <v>51897</v>
      </c>
      <c r="F418">
        <v>0</v>
      </c>
      <c r="G418">
        <v>95</v>
      </c>
      <c r="H418">
        <v>40</v>
      </c>
      <c r="I418">
        <v>10</v>
      </c>
      <c r="J418">
        <v>94.7</v>
      </c>
      <c r="K418">
        <v>10.5</v>
      </c>
      <c r="L418">
        <v>77.099999999999994</v>
      </c>
      <c r="M418">
        <v>71.400000000000006</v>
      </c>
      <c r="N418">
        <v>7.4</v>
      </c>
      <c r="T418">
        <f t="shared" si="13"/>
        <v>0</v>
      </c>
      <c r="W418">
        <v>19422</v>
      </c>
      <c r="X418">
        <v>18519</v>
      </c>
      <c r="Y418">
        <v>20502</v>
      </c>
      <c r="Z418">
        <v>26327</v>
      </c>
      <c r="AA418">
        <v>27334</v>
      </c>
      <c r="AB418">
        <v>35</v>
      </c>
      <c r="AC418">
        <v>110</v>
      </c>
      <c r="AD418">
        <v>40</v>
      </c>
      <c r="AE418">
        <v>55</v>
      </c>
      <c r="AF418">
        <v>4.6372885383712816</v>
      </c>
      <c r="AG418">
        <v>1.1593221345928204</v>
      </c>
      <c r="AH418">
        <v>0</v>
      </c>
      <c r="AI418">
        <v>0</v>
      </c>
      <c r="AJ418">
        <v>0</v>
      </c>
      <c r="AK418">
        <v>0</v>
      </c>
      <c r="AL418">
        <v>0</v>
      </c>
      <c r="AM418">
        <v>0</v>
      </c>
      <c r="AN418">
        <v>0</v>
      </c>
      <c r="AO418">
        <v>2.8983053364820508</v>
      </c>
      <c r="AP418">
        <v>0</v>
      </c>
      <c r="AQ418">
        <v>0</v>
      </c>
      <c r="AR418">
        <v>0</v>
      </c>
      <c r="AS418">
        <v>0</v>
      </c>
      <c r="AT418">
        <v>2.8983053364820508</v>
      </c>
      <c r="AU418">
        <v>2.3186442691856408</v>
      </c>
      <c r="AV418">
        <v>0</v>
      </c>
      <c r="AW418">
        <v>0</v>
      </c>
      <c r="AX418">
        <v>0</v>
      </c>
      <c r="AY418">
        <v>1.1593221345928204</v>
      </c>
    </row>
    <row r="419" spans="1:51">
      <c r="A419" t="s">
        <v>278</v>
      </c>
      <c r="B419">
        <v>171</v>
      </c>
      <c r="C419" s="102"/>
      <c r="D419" s="102"/>
      <c r="E419" s="102"/>
      <c r="F419" s="102"/>
      <c r="G419" s="102"/>
      <c r="H419" s="102"/>
      <c r="I419" s="102"/>
      <c r="J419" s="102"/>
      <c r="K419" s="102"/>
      <c r="L419" s="102"/>
      <c r="M419" s="102"/>
      <c r="N419" s="102"/>
      <c r="T419">
        <f t="shared" si="13"/>
        <v>0</v>
      </c>
      <c r="W419">
        <v>17873</v>
      </c>
      <c r="X419">
        <v>18386</v>
      </c>
      <c r="Y419">
        <v>17259</v>
      </c>
      <c r="Z419">
        <v>9792</v>
      </c>
      <c r="AA419">
        <v>10016</v>
      </c>
      <c r="AB419">
        <v>155</v>
      </c>
      <c r="AC419">
        <v>200</v>
      </c>
      <c r="AD419">
        <v>45</v>
      </c>
      <c r="AE419">
        <v>10</v>
      </c>
      <c r="AF419" t="e">
        <v>#N/A</v>
      </c>
      <c r="AG419" t="e">
        <v>#N/A</v>
      </c>
      <c r="AH419" t="e">
        <v>#N/A</v>
      </c>
      <c r="AI419" t="e">
        <v>#N/A</v>
      </c>
      <c r="AJ419" t="e">
        <v>#N/A</v>
      </c>
      <c r="AK419" t="e">
        <v>#N/A</v>
      </c>
      <c r="AL419" t="e">
        <v>#N/A</v>
      </c>
      <c r="AM419" t="e">
        <v>#N/A</v>
      </c>
      <c r="AN419" t="e">
        <v>#N/A</v>
      </c>
      <c r="AO419" t="e">
        <v>#N/A</v>
      </c>
      <c r="AP419" t="e">
        <v>#N/A</v>
      </c>
      <c r="AQ419" t="e">
        <v>#N/A</v>
      </c>
      <c r="AR419" t="e">
        <v>#N/A</v>
      </c>
      <c r="AS419" t="e">
        <v>#N/A</v>
      </c>
      <c r="AT419" t="e">
        <v>#N/A</v>
      </c>
      <c r="AU419" t="e">
        <v>#N/A</v>
      </c>
      <c r="AV419" t="e">
        <v>#N/A</v>
      </c>
      <c r="AW419" t="e">
        <v>#N/A</v>
      </c>
      <c r="AX419" t="e">
        <v>#N/A</v>
      </c>
      <c r="AY419" t="e">
        <v>#N/A</v>
      </c>
    </row>
    <row r="420" spans="1:51">
      <c r="A420" t="s">
        <v>477</v>
      </c>
      <c r="B420">
        <v>490</v>
      </c>
      <c r="C420">
        <v>495</v>
      </c>
      <c r="D420">
        <v>1</v>
      </c>
      <c r="E420">
        <v>49113</v>
      </c>
      <c r="F420">
        <v>0</v>
      </c>
      <c r="G420">
        <v>225</v>
      </c>
      <c r="H420">
        <v>50</v>
      </c>
      <c r="I420">
        <v>40</v>
      </c>
      <c r="J420">
        <v>91.1</v>
      </c>
      <c r="K420">
        <v>8.9</v>
      </c>
      <c r="L420">
        <v>53.2</v>
      </c>
      <c r="M420">
        <v>50.6</v>
      </c>
      <c r="N420">
        <v>0</v>
      </c>
      <c r="T420">
        <f t="shared" si="13"/>
        <v>0</v>
      </c>
      <c r="W420">
        <v>20341</v>
      </c>
      <c r="X420">
        <v>20577</v>
      </c>
      <c r="Y420">
        <v>19983</v>
      </c>
      <c r="Z420">
        <v>24880</v>
      </c>
      <c r="AA420">
        <v>17187</v>
      </c>
      <c r="AB420">
        <v>95</v>
      </c>
      <c r="AC420">
        <v>285</v>
      </c>
      <c r="AD420">
        <v>115</v>
      </c>
      <c r="AE420">
        <v>100</v>
      </c>
      <c r="AF420">
        <v>2.2903681195614256</v>
      </c>
      <c r="AG420">
        <v>0</v>
      </c>
      <c r="AH420">
        <v>0</v>
      </c>
      <c r="AI420">
        <v>1.1451840597807128</v>
      </c>
      <c r="AJ420">
        <v>1.1451840597807128</v>
      </c>
      <c r="AK420">
        <v>0.76345603985380861</v>
      </c>
      <c r="AL420">
        <v>1.5269120797076172</v>
      </c>
      <c r="AM420">
        <v>1.1451840597807128</v>
      </c>
      <c r="AN420">
        <v>0</v>
      </c>
      <c r="AO420">
        <v>1.9086400996345214</v>
      </c>
      <c r="AP420">
        <v>0</v>
      </c>
      <c r="AQ420">
        <v>0</v>
      </c>
      <c r="AR420">
        <v>0</v>
      </c>
      <c r="AS420">
        <v>0</v>
      </c>
      <c r="AT420">
        <v>1.1451840597807128</v>
      </c>
      <c r="AU420">
        <v>2.67209613948833</v>
      </c>
      <c r="AV420">
        <v>0.76345603985380861</v>
      </c>
      <c r="AW420">
        <v>0</v>
      </c>
      <c r="AX420">
        <v>0.76345603985380861</v>
      </c>
      <c r="AY420">
        <v>1.1451840597807128</v>
      </c>
    </row>
    <row r="421" spans="1:51">
      <c r="A421" t="s">
        <v>279</v>
      </c>
      <c r="B421">
        <v>1120</v>
      </c>
      <c r="C421">
        <v>1115</v>
      </c>
      <c r="D421">
        <v>2.1</v>
      </c>
      <c r="E421">
        <v>23367</v>
      </c>
      <c r="F421">
        <v>0</v>
      </c>
      <c r="G421">
        <v>285</v>
      </c>
      <c r="H421">
        <v>85</v>
      </c>
      <c r="I421">
        <v>115</v>
      </c>
      <c r="J421">
        <v>3.5</v>
      </c>
      <c r="K421">
        <v>0</v>
      </c>
      <c r="L421">
        <v>51.1</v>
      </c>
      <c r="M421">
        <v>41.2</v>
      </c>
      <c r="N421">
        <v>20.9</v>
      </c>
      <c r="T421" t="str">
        <f t="shared" si="13"/>
        <v>Waywayseecappo First Nation</v>
      </c>
      <c r="W421">
        <v>13249</v>
      </c>
      <c r="X421">
        <v>12273</v>
      </c>
      <c r="Y421">
        <v>14143</v>
      </c>
      <c r="Z421">
        <v>5928</v>
      </c>
      <c r="AA421">
        <v>10976</v>
      </c>
      <c r="AB421">
        <v>460</v>
      </c>
      <c r="AC421">
        <v>630</v>
      </c>
      <c r="AD421">
        <v>160</v>
      </c>
      <c r="AE421">
        <v>30</v>
      </c>
      <c r="AF421">
        <v>0.71140221895468525</v>
      </c>
      <c r="AG421">
        <v>0</v>
      </c>
      <c r="AH421">
        <v>0</v>
      </c>
      <c r="AI421">
        <v>0.71140221895468525</v>
      </c>
      <c r="AJ421">
        <v>0.47426814596979017</v>
      </c>
      <c r="AK421">
        <v>0.47426814596979017</v>
      </c>
      <c r="AL421">
        <v>1.4228044379093705</v>
      </c>
      <c r="AM421">
        <v>0</v>
      </c>
      <c r="AN421">
        <v>0</v>
      </c>
      <c r="AO421">
        <v>0</v>
      </c>
      <c r="AP421">
        <v>0</v>
      </c>
      <c r="AQ421">
        <v>0</v>
      </c>
      <c r="AR421">
        <v>0</v>
      </c>
      <c r="AS421">
        <v>0.47426814596979017</v>
      </c>
      <c r="AT421">
        <v>2.1342066568640554</v>
      </c>
      <c r="AU421">
        <v>1.8970725838791607</v>
      </c>
      <c r="AV421">
        <v>0.47426814596979017</v>
      </c>
      <c r="AW421">
        <v>2.3713407298489511</v>
      </c>
      <c r="AX421">
        <v>0</v>
      </c>
      <c r="AY421">
        <v>3.0827429488036358</v>
      </c>
    </row>
    <row r="422" spans="1:51">
      <c r="A422" t="s">
        <v>478</v>
      </c>
      <c r="B422">
        <v>3890</v>
      </c>
      <c r="C422">
        <v>3845</v>
      </c>
      <c r="D422">
        <v>1.2</v>
      </c>
      <c r="E422">
        <v>97781</v>
      </c>
      <c r="F422">
        <v>3</v>
      </c>
      <c r="G422">
        <v>1330</v>
      </c>
      <c r="H422">
        <v>385</v>
      </c>
      <c r="I422">
        <v>100</v>
      </c>
      <c r="J422">
        <v>95.5</v>
      </c>
      <c r="K422">
        <v>4.5</v>
      </c>
      <c r="L422">
        <v>71.5</v>
      </c>
      <c r="M422">
        <v>70</v>
      </c>
      <c r="N422">
        <v>2</v>
      </c>
      <c r="T422">
        <f t="shared" si="13"/>
        <v>0</v>
      </c>
      <c r="W422">
        <v>39633</v>
      </c>
      <c r="X422">
        <v>48989</v>
      </c>
      <c r="Y422">
        <v>29052</v>
      </c>
      <c r="Z422">
        <v>33881</v>
      </c>
      <c r="AA422">
        <v>23435</v>
      </c>
      <c r="AB422">
        <v>715</v>
      </c>
      <c r="AC422">
        <v>2700</v>
      </c>
      <c r="AD422">
        <v>1170</v>
      </c>
      <c r="AE422">
        <v>465</v>
      </c>
      <c r="AF422">
        <v>0.13819734054748853</v>
      </c>
      <c r="AG422">
        <v>0</v>
      </c>
      <c r="AH422">
        <v>0.20729601082123278</v>
      </c>
      <c r="AI422">
        <v>0.89828271355867539</v>
      </c>
      <c r="AJ422">
        <v>2.1075094433491999</v>
      </c>
      <c r="AK422">
        <v>0.79463470814805903</v>
      </c>
      <c r="AL422">
        <v>1.7620160919804788</v>
      </c>
      <c r="AM422">
        <v>1.4165227406117573</v>
      </c>
      <c r="AN422">
        <v>0.20729601082123278</v>
      </c>
      <c r="AO422">
        <v>0.41459202164246556</v>
      </c>
      <c r="AP422">
        <v>0.38004268650559342</v>
      </c>
      <c r="AQ422">
        <v>0.51824002705308203</v>
      </c>
      <c r="AR422">
        <v>0</v>
      </c>
      <c r="AS422">
        <v>0.55278936218995411</v>
      </c>
      <c r="AT422">
        <v>0.82918404328493112</v>
      </c>
      <c r="AU422">
        <v>1.6583680865698622</v>
      </c>
      <c r="AV422">
        <v>0.41459202164246556</v>
      </c>
      <c r="AW422">
        <v>0.5873386973268262</v>
      </c>
      <c r="AX422">
        <v>1.1401280595167802</v>
      </c>
      <c r="AY422">
        <v>1.4856214108855017</v>
      </c>
    </row>
    <row r="423" spans="1:51">
      <c r="A423" t="s">
        <v>646</v>
      </c>
      <c r="B423">
        <v>1995</v>
      </c>
      <c r="C423">
        <v>1550</v>
      </c>
      <c r="D423">
        <v>1.2</v>
      </c>
      <c r="E423">
        <v>44228</v>
      </c>
      <c r="F423">
        <v>10.3</v>
      </c>
      <c r="G423">
        <v>600</v>
      </c>
      <c r="H423">
        <v>255</v>
      </c>
      <c r="I423">
        <v>90</v>
      </c>
      <c r="J423">
        <v>86.7</v>
      </c>
      <c r="K423">
        <v>13.3</v>
      </c>
      <c r="L423">
        <v>66</v>
      </c>
      <c r="M423">
        <v>65.3</v>
      </c>
      <c r="N423">
        <v>0</v>
      </c>
      <c r="T423">
        <f t="shared" si="13"/>
        <v>0</v>
      </c>
      <c r="W423">
        <v>15805</v>
      </c>
      <c r="X423">
        <v>15775</v>
      </c>
      <c r="Y423">
        <v>15840</v>
      </c>
      <c r="Z423">
        <v>17030</v>
      </c>
      <c r="AA423">
        <v>16420</v>
      </c>
      <c r="AB423">
        <v>530</v>
      </c>
      <c r="AC423">
        <v>1200</v>
      </c>
      <c r="AD423">
        <v>485</v>
      </c>
      <c r="AE423">
        <v>285</v>
      </c>
      <c r="AF423">
        <v>7.8659706489600953</v>
      </c>
      <c r="AG423">
        <v>0</v>
      </c>
      <c r="AH423">
        <v>0</v>
      </c>
      <c r="AI423">
        <v>0.40546240458557187</v>
      </c>
      <c r="AJ423">
        <v>0.56764736641980063</v>
      </c>
      <c r="AK423">
        <v>1.3785721755909444</v>
      </c>
      <c r="AL423">
        <v>0.56764736641980063</v>
      </c>
      <c r="AM423">
        <v>0.40546240458557187</v>
      </c>
      <c r="AN423">
        <v>0</v>
      </c>
      <c r="AO423">
        <v>0.16218496183422876</v>
      </c>
      <c r="AP423">
        <v>0</v>
      </c>
      <c r="AQ423">
        <v>0</v>
      </c>
      <c r="AR423">
        <v>0</v>
      </c>
      <c r="AS423">
        <v>0.16218496183422876</v>
      </c>
      <c r="AT423">
        <v>0.97310977100537255</v>
      </c>
      <c r="AU423">
        <v>1.8651270610936306</v>
      </c>
      <c r="AV423">
        <v>0</v>
      </c>
      <c r="AW423">
        <v>0.40546240458557187</v>
      </c>
      <c r="AX423">
        <v>0.72983232825402944</v>
      </c>
      <c r="AY423">
        <v>0.16218496183422876</v>
      </c>
    </row>
    <row r="424" spans="1:51">
      <c r="A424" t="s">
        <v>635</v>
      </c>
      <c r="B424">
        <v>1435</v>
      </c>
      <c r="C424">
        <v>1435</v>
      </c>
      <c r="D424">
        <v>1.2</v>
      </c>
      <c r="E424">
        <v>61254</v>
      </c>
      <c r="F424">
        <v>8.3000000000000007</v>
      </c>
      <c r="G424">
        <v>510</v>
      </c>
      <c r="H424">
        <v>225</v>
      </c>
      <c r="I424">
        <v>65</v>
      </c>
      <c r="J424">
        <v>91.2</v>
      </c>
      <c r="K424">
        <v>8.8000000000000007</v>
      </c>
      <c r="L424">
        <v>79.5</v>
      </c>
      <c r="M424">
        <v>77.3</v>
      </c>
      <c r="N424">
        <v>2.2000000000000002</v>
      </c>
      <c r="T424">
        <f t="shared" si="13"/>
        <v>0</v>
      </c>
      <c r="W424">
        <v>24804</v>
      </c>
      <c r="X424">
        <v>26332</v>
      </c>
      <c r="Y424">
        <v>22930</v>
      </c>
      <c r="Z424">
        <v>27914</v>
      </c>
      <c r="AA424">
        <v>18131</v>
      </c>
      <c r="AB424">
        <v>290</v>
      </c>
      <c r="AC424">
        <v>1025</v>
      </c>
      <c r="AD424">
        <v>465</v>
      </c>
      <c r="AE424">
        <v>100</v>
      </c>
      <c r="AF424">
        <v>3.4587511197796852</v>
      </c>
      <c r="AG424">
        <v>0</v>
      </c>
      <c r="AH424">
        <v>0.3458751119779685</v>
      </c>
      <c r="AI424">
        <v>0.60528144596144484</v>
      </c>
      <c r="AJ424">
        <v>0.8646877799449213</v>
      </c>
      <c r="AK424">
        <v>0.95115655793941334</v>
      </c>
      <c r="AL424">
        <v>1.9023131158788267</v>
      </c>
      <c r="AM424">
        <v>0.95115655793941334</v>
      </c>
      <c r="AN424">
        <v>0</v>
      </c>
      <c r="AO424">
        <v>0.17293755598898425</v>
      </c>
      <c r="AP424">
        <v>0.2594063339834764</v>
      </c>
      <c r="AQ424">
        <v>0.3458751119779685</v>
      </c>
      <c r="AR424">
        <v>0.17293755598898425</v>
      </c>
      <c r="AS424">
        <v>0.5188126679669528</v>
      </c>
      <c r="AT424">
        <v>1.6429067818953504</v>
      </c>
      <c r="AU424">
        <v>1.7293755598898426</v>
      </c>
      <c r="AV424">
        <v>0</v>
      </c>
      <c r="AW424">
        <v>0.95115655793941334</v>
      </c>
      <c r="AX424">
        <v>0.43234388997246065</v>
      </c>
      <c r="AY424">
        <v>0.3458751119779685</v>
      </c>
    </row>
    <row r="425" spans="1:51">
      <c r="A425" t="s">
        <v>479</v>
      </c>
      <c r="B425">
        <v>1610</v>
      </c>
      <c r="C425">
        <v>1515</v>
      </c>
      <c r="D425">
        <v>1.1000000000000001</v>
      </c>
      <c r="E425">
        <v>49031</v>
      </c>
      <c r="F425">
        <v>6.7</v>
      </c>
      <c r="G425">
        <v>620</v>
      </c>
      <c r="H425">
        <v>245</v>
      </c>
      <c r="I425">
        <v>95</v>
      </c>
      <c r="J425">
        <v>83.1</v>
      </c>
      <c r="K425">
        <v>16.899999999999999</v>
      </c>
      <c r="L425">
        <v>66</v>
      </c>
      <c r="M425">
        <v>64.5</v>
      </c>
      <c r="N425">
        <v>2.2999999999999998</v>
      </c>
      <c r="T425">
        <f t="shared" si="13"/>
        <v>0</v>
      </c>
      <c r="W425">
        <v>21589</v>
      </c>
      <c r="X425">
        <v>23909</v>
      </c>
      <c r="Y425">
        <v>18476</v>
      </c>
      <c r="Z425">
        <v>24244</v>
      </c>
      <c r="AA425">
        <v>13323</v>
      </c>
      <c r="AB425">
        <v>290</v>
      </c>
      <c r="AC425">
        <v>1020</v>
      </c>
      <c r="AD425">
        <v>320</v>
      </c>
      <c r="AE425">
        <v>295</v>
      </c>
      <c r="AF425">
        <v>6.3497729486126762</v>
      </c>
      <c r="AG425">
        <v>0.98376763992590766</v>
      </c>
      <c r="AH425">
        <v>0.44716710905723073</v>
      </c>
      <c r="AI425">
        <v>0.44716710905723073</v>
      </c>
      <c r="AJ425">
        <v>0.35773368724578458</v>
      </c>
      <c r="AK425">
        <v>0.35773368724578458</v>
      </c>
      <c r="AL425">
        <v>0.53660053086867687</v>
      </c>
      <c r="AM425">
        <v>1.2520679053602461</v>
      </c>
      <c r="AN425">
        <v>0</v>
      </c>
      <c r="AO425">
        <v>0.26830026543433844</v>
      </c>
      <c r="AP425">
        <v>0</v>
      </c>
      <c r="AQ425">
        <v>0.62603395268012307</v>
      </c>
      <c r="AR425">
        <v>0</v>
      </c>
      <c r="AS425">
        <v>0.17886684362289229</v>
      </c>
      <c r="AT425">
        <v>0.62603395268012307</v>
      </c>
      <c r="AU425">
        <v>1.1626344835487998</v>
      </c>
      <c r="AV425">
        <v>0</v>
      </c>
      <c r="AW425">
        <v>0.89433421811446145</v>
      </c>
      <c r="AX425">
        <v>0.17886684362289229</v>
      </c>
      <c r="AY425">
        <v>0.89433421811446145</v>
      </c>
    </row>
    <row r="426" spans="1:51">
      <c r="A426" t="s">
        <v>626</v>
      </c>
      <c r="B426">
        <v>725</v>
      </c>
      <c r="C426">
        <v>635</v>
      </c>
      <c r="D426">
        <v>1.1000000000000001</v>
      </c>
      <c r="E426">
        <v>42424</v>
      </c>
      <c r="F426">
        <v>10.5</v>
      </c>
      <c r="G426">
        <v>240</v>
      </c>
      <c r="H426">
        <v>105</v>
      </c>
      <c r="I426">
        <v>15</v>
      </c>
      <c r="J426">
        <v>91.7</v>
      </c>
      <c r="K426">
        <v>10.4</v>
      </c>
      <c r="L426">
        <v>67.3</v>
      </c>
      <c r="M426">
        <v>63.6</v>
      </c>
      <c r="N426">
        <v>5.4</v>
      </c>
      <c r="T426">
        <f t="shared" si="13"/>
        <v>0</v>
      </c>
      <c r="W426">
        <v>18001</v>
      </c>
      <c r="X426">
        <v>19161</v>
      </c>
      <c r="Y426">
        <v>16860</v>
      </c>
      <c r="Z426">
        <v>21281</v>
      </c>
      <c r="AA426">
        <v>14817</v>
      </c>
      <c r="AB426">
        <v>170</v>
      </c>
      <c r="AC426">
        <v>420</v>
      </c>
      <c r="AD426">
        <v>155</v>
      </c>
      <c r="AE426">
        <v>125</v>
      </c>
      <c r="AF426">
        <v>8.4599182794611227</v>
      </c>
      <c r="AG426">
        <v>0</v>
      </c>
      <c r="AH426">
        <v>0</v>
      </c>
      <c r="AI426">
        <v>0.42299591397305608</v>
      </c>
      <c r="AJ426">
        <v>0.63449387095958421</v>
      </c>
      <c r="AK426">
        <v>0</v>
      </c>
      <c r="AL426">
        <v>0.84599182794611216</v>
      </c>
      <c r="AM426">
        <v>0.63449387095958421</v>
      </c>
      <c r="AN426">
        <v>0</v>
      </c>
      <c r="AO426">
        <v>0</v>
      </c>
      <c r="AP426">
        <v>0</v>
      </c>
      <c r="AQ426">
        <v>0.63449387095958421</v>
      </c>
      <c r="AR426">
        <v>0</v>
      </c>
      <c r="AS426">
        <v>0</v>
      </c>
      <c r="AT426">
        <v>0.84599182794611216</v>
      </c>
      <c r="AU426">
        <v>1.0574897849326403</v>
      </c>
      <c r="AV426">
        <v>0.42299591397305608</v>
      </c>
      <c r="AW426">
        <v>0</v>
      </c>
      <c r="AX426">
        <v>0.42299591397305608</v>
      </c>
      <c r="AY426">
        <v>0.63449387095958421</v>
      </c>
    </row>
    <row r="427" spans="1:51">
      <c r="A427" t="s">
        <v>621</v>
      </c>
      <c r="B427">
        <v>585</v>
      </c>
      <c r="C427">
        <v>585</v>
      </c>
      <c r="D427">
        <v>1</v>
      </c>
      <c r="E427">
        <v>41272</v>
      </c>
      <c r="F427">
        <v>16.2</v>
      </c>
      <c r="G427">
        <v>220</v>
      </c>
      <c r="H427">
        <v>85</v>
      </c>
      <c r="I427">
        <v>20</v>
      </c>
      <c r="J427">
        <v>88.6</v>
      </c>
      <c r="K427">
        <v>11.4</v>
      </c>
      <c r="L427">
        <v>77.400000000000006</v>
      </c>
      <c r="M427">
        <v>72</v>
      </c>
      <c r="N427">
        <v>6.9</v>
      </c>
      <c r="T427">
        <f t="shared" si="13"/>
        <v>0</v>
      </c>
      <c r="W427">
        <v>18830</v>
      </c>
      <c r="X427">
        <v>21271</v>
      </c>
      <c r="Y427">
        <v>16034</v>
      </c>
      <c r="Z427">
        <v>18031</v>
      </c>
      <c r="AA427">
        <v>10047</v>
      </c>
      <c r="AB427">
        <v>120</v>
      </c>
      <c r="AC427">
        <v>400</v>
      </c>
      <c r="AD427">
        <v>185</v>
      </c>
      <c r="AE427">
        <v>55</v>
      </c>
      <c r="AF427">
        <v>7.8254244085015374</v>
      </c>
      <c r="AG427">
        <v>0</v>
      </c>
      <c r="AH427">
        <v>0</v>
      </c>
      <c r="AI427">
        <v>0</v>
      </c>
      <c r="AJ427">
        <v>0.4347458004723076</v>
      </c>
      <c r="AK427">
        <v>0</v>
      </c>
      <c r="AL427">
        <v>1.7389832018892304</v>
      </c>
      <c r="AM427">
        <v>1.5216103016530769</v>
      </c>
      <c r="AN427">
        <v>0</v>
      </c>
      <c r="AO427">
        <v>0.65211870070846145</v>
      </c>
      <c r="AP427">
        <v>0</v>
      </c>
      <c r="AQ427">
        <v>0</v>
      </c>
      <c r="AR427">
        <v>0</v>
      </c>
      <c r="AS427">
        <v>0</v>
      </c>
      <c r="AT427">
        <v>0.86949160094461519</v>
      </c>
      <c r="AU427">
        <v>1.0868645011807692</v>
      </c>
      <c r="AV427">
        <v>0</v>
      </c>
      <c r="AW427">
        <v>0.4347458004723076</v>
      </c>
      <c r="AX427">
        <v>0.65211870070846145</v>
      </c>
      <c r="AY427">
        <v>0</v>
      </c>
    </row>
    <row r="428" spans="1:51">
      <c r="A428" t="s">
        <v>480</v>
      </c>
      <c r="B428">
        <v>7800</v>
      </c>
      <c r="C428">
        <v>7795</v>
      </c>
      <c r="D428">
        <v>1.3</v>
      </c>
      <c r="E428">
        <v>50923</v>
      </c>
      <c r="F428">
        <v>10.4</v>
      </c>
      <c r="G428">
        <v>2885</v>
      </c>
      <c r="H428">
        <v>610</v>
      </c>
      <c r="I428">
        <v>135</v>
      </c>
      <c r="J428">
        <v>72.400000000000006</v>
      </c>
      <c r="K428">
        <v>27.7</v>
      </c>
      <c r="L428">
        <v>66.599999999999994</v>
      </c>
      <c r="M428">
        <v>63.3</v>
      </c>
      <c r="N428">
        <v>4.9000000000000004</v>
      </c>
      <c r="T428">
        <f t="shared" si="13"/>
        <v>0</v>
      </c>
      <c r="W428">
        <v>22423</v>
      </c>
      <c r="X428">
        <v>27787</v>
      </c>
      <c r="Y428">
        <v>16061</v>
      </c>
      <c r="Z428">
        <v>23613</v>
      </c>
      <c r="AA428">
        <v>13205</v>
      </c>
      <c r="AB428">
        <v>1720</v>
      </c>
      <c r="AC428">
        <v>4775</v>
      </c>
      <c r="AD428">
        <v>1470</v>
      </c>
      <c r="AE428">
        <v>1275</v>
      </c>
      <c r="AF428">
        <v>0.94795005195692295</v>
      </c>
      <c r="AG428">
        <v>0</v>
      </c>
      <c r="AH428">
        <v>3.869183885538461E-2</v>
      </c>
      <c r="AI428">
        <v>0.8705663742461538</v>
      </c>
      <c r="AJ428">
        <v>4.120680838098461</v>
      </c>
      <c r="AK428">
        <v>0.50299390511999997</v>
      </c>
      <c r="AL428">
        <v>2.0506674593353846</v>
      </c>
      <c r="AM428">
        <v>0.4062643079815384</v>
      </c>
      <c r="AN428">
        <v>0.23215103313230767</v>
      </c>
      <c r="AO428">
        <v>0.27084287198769225</v>
      </c>
      <c r="AP428">
        <v>0.11607551656615384</v>
      </c>
      <c r="AQ428">
        <v>0.38691838855384608</v>
      </c>
      <c r="AR428">
        <v>0</v>
      </c>
      <c r="AS428">
        <v>0.23215103313230767</v>
      </c>
      <c r="AT428">
        <v>0.83187453539076905</v>
      </c>
      <c r="AU428">
        <v>2.3602021701784612</v>
      </c>
      <c r="AV428">
        <v>0.19345919427692304</v>
      </c>
      <c r="AW428">
        <v>0.90925821310153843</v>
      </c>
      <c r="AX428">
        <v>0.81252861596307679</v>
      </c>
      <c r="AY428">
        <v>0.17411327484923075</v>
      </c>
    </row>
    <row r="429" spans="1:51">
      <c r="A429" t="s">
        <v>481</v>
      </c>
      <c r="B429">
        <v>610450</v>
      </c>
      <c r="C429">
        <v>607435</v>
      </c>
      <c r="D429">
        <v>1.1000000000000001</v>
      </c>
      <c r="E429">
        <v>63568</v>
      </c>
      <c r="F429">
        <v>15.5</v>
      </c>
      <c r="G429">
        <v>252810</v>
      </c>
      <c r="H429">
        <v>72395</v>
      </c>
      <c r="I429">
        <v>23740</v>
      </c>
      <c r="J429">
        <v>63.6</v>
      </c>
      <c r="K429">
        <v>36.4</v>
      </c>
      <c r="L429">
        <v>68.099999999999994</v>
      </c>
      <c r="M429">
        <v>64.2</v>
      </c>
      <c r="N429">
        <v>5.7</v>
      </c>
      <c r="T429">
        <f t="shared" si="13"/>
        <v>0</v>
      </c>
      <c r="W429">
        <v>29145</v>
      </c>
      <c r="X429">
        <v>34796</v>
      </c>
      <c r="Y429">
        <v>23143</v>
      </c>
      <c r="Z429">
        <v>28307</v>
      </c>
      <c r="AA429">
        <v>18130</v>
      </c>
      <c r="AB429">
        <v>116710</v>
      </c>
      <c r="AC429">
        <v>412470</v>
      </c>
      <c r="AD429">
        <v>142455</v>
      </c>
      <c r="AE429">
        <v>81235</v>
      </c>
      <c r="AF429">
        <v>6.5479865382770314E-2</v>
      </c>
      <c r="AG429">
        <v>1.3931886251653258E-2</v>
      </c>
      <c r="AH429">
        <v>0.17345198383308305</v>
      </c>
      <c r="AI429">
        <v>0.63808039032571917</v>
      </c>
      <c r="AJ429">
        <v>2.0784052306424718</v>
      </c>
      <c r="AK429">
        <v>0.68103703960165007</v>
      </c>
      <c r="AL429">
        <v>1.6924919814716766</v>
      </c>
      <c r="AM429">
        <v>0.95479860444663656</v>
      </c>
      <c r="AN429">
        <v>0.41099064442377109</v>
      </c>
      <c r="AO429">
        <v>0.67871505855970793</v>
      </c>
      <c r="AP429">
        <v>0.26888540465690791</v>
      </c>
      <c r="AQ429">
        <v>0.78204321492613615</v>
      </c>
      <c r="AR429">
        <v>8.1269336467977345E-3</v>
      </c>
      <c r="AS429">
        <v>0.63018565478311572</v>
      </c>
      <c r="AT429">
        <v>1.1113001266735416</v>
      </c>
      <c r="AU429">
        <v>1.9193495292694305</v>
      </c>
      <c r="AV429">
        <v>0.31346744066219828</v>
      </c>
      <c r="AW429">
        <v>1.1410214840104018</v>
      </c>
      <c r="AX429">
        <v>0.75603702725638344</v>
      </c>
      <c r="AY429">
        <v>1.1421824745313729</v>
      </c>
    </row>
    <row r="430" spans="1:51">
      <c r="A430" t="s">
        <v>482</v>
      </c>
      <c r="B430">
        <v>800</v>
      </c>
      <c r="C430">
        <v>785</v>
      </c>
      <c r="D430">
        <v>0.5</v>
      </c>
      <c r="E430">
        <v>44329</v>
      </c>
      <c r="F430">
        <v>5.7</v>
      </c>
      <c r="G430">
        <v>390</v>
      </c>
      <c r="H430">
        <v>110</v>
      </c>
      <c r="I430">
        <v>70</v>
      </c>
      <c r="J430">
        <v>92.3</v>
      </c>
      <c r="K430">
        <v>7.7</v>
      </c>
      <c r="L430">
        <v>51.4</v>
      </c>
      <c r="M430">
        <v>42.4</v>
      </c>
      <c r="N430">
        <v>17.600000000000001</v>
      </c>
      <c r="T430">
        <f t="shared" si="13"/>
        <v>0</v>
      </c>
      <c r="W430">
        <v>21358</v>
      </c>
      <c r="X430">
        <v>22484</v>
      </c>
      <c r="Y430">
        <v>19920</v>
      </c>
      <c r="Z430">
        <v>23493</v>
      </c>
      <c r="AA430">
        <v>12133</v>
      </c>
      <c r="AB430">
        <v>65</v>
      </c>
      <c r="AC430">
        <v>495</v>
      </c>
      <c r="AD430">
        <v>290</v>
      </c>
      <c r="AE430">
        <v>220</v>
      </c>
      <c r="AF430">
        <v>1.0574897849326403</v>
      </c>
      <c r="AG430">
        <v>0.42299591397305608</v>
      </c>
      <c r="AH430">
        <v>0</v>
      </c>
      <c r="AI430">
        <v>1.4804856989056965</v>
      </c>
      <c r="AJ430">
        <v>1.6919836558922243</v>
      </c>
      <c r="AK430">
        <v>0.42299591397305608</v>
      </c>
      <c r="AL430">
        <v>2.1149795698652807</v>
      </c>
      <c r="AM430">
        <v>0.84599182794611216</v>
      </c>
      <c r="AN430">
        <v>0</v>
      </c>
      <c r="AO430">
        <v>0</v>
      </c>
      <c r="AP430">
        <v>0</v>
      </c>
      <c r="AQ430">
        <v>0</v>
      </c>
      <c r="AR430">
        <v>0</v>
      </c>
      <c r="AS430">
        <v>0.84599182794611216</v>
      </c>
      <c r="AT430">
        <v>0.84599182794611216</v>
      </c>
      <c r="AU430">
        <v>1.4804856989056965</v>
      </c>
      <c r="AV430">
        <v>0</v>
      </c>
      <c r="AW430">
        <v>1.4804856989056965</v>
      </c>
      <c r="AX430">
        <v>1.0574897849326403</v>
      </c>
      <c r="AY430">
        <v>1.0574897849326403</v>
      </c>
    </row>
    <row r="431" spans="1:51">
      <c r="A431" t="s">
        <v>767</v>
      </c>
      <c r="B431">
        <v>622020</v>
      </c>
      <c r="C431">
        <v>618965</v>
      </c>
      <c r="D431">
        <v>1.1000000000000001</v>
      </c>
      <c r="E431">
        <v>64240</v>
      </c>
      <c r="F431">
        <v>15.2</v>
      </c>
      <c r="G431">
        <v>256615</v>
      </c>
      <c r="H431">
        <v>73330</v>
      </c>
      <c r="I431">
        <v>23955</v>
      </c>
      <c r="J431">
        <v>64.099999999999994</v>
      </c>
      <c r="K431">
        <v>35.9</v>
      </c>
      <c r="L431">
        <v>68.2</v>
      </c>
      <c r="M431">
        <v>64.3</v>
      </c>
      <c r="N431">
        <v>5.6</v>
      </c>
      <c r="T431">
        <f t="shared" si="13"/>
        <v>0</v>
      </c>
      <c r="W431">
        <v>29358</v>
      </c>
      <c r="X431">
        <v>35081</v>
      </c>
      <c r="Y431">
        <v>23273</v>
      </c>
      <c r="Z431">
        <v>28410</v>
      </c>
      <c r="AA431">
        <v>18215</v>
      </c>
      <c r="AB431">
        <v>119105</v>
      </c>
      <c r="AC431">
        <v>420565</v>
      </c>
      <c r="AD431">
        <v>145950</v>
      </c>
      <c r="AE431">
        <v>82340</v>
      </c>
      <c r="AF431">
        <v>6.5059683676281746E-2</v>
      </c>
      <c r="AG431">
        <v>1.4609893878182569E-2</v>
      </c>
      <c r="AH431">
        <v>0.17463388776265099</v>
      </c>
      <c r="AI431">
        <v>0.64146565308895331</v>
      </c>
      <c r="AJ431">
        <v>2.0748332102937712</v>
      </c>
      <c r="AK431">
        <v>0.68849124900935355</v>
      </c>
      <c r="AL431">
        <v>1.692921453134405</v>
      </c>
      <c r="AM431">
        <v>0.96242675922527665</v>
      </c>
      <c r="AN431">
        <v>0.40839218981357206</v>
      </c>
      <c r="AO431">
        <v>0.67684898982517683</v>
      </c>
      <c r="AP431">
        <v>0.27028303674637749</v>
      </c>
      <c r="AQ431">
        <v>0.77683545105398866</v>
      </c>
      <c r="AR431">
        <v>8.6746244901708992E-3</v>
      </c>
      <c r="AS431">
        <v>0.62799715717000382</v>
      </c>
      <c r="AT431">
        <v>1.1101236551500284</v>
      </c>
      <c r="AU431">
        <v>1.9180051306951551</v>
      </c>
      <c r="AV431">
        <v>0.313656159197232</v>
      </c>
      <c r="AW431">
        <v>1.132723334742842</v>
      </c>
      <c r="AX431">
        <v>0.75925792248180024</v>
      </c>
      <c r="AY431">
        <v>1.1450504327025588</v>
      </c>
    </row>
    <row r="432" spans="1:51">
      <c r="A432" t="s">
        <v>685</v>
      </c>
      <c r="B432">
        <v>595</v>
      </c>
      <c r="C432">
        <v>590</v>
      </c>
      <c r="D432">
        <v>1.2</v>
      </c>
      <c r="E432">
        <v>38840</v>
      </c>
      <c r="F432">
        <v>31.2</v>
      </c>
      <c r="G432">
        <v>280</v>
      </c>
      <c r="H432">
        <v>120</v>
      </c>
      <c r="I432">
        <v>50</v>
      </c>
      <c r="J432">
        <v>67.900000000000006</v>
      </c>
      <c r="K432">
        <v>32.1</v>
      </c>
      <c r="L432">
        <v>46.9</v>
      </c>
      <c r="M432">
        <v>38.5</v>
      </c>
      <c r="N432">
        <v>17.8</v>
      </c>
      <c r="T432">
        <f t="shared" si="13"/>
        <v>0</v>
      </c>
      <c r="W432">
        <v>20851</v>
      </c>
      <c r="X432">
        <v>24303</v>
      </c>
      <c r="Y432">
        <v>14570</v>
      </c>
      <c r="Z432">
        <v>21594</v>
      </c>
      <c r="AA432">
        <v>12340</v>
      </c>
      <c r="AB432">
        <v>115</v>
      </c>
      <c r="AC432">
        <v>340</v>
      </c>
      <c r="AD432">
        <v>140</v>
      </c>
      <c r="AE432">
        <v>145</v>
      </c>
      <c r="AF432">
        <v>1.3609433753915716</v>
      </c>
      <c r="AG432">
        <v>1.7011792192394646</v>
      </c>
      <c r="AH432">
        <v>0.68047168769578581</v>
      </c>
      <c r="AI432">
        <v>1.0207075315436789</v>
      </c>
      <c r="AJ432">
        <v>0</v>
      </c>
      <c r="AK432">
        <v>0.68047168769578581</v>
      </c>
      <c r="AL432">
        <v>0.68047168769578581</v>
      </c>
      <c r="AM432">
        <v>0.68047168769578581</v>
      </c>
      <c r="AN432">
        <v>0</v>
      </c>
      <c r="AO432">
        <v>0</v>
      </c>
      <c r="AP432">
        <v>0</v>
      </c>
      <c r="AQ432">
        <v>0</v>
      </c>
      <c r="AR432">
        <v>0</v>
      </c>
      <c r="AS432">
        <v>0</v>
      </c>
      <c r="AT432">
        <v>3.0621225946310364</v>
      </c>
      <c r="AU432">
        <v>1.7011792192394646</v>
      </c>
      <c r="AV432">
        <v>0</v>
      </c>
      <c r="AW432">
        <v>0.68047168769578581</v>
      </c>
      <c r="AX432">
        <v>0.68047168769578581</v>
      </c>
      <c r="AY432">
        <v>2.3816509069352505</v>
      </c>
    </row>
    <row r="433" spans="1:51">
      <c r="A433" t="s">
        <v>661</v>
      </c>
      <c r="B433">
        <v>3450</v>
      </c>
      <c r="C433">
        <v>3200</v>
      </c>
      <c r="D433">
        <v>1.2</v>
      </c>
      <c r="E433">
        <v>57956</v>
      </c>
      <c r="F433">
        <v>9.6</v>
      </c>
      <c r="G433">
        <v>1165</v>
      </c>
      <c r="H433">
        <v>355</v>
      </c>
      <c r="I433">
        <v>190</v>
      </c>
      <c r="J433">
        <v>91</v>
      </c>
      <c r="K433">
        <v>8.6</v>
      </c>
      <c r="L433">
        <v>73.099999999999994</v>
      </c>
      <c r="M433">
        <v>69.3</v>
      </c>
      <c r="N433">
        <v>5.4</v>
      </c>
      <c r="T433">
        <f t="shared" si="13"/>
        <v>0</v>
      </c>
      <c r="W433">
        <v>24784</v>
      </c>
      <c r="X433">
        <v>30578</v>
      </c>
      <c r="Y433">
        <v>18195</v>
      </c>
      <c r="Z433">
        <v>28568</v>
      </c>
      <c r="AA433">
        <v>15406</v>
      </c>
      <c r="AB433">
        <v>810</v>
      </c>
      <c r="AC433">
        <v>2305</v>
      </c>
      <c r="AD433">
        <v>875</v>
      </c>
      <c r="AE433">
        <v>345</v>
      </c>
      <c r="AF433">
        <v>3.4779664037784608</v>
      </c>
      <c r="AG433">
        <v>0</v>
      </c>
      <c r="AH433">
        <v>0.32353175849101967</v>
      </c>
      <c r="AI433">
        <v>0.60662204717066182</v>
      </c>
      <c r="AJ433">
        <v>1.4154514433982111</v>
      </c>
      <c r="AK433">
        <v>0.72794645660479418</v>
      </c>
      <c r="AL433">
        <v>1.0919196849071913</v>
      </c>
      <c r="AM433">
        <v>1.2941270339640787</v>
      </c>
      <c r="AN433">
        <v>0.28309028867964214</v>
      </c>
      <c r="AO433">
        <v>0.16176587924550984</v>
      </c>
      <c r="AP433">
        <v>0</v>
      </c>
      <c r="AQ433">
        <v>0.16176587924550984</v>
      </c>
      <c r="AR433">
        <v>0</v>
      </c>
      <c r="AS433">
        <v>0.24264881886826473</v>
      </c>
      <c r="AT433">
        <v>1.2132440943413236</v>
      </c>
      <c r="AU433">
        <v>1.8198661415119854</v>
      </c>
      <c r="AV433">
        <v>0.24264881886826473</v>
      </c>
      <c r="AW433">
        <v>0.64706351698203934</v>
      </c>
      <c r="AX433">
        <v>0.68750498679341665</v>
      </c>
      <c r="AY433">
        <v>0.84927086603892654</v>
      </c>
    </row>
    <row r="434" spans="1:51">
      <c r="A434" t="s">
        <v>631</v>
      </c>
      <c r="B434">
        <v>930</v>
      </c>
      <c r="C434">
        <v>930</v>
      </c>
      <c r="D434">
        <v>1</v>
      </c>
      <c r="E434">
        <v>44416</v>
      </c>
      <c r="F434">
        <v>15.8</v>
      </c>
      <c r="G434">
        <v>355</v>
      </c>
      <c r="H434">
        <v>170</v>
      </c>
      <c r="I434">
        <v>35</v>
      </c>
      <c r="J434">
        <v>90.1</v>
      </c>
      <c r="K434">
        <v>8.5</v>
      </c>
      <c r="L434">
        <v>80.099999999999994</v>
      </c>
      <c r="M434">
        <v>78.8</v>
      </c>
      <c r="N434">
        <v>1.7</v>
      </c>
      <c r="T434">
        <f t="shared" si="13"/>
        <v>0</v>
      </c>
      <c r="W434">
        <v>16910</v>
      </c>
      <c r="X434">
        <v>18417</v>
      </c>
      <c r="Y434">
        <v>15343</v>
      </c>
      <c r="Z434">
        <v>17395</v>
      </c>
      <c r="AA434">
        <v>13070</v>
      </c>
      <c r="AB434">
        <v>190</v>
      </c>
      <c r="AC434">
        <v>605</v>
      </c>
      <c r="AD434">
        <v>255</v>
      </c>
      <c r="AE434">
        <v>130</v>
      </c>
      <c r="AF434">
        <v>6.8221648689500585</v>
      </c>
      <c r="AG434">
        <v>0</v>
      </c>
      <c r="AH434">
        <v>0.26753587721372779</v>
      </c>
      <c r="AI434">
        <v>0.66883969303431945</v>
      </c>
      <c r="AJ434">
        <v>0.26753587721372779</v>
      </c>
      <c r="AK434">
        <v>0.26753587721372779</v>
      </c>
      <c r="AL434">
        <v>1.2039114474617751</v>
      </c>
      <c r="AM434">
        <v>0.53507175442745558</v>
      </c>
      <c r="AN434">
        <v>0</v>
      </c>
      <c r="AO434">
        <v>0.53507175442745558</v>
      </c>
      <c r="AP434">
        <v>0</v>
      </c>
      <c r="AQ434">
        <v>0</v>
      </c>
      <c r="AR434">
        <v>0</v>
      </c>
      <c r="AS434">
        <v>0.26753587721372779</v>
      </c>
      <c r="AT434">
        <v>1.2039114474617751</v>
      </c>
      <c r="AU434">
        <v>1.0701435088549112</v>
      </c>
      <c r="AV434">
        <v>0</v>
      </c>
      <c r="AW434">
        <v>0.80260763164118332</v>
      </c>
      <c r="AX434">
        <v>0.40130381582059166</v>
      </c>
      <c r="AY434">
        <v>1.2039114474617751</v>
      </c>
    </row>
    <row r="435" spans="1:51">
      <c r="A435" s="103" t="s">
        <v>591</v>
      </c>
      <c r="B435">
        <v>425</v>
      </c>
      <c r="C435">
        <v>420</v>
      </c>
      <c r="D435">
        <v>2.1</v>
      </c>
      <c r="E435">
        <v>34882</v>
      </c>
      <c r="F435">
        <v>0</v>
      </c>
      <c r="G435">
        <v>105</v>
      </c>
      <c r="H435">
        <v>40</v>
      </c>
      <c r="I435">
        <v>25</v>
      </c>
      <c r="J435">
        <v>0</v>
      </c>
      <c r="K435">
        <v>9.5</v>
      </c>
      <c r="L435">
        <v>55.6</v>
      </c>
      <c r="M435">
        <v>48.1</v>
      </c>
      <c r="N435">
        <v>16.7</v>
      </c>
      <c r="T435" t="str">
        <f t="shared" si="13"/>
        <v>York Factory First Nation</v>
      </c>
      <c r="W435">
        <v>16536</v>
      </c>
      <c r="X435">
        <v>16706</v>
      </c>
      <c r="Y435">
        <v>16342</v>
      </c>
      <c r="Z435">
        <v>15776</v>
      </c>
      <c r="AA435">
        <v>13728</v>
      </c>
      <c r="AB435">
        <v>155</v>
      </c>
      <c r="AC435">
        <v>235</v>
      </c>
      <c r="AD435">
        <v>45</v>
      </c>
      <c r="AE435">
        <v>10</v>
      </c>
      <c r="AF435">
        <v>0</v>
      </c>
      <c r="AG435">
        <v>0</v>
      </c>
      <c r="AH435">
        <v>0</v>
      </c>
      <c r="AI435">
        <v>1.0097321817421339</v>
      </c>
      <c r="AJ435">
        <v>0</v>
      </c>
      <c r="AK435">
        <v>0</v>
      </c>
      <c r="AL435">
        <v>1.0097321817421339</v>
      </c>
      <c r="AM435">
        <v>0</v>
      </c>
      <c r="AN435">
        <v>0</v>
      </c>
      <c r="AO435">
        <v>0</v>
      </c>
      <c r="AP435">
        <v>0</v>
      </c>
      <c r="AQ435">
        <v>0</v>
      </c>
      <c r="AR435">
        <v>0</v>
      </c>
      <c r="AS435">
        <v>2.0194643634842677</v>
      </c>
      <c r="AT435">
        <v>3.0291965452264016</v>
      </c>
      <c r="AU435">
        <v>1.5145982726132008</v>
      </c>
      <c r="AV435">
        <v>0</v>
      </c>
      <c r="AW435">
        <v>0</v>
      </c>
      <c r="AX435">
        <v>0</v>
      </c>
      <c r="AY435">
        <v>5.0486609087106693</v>
      </c>
    </row>
    <row r="436" spans="1:51">
      <c r="A436" t="s">
        <v>593</v>
      </c>
    </row>
  </sheetData>
  <sortState ref="A366:CZ373">
    <sortCondition ref="A366"/>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9"/>
  <dimension ref="A1:AZ438"/>
  <sheetViews>
    <sheetView workbookViewId="0">
      <pane ySplit="1" topLeftCell="A2" activePane="bottomLeft" state="frozen"/>
      <selection activeCell="B1" sqref="B1"/>
      <selection pane="bottomLeft" activeCell="A32" sqref="A32"/>
    </sheetView>
  </sheetViews>
  <sheetFormatPr defaultRowHeight="15"/>
  <cols>
    <col min="1" max="1" width="39.5703125" style="102" customWidth="1"/>
    <col min="2" max="20" width="9.140625" style="102"/>
    <col min="21" max="21" width="30.85546875" style="102" customWidth="1"/>
    <col min="22" max="28" width="9.140625" style="102"/>
    <col min="29" max="30" width="15.42578125" style="102" customWidth="1"/>
    <col min="31" max="16384" width="9.140625" style="102"/>
  </cols>
  <sheetData>
    <row r="1" spans="1:52" ht="15" customHeight="1">
      <c r="B1" s="102" t="s">
        <v>715</v>
      </c>
      <c r="C1" s="102" t="s">
        <v>716</v>
      </c>
      <c r="D1" s="102" t="s">
        <v>717</v>
      </c>
      <c r="E1" s="102" t="s">
        <v>718</v>
      </c>
      <c r="F1" s="102" t="s">
        <v>719</v>
      </c>
      <c r="G1" s="102" t="s">
        <v>720</v>
      </c>
      <c r="H1" s="102" t="s">
        <v>721</v>
      </c>
      <c r="I1" s="102" t="s">
        <v>722</v>
      </c>
      <c r="J1" s="102" t="s">
        <v>723</v>
      </c>
      <c r="K1" s="102" t="s">
        <v>724</v>
      </c>
      <c r="L1" s="102" t="s">
        <v>837</v>
      </c>
      <c r="M1" s="102" t="s">
        <v>838</v>
      </c>
      <c r="N1" s="102" t="s">
        <v>839</v>
      </c>
      <c r="O1" s="102" t="s">
        <v>849</v>
      </c>
      <c r="P1" s="102" t="s">
        <v>850</v>
      </c>
      <c r="Q1" s="102" t="s">
        <v>851</v>
      </c>
      <c r="R1" s="102" t="s">
        <v>852</v>
      </c>
      <c r="W1" s="102" t="s">
        <v>840</v>
      </c>
      <c r="X1" s="102" t="s">
        <v>841</v>
      </c>
      <c r="Y1" s="102" t="s">
        <v>842</v>
      </c>
      <c r="Z1" s="102" t="s">
        <v>799</v>
      </c>
      <c r="AA1" s="102" t="s">
        <v>800</v>
      </c>
      <c r="AB1" s="102" t="s">
        <v>878</v>
      </c>
      <c r="AC1" s="102" t="s">
        <v>806</v>
      </c>
      <c r="AD1" s="103" t="s">
        <v>877</v>
      </c>
      <c r="AE1" s="102" t="s">
        <v>807</v>
      </c>
      <c r="AF1" s="125" t="s">
        <v>856</v>
      </c>
      <c r="AG1" s="125" t="s">
        <v>857</v>
      </c>
      <c r="AH1" s="125" t="s">
        <v>858</v>
      </c>
      <c r="AI1" s="125" t="s">
        <v>859</v>
      </c>
      <c r="AJ1" s="125" t="s">
        <v>860</v>
      </c>
      <c r="AK1" s="125" t="s">
        <v>861</v>
      </c>
      <c r="AL1" s="125" t="s">
        <v>862</v>
      </c>
      <c r="AM1" s="125" t="s">
        <v>863</v>
      </c>
      <c r="AN1" s="125" t="s">
        <v>864</v>
      </c>
      <c r="AO1" s="125" t="s">
        <v>865</v>
      </c>
      <c r="AP1" s="125" t="s">
        <v>866</v>
      </c>
      <c r="AQ1" s="125" t="s">
        <v>867</v>
      </c>
      <c r="AR1" s="125" t="s">
        <v>868</v>
      </c>
      <c r="AS1" s="125" t="s">
        <v>869</v>
      </c>
      <c r="AT1" s="125" t="s">
        <v>870</v>
      </c>
      <c r="AU1" s="125" t="s">
        <v>871</v>
      </c>
      <c r="AV1" s="125" t="s">
        <v>872</v>
      </c>
      <c r="AW1" s="125" t="s">
        <v>873</v>
      </c>
      <c r="AX1" s="125" t="s">
        <v>874</v>
      </c>
      <c r="AY1" s="125" t="s">
        <v>875</v>
      </c>
    </row>
    <row r="2" spans="1:52">
      <c r="A2" s="102" t="s">
        <v>725</v>
      </c>
      <c r="B2" s="102">
        <v>1133515</v>
      </c>
      <c r="C2" s="102">
        <v>1119530</v>
      </c>
      <c r="D2" s="102">
        <v>1.2</v>
      </c>
      <c r="E2" s="102">
        <v>72240</v>
      </c>
      <c r="F2" s="102">
        <v>12.3</v>
      </c>
      <c r="G2" s="102">
        <v>448765</v>
      </c>
      <c r="H2" s="102">
        <v>135220</v>
      </c>
      <c r="I2" s="102">
        <v>46035</v>
      </c>
      <c r="J2" s="102">
        <v>68.900000000000006</v>
      </c>
      <c r="K2" s="102">
        <v>28.5</v>
      </c>
      <c r="L2" s="102">
        <v>67.3</v>
      </c>
      <c r="M2" s="102">
        <v>63.6</v>
      </c>
      <c r="N2" s="102">
        <v>5.5</v>
      </c>
      <c r="O2" s="102">
        <v>242200</v>
      </c>
      <c r="P2" s="102">
        <v>88560</v>
      </c>
      <c r="Q2" s="102">
        <v>136740</v>
      </c>
      <c r="R2" s="102">
        <v>173205</v>
      </c>
      <c r="T2" s="102">
        <f>IFERROR(VLOOKUP(A2,$U$12:$U$74,1,0),0)</f>
        <v>0</v>
      </c>
      <c r="W2">
        <v>31318</v>
      </c>
      <c r="X2">
        <v>36837</v>
      </c>
      <c r="Y2">
        <v>25356</v>
      </c>
      <c r="Z2">
        <v>29919</v>
      </c>
      <c r="AA2">
        <v>20169</v>
      </c>
      <c r="AB2" s="102">
        <v>225055</v>
      </c>
      <c r="AC2" s="102">
        <v>756640</v>
      </c>
      <c r="AD2" s="102">
        <v>295350</v>
      </c>
      <c r="AE2" s="102">
        <v>151805</v>
      </c>
      <c r="AL2" s="103"/>
      <c r="AM2" s="103"/>
      <c r="AN2" s="103"/>
      <c r="AO2" s="103"/>
      <c r="AP2" s="103"/>
      <c r="AQ2" s="103"/>
      <c r="AR2" s="103"/>
      <c r="AS2" s="103"/>
      <c r="AT2" s="103"/>
      <c r="AU2" s="103"/>
      <c r="AV2" s="103"/>
      <c r="AW2" s="103"/>
      <c r="AX2" s="103"/>
      <c r="AY2" s="103"/>
      <c r="AZ2" s="103"/>
    </row>
    <row r="3" spans="1:52" s="103" customFormat="1">
      <c r="A3" s="103" t="s">
        <v>192</v>
      </c>
      <c r="B3" s="103">
        <v>15</v>
      </c>
      <c r="T3" s="103">
        <f t="shared" ref="T3:T66" si="0">IFERROR(VLOOKUP(A3,$U$12:$U$74,1,0),0)</f>
        <v>0</v>
      </c>
      <c r="W3"/>
      <c r="X3"/>
      <c r="Y3"/>
      <c r="Z3"/>
      <c r="AA3"/>
      <c r="AB3" s="103">
        <v>0</v>
      </c>
      <c r="AC3" s="103">
        <v>0</v>
      </c>
      <c r="AD3" s="103">
        <v>0</v>
      </c>
      <c r="AE3" s="103">
        <v>0</v>
      </c>
      <c r="AF3" s="102" t="e">
        <v>#N/A</v>
      </c>
      <c r="AG3" s="102" t="e">
        <v>#N/A</v>
      </c>
      <c r="AH3" s="102" t="e">
        <v>#N/A</v>
      </c>
      <c r="AI3" s="102" t="e">
        <v>#N/A</v>
      </c>
      <c r="AJ3" s="102" t="e">
        <v>#N/A</v>
      </c>
      <c r="AK3" s="102" t="e">
        <v>#N/A</v>
      </c>
      <c r="AL3" s="102" t="e">
        <v>#N/A</v>
      </c>
      <c r="AM3" s="102" t="e">
        <v>#N/A</v>
      </c>
      <c r="AN3" s="102" t="e">
        <v>#N/A</v>
      </c>
      <c r="AO3" s="102" t="e">
        <v>#N/A</v>
      </c>
      <c r="AP3" s="102" t="e">
        <v>#N/A</v>
      </c>
      <c r="AQ3" s="102" t="e">
        <v>#N/A</v>
      </c>
      <c r="AR3" s="102" t="e">
        <v>#N/A</v>
      </c>
      <c r="AS3" s="102" t="e">
        <v>#N/A</v>
      </c>
      <c r="AT3" s="102" t="e">
        <v>#N/A</v>
      </c>
      <c r="AU3" s="102" t="e">
        <v>#N/A</v>
      </c>
      <c r="AV3" s="102" t="e">
        <v>#N/A</v>
      </c>
      <c r="AW3" s="102" t="e">
        <v>#N/A</v>
      </c>
      <c r="AX3" s="102" t="e">
        <v>#N/A</v>
      </c>
      <c r="AY3" s="102" t="e">
        <v>#N/A</v>
      </c>
    </row>
    <row r="4" spans="1:52" s="103" customFormat="1">
      <c r="A4" s="103" t="s">
        <v>280</v>
      </c>
      <c r="B4" s="103">
        <v>340</v>
      </c>
      <c r="C4" s="103">
        <v>340</v>
      </c>
      <c r="D4" s="103">
        <v>1</v>
      </c>
      <c r="E4" s="103">
        <v>53468</v>
      </c>
      <c r="F4" s="103">
        <v>15</v>
      </c>
      <c r="G4" s="103">
        <v>140</v>
      </c>
      <c r="H4" s="103">
        <v>40</v>
      </c>
      <c r="I4" s="103">
        <v>20</v>
      </c>
      <c r="J4" s="103">
        <v>85.7</v>
      </c>
      <c r="K4" s="103">
        <v>10.7</v>
      </c>
      <c r="L4" s="103">
        <v>84.2</v>
      </c>
      <c r="M4" s="103">
        <v>80.7</v>
      </c>
      <c r="N4" s="103">
        <v>4.2</v>
      </c>
      <c r="O4" s="103">
        <v>95</v>
      </c>
      <c r="P4" s="103">
        <v>20</v>
      </c>
      <c r="Q4" s="103">
        <v>40</v>
      </c>
      <c r="R4" s="103">
        <v>30</v>
      </c>
      <c r="T4" s="103">
        <f t="shared" si="0"/>
        <v>0</v>
      </c>
      <c r="W4">
        <v>16356</v>
      </c>
      <c r="X4">
        <v>12931</v>
      </c>
      <c r="Y4">
        <v>21674</v>
      </c>
      <c r="Z4">
        <v>19516</v>
      </c>
      <c r="AA4">
        <v>22016</v>
      </c>
      <c r="AB4" s="103">
        <v>65</v>
      </c>
      <c r="AC4" s="103">
        <v>195</v>
      </c>
      <c r="AD4" s="103">
        <v>95</v>
      </c>
      <c r="AE4" s="103">
        <v>95</v>
      </c>
      <c r="AF4" s="102">
        <v>8.4606228373702415</v>
      </c>
      <c r="AG4" s="102">
        <v>0</v>
      </c>
      <c r="AH4" s="102">
        <v>0</v>
      </c>
      <c r="AI4" s="102">
        <v>0.70505190311418686</v>
      </c>
      <c r="AJ4" s="102">
        <v>0</v>
      </c>
      <c r="AK4" s="102">
        <v>0</v>
      </c>
      <c r="AL4" s="102">
        <v>0</v>
      </c>
      <c r="AM4" s="102">
        <v>0.70505190311418686</v>
      </c>
      <c r="AN4" s="102">
        <v>0</v>
      </c>
      <c r="AO4" s="102">
        <v>0</v>
      </c>
      <c r="AP4" s="102">
        <v>0</v>
      </c>
      <c r="AQ4" s="102">
        <v>0</v>
      </c>
      <c r="AR4" s="102">
        <v>0</v>
      </c>
      <c r="AS4" s="102">
        <v>0.70505190311418686</v>
      </c>
      <c r="AT4" s="102">
        <v>1.4101038062283737</v>
      </c>
      <c r="AU4" s="102">
        <v>2.1151557093425604</v>
      </c>
      <c r="AV4" s="102">
        <v>0</v>
      </c>
      <c r="AW4" s="102">
        <v>0.70505190311418686</v>
      </c>
      <c r="AX4" s="102">
        <v>1.0575778546712802</v>
      </c>
      <c r="AY4" s="102">
        <v>0</v>
      </c>
    </row>
    <row r="5" spans="1:52" s="103" customFormat="1">
      <c r="A5" s="103" t="s">
        <v>281</v>
      </c>
      <c r="B5" s="103">
        <v>2955</v>
      </c>
      <c r="C5" s="103">
        <v>2945</v>
      </c>
      <c r="D5" s="103">
        <v>0.7</v>
      </c>
      <c r="E5" s="103">
        <v>66524</v>
      </c>
      <c r="F5" s="103">
        <v>8.1999999999999993</v>
      </c>
      <c r="G5" s="103">
        <v>1295</v>
      </c>
      <c r="H5" s="103">
        <v>425</v>
      </c>
      <c r="I5" s="103">
        <v>75</v>
      </c>
      <c r="J5" s="103">
        <v>89.6</v>
      </c>
      <c r="K5" s="103">
        <v>10.8</v>
      </c>
      <c r="L5" s="103">
        <v>52.7</v>
      </c>
      <c r="M5" s="103">
        <v>47.7</v>
      </c>
      <c r="N5" s="103">
        <v>9.6</v>
      </c>
      <c r="O5" s="103">
        <v>665</v>
      </c>
      <c r="P5" s="103">
        <v>315</v>
      </c>
      <c r="Q5" s="103">
        <v>405</v>
      </c>
      <c r="R5" s="103">
        <v>300</v>
      </c>
      <c r="T5" s="103">
        <f t="shared" si="0"/>
        <v>0</v>
      </c>
      <c r="W5">
        <v>27522</v>
      </c>
      <c r="X5">
        <v>32021</v>
      </c>
      <c r="Y5">
        <v>21779</v>
      </c>
      <c r="Z5">
        <v>32017</v>
      </c>
      <c r="AA5">
        <v>16957</v>
      </c>
      <c r="AB5" s="103">
        <v>375</v>
      </c>
      <c r="AC5" s="103">
        <v>1885</v>
      </c>
      <c r="AD5" s="103">
        <v>1140</v>
      </c>
      <c r="AE5" s="103">
        <v>680</v>
      </c>
      <c r="AF5" s="102">
        <v>1.2488004188000357</v>
      </c>
      <c r="AG5" s="102">
        <v>0.18732006282000535</v>
      </c>
      <c r="AH5" s="102">
        <v>1.2488004188000357</v>
      </c>
      <c r="AI5" s="102">
        <v>0.68684023034001962</v>
      </c>
      <c r="AJ5" s="102">
        <v>1.3112404397400377</v>
      </c>
      <c r="AK5" s="102">
        <v>0.24976008376000713</v>
      </c>
      <c r="AL5" s="102">
        <v>1.5610005235000446</v>
      </c>
      <c r="AM5" s="102">
        <v>0.56196018846001616</v>
      </c>
      <c r="AN5" s="102">
        <v>0.18732006282000535</v>
      </c>
      <c r="AO5" s="102">
        <v>0.3746401256400107</v>
      </c>
      <c r="AP5" s="102">
        <v>0.12488004188000357</v>
      </c>
      <c r="AQ5" s="102">
        <v>0.24976008376000713</v>
      </c>
      <c r="AR5" s="102">
        <v>0</v>
      </c>
      <c r="AS5" s="102">
        <v>0.31220010470000892</v>
      </c>
      <c r="AT5" s="102">
        <v>1.2488004188000357</v>
      </c>
      <c r="AU5" s="102">
        <v>1.6858805653800482</v>
      </c>
      <c r="AV5" s="102">
        <v>1.4361204816200412</v>
      </c>
      <c r="AW5" s="102">
        <v>1.4985605025600428</v>
      </c>
      <c r="AX5" s="102">
        <v>0.99904033504002854</v>
      </c>
      <c r="AY5" s="102">
        <v>1.5610005235000446</v>
      </c>
    </row>
    <row r="6" spans="1:52" s="103" customFormat="1">
      <c r="A6" s="103" t="s">
        <v>282</v>
      </c>
      <c r="B6" s="103">
        <v>1440</v>
      </c>
      <c r="C6" s="103">
        <v>1440</v>
      </c>
      <c r="D6" s="103">
        <v>1.2</v>
      </c>
      <c r="E6" s="103">
        <v>35451</v>
      </c>
      <c r="F6" s="103">
        <v>35</v>
      </c>
      <c r="G6" s="103">
        <v>535</v>
      </c>
      <c r="H6" s="103">
        <v>215</v>
      </c>
      <c r="I6" s="103">
        <v>110</v>
      </c>
      <c r="J6" s="103">
        <v>80.400000000000006</v>
      </c>
      <c r="K6" s="103">
        <v>20.6</v>
      </c>
      <c r="L6" s="103">
        <v>55</v>
      </c>
      <c r="M6" s="103">
        <v>48.6</v>
      </c>
      <c r="N6" s="103">
        <v>12.5</v>
      </c>
      <c r="O6" s="103">
        <v>270</v>
      </c>
      <c r="P6" s="103">
        <v>65</v>
      </c>
      <c r="Q6" s="103">
        <v>80</v>
      </c>
      <c r="R6" s="103">
        <v>70</v>
      </c>
      <c r="T6" s="103">
        <f t="shared" si="0"/>
        <v>0</v>
      </c>
      <c r="W6">
        <v>15809</v>
      </c>
      <c r="X6">
        <v>16432</v>
      </c>
      <c r="Y6">
        <v>14913</v>
      </c>
      <c r="Z6">
        <v>15867</v>
      </c>
      <c r="AA6">
        <v>13300</v>
      </c>
      <c r="AB6" s="103">
        <v>345</v>
      </c>
      <c r="AC6" s="103">
        <v>850</v>
      </c>
      <c r="AD6" s="103">
        <v>405</v>
      </c>
      <c r="AE6" s="103">
        <v>225</v>
      </c>
      <c r="AF6" s="102">
        <v>5.7814256055363327</v>
      </c>
      <c r="AG6" s="102">
        <v>0.28202076124567471</v>
      </c>
      <c r="AH6" s="102">
        <v>0.42303114186851215</v>
      </c>
      <c r="AI6" s="102">
        <v>1.4101038062283737</v>
      </c>
      <c r="AJ6" s="102">
        <v>0.56404152249134942</v>
      </c>
      <c r="AK6" s="102">
        <v>0</v>
      </c>
      <c r="AL6" s="102">
        <v>0.42303114186851215</v>
      </c>
      <c r="AM6" s="102">
        <v>0.8460622837370243</v>
      </c>
      <c r="AN6" s="102">
        <v>0</v>
      </c>
      <c r="AO6" s="102">
        <v>0</v>
      </c>
      <c r="AP6" s="102">
        <v>0</v>
      </c>
      <c r="AQ6" s="102">
        <v>0</v>
      </c>
      <c r="AR6" s="102">
        <v>0</v>
      </c>
      <c r="AS6" s="102">
        <v>0.28202076124567471</v>
      </c>
      <c r="AT6" s="102">
        <v>1.6921245674740486</v>
      </c>
      <c r="AU6" s="102">
        <v>1.4101038062283737</v>
      </c>
      <c r="AV6" s="102">
        <v>0</v>
      </c>
      <c r="AW6" s="102">
        <v>1.6921245674740486</v>
      </c>
      <c r="AX6" s="102">
        <v>0.70505190311418686</v>
      </c>
      <c r="AY6" s="102">
        <v>0.56404152249134942</v>
      </c>
    </row>
    <row r="7" spans="1:52" s="103" customFormat="1">
      <c r="A7" s="103" t="s">
        <v>283</v>
      </c>
      <c r="B7" s="103">
        <v>3615</v>
      </c>
      <c r="C7" s="103">
        <v>3620</v>
      </c>
      <c r="D7" s="103">
        <v>1</v>
      </c>
      <c r="E7" s="103">
        <v>63943</v>
      </c>
      <c r="F7" s="103">
        <v>5.7</v>
      </c>
      <c r="G7" s="103">
        <v>1520</v>
      </c>
      <c r="H7" s="103">
        <v>305</v>
      </c>
      <c r="I7" s="103">
        <v>80</v>
      </c>
      <c r="J7" s="103">
        <v>68.8</v>
      </c>
      <c r="K7" s="103">
        <v>31.3</v>
      </c>
      <c r="L7" s="103">
        <v>61.8</v>
      </c>
      <c r="M7" s="103">
        <v>60.5</v>
      </c>
      <c r="N7" s="103">
        <v>2.2999999999999998</v>
      </c>
      <c r="O7" s="103">
        <v>750</v>
      </c>
      <c r="P7" s="103">
        <v>180</v>
      </c>
      <c r="Q7" s="103">
        <v>280</v>
      </c>
      <c r="R7" s="103">
        <v>345</v>
      </c>
      <c r="T7" s="103">
        <f t="shared" si="0"/>
        <v>0</v>
      </c>
      <c r="W7">
        <v>29177</v>
      </c>
      <c r="X7">
        <v>36872</v>
      </c>
      <c r="Y7">
        <v>20200</v>
      </c>
      <c r="Z7">
        <v>32273</v>
      </c>
      <c r="AA7">
        <v>16882</v>
      </c>
      <c r="AB7" s="103">
        <v>750</v>
      </c>
      <c r="AC7" s="103">
        <v>2155</v>
      </c>
      <c r="AD7" s="103">
        <v>775</v>
      </c>
      <c r="AE7" s="103">
        <v>700</v>
      </c>
      <c r="AF7" s="102">
        <v>0.52432028851308543</v>
      </c>
      <c r="AG7" s="102">
        <v>0</v>
      </c>
      <c r="AH7" s="102">
        <v>0</v>
      </c>
      <c r="AI7" s="102">
        <v>1.0963060578000876</v>
      </c>
      <c r="AJ7" s="102">
        <v>4.3375587504264344</v>
      </c>
      <c r="AK7" s="102">
        <v>0.76264769238266972</v>
      </c>
      <c r="AL7" s="102">
        <v>1.4776299039914225</v>
      </c>
      <c r="AM7" s="102">
        <v>0.33365836541741806</v>
      </c>
      <c r="AN7" s="102">
        <v>0.61965125006091915</v>
      </c>
      <c r="AO7" s="102">
        <v>0.61965125006091915</v>
      </c>
      <c r="AP7" s="102">
        <v>0.28599288464350114</v>
      </c>
      <c r="AQ7" s="102">
        <v>0.47665480773916857</v>
      </c>
      <c r="AR7" s="102">
        <v>0</v>
      </c>
      <c r="AS7" s="102">
        <v>0.23832740386958429</v>
      </c>
      <c r="AT7" s="102">
        <v>1.5252953847653394</v>
      </c>
      <c r="AU7" s="102">
        <v>1.7159573078610069</v>
      </c>
      <c r="AV7" s="102">
        <v>0.23832740386958429</v>
      </c>
      <c r="AW7" s="102">
        <v>0.71498221160875286</v>
      </c>
      <c r="AX7" s="102">
        <v>1.286967980895755</v>
      </c>
      <c r="AY7" s="102">
        <v>0.57198576928700229</v>
      </c>
    </row>
    <row r="8" spans="1:52" s="103" customFormat="1">
      <c r="A8" s="103" t="s">
        <v>284</v>
      </c>
      <c r="T8" s="103">
        <f t="shared" si="0"/>
        <v>0</v>
      </c>
      <c r="W8"/>
      <c r="X8"/>
      <c r="Y8"/>
      <c r="Z8"/>
      <c r="AA8"/>
      <c r="AB8" s="103">
        <v>0</v>
      </c>
      <c r="AC8" s="103">
        <v>0</v>
      </c>
      <c r="AD8" s="103">
        <v>0</v>
      </c>
      <c r="AE8" s="103">
        <v>0</v>
      </c>
      <c r="AF8" s="102" t="e">
        <v>#N/A</v>
      </c>
      <c r="AG8" s="102" t="e">
        <v>#N/A</v>
      </c>
      <c r="AH8" s="102" t="e">
        <v>#N/A</v>
      </c>
      <c r="AI8" s="102" t="e">
        <v>#N/A</v>
      </c>
      <c r="AJ8" s="102" t="e">
        <v>#N/A</v>
      </c>
      <c r="AK8" s="102" t="e">
        <v>#N/A</v>
      </c>
      <c r="AL8" s="102" t="e">
        <v>#N/A</v>
      </c>
      <c r="AM8" s="102" t="e">
        <v>#N/A</v>
      </c>
      <c r="AN8" s="102" t="e">
        <v>#N/A</v>
      </c>
      <c r="AO8" s="102" t="e">
        <v>#N/A</v>
      </c>
      <c r="AP8" s="102" t="e">
        <v>#N/A</v>
      </c>
      <c r="AQ8" s="102" t="e">
        <v>#N/A</v>
      </c>
      <c r="AR8" s="102" t="e">
        <v>#N/A</v>
      </c>
      <c r="AS8" s="102" t="e">
        <v>#N/A</v>
      </c>
      <c r="AT8" s="102" t="e">
        <v>#N/A</v>
      </c>
      <c r="AU8" s="102" t="e">
        <v>#N/A</v>
      </c>
      <c r="AV8" s="102" t="e">
        <v>#N/A</v>
      </c>
      <c r="AW8" s="102" t="e">
        <v>#N/A</v>
      </c>
      <c r="AX8" s="102" t="e">
        <v>#N/A</v>
      </c>
      <c r="AY8" s="102" t="e">
        <v>#N/A</v>
      </c>
    </row>
    <row r="9" spans="1:52" s="103" customFormat="1">
      <c r="A9" s="103" t="s">
        <v>285</v>
      </c>
      <c r="T9" s="103">
        <f t="shared" si="0"/>
        <v>0</v>
      </c>
      <c r="W9"/>
      <c r="X9"/>
      <c r="Y9"/>
      <c r="Z9"/>
      <c r="AA9"/>
      <c r="AB9" s="103">
        <v>0</v>
      </c>
      <c r="AC9" s="103">
        <v>0</v>
      </c>
      <c r="AD9" s="103">
        <v>0</v>
      </c>
      <c r="AE9" s="103">
        <v>0</v>
      </c>
      <c r="AF9" s="102" t="e">
        <v>#N/A</v>
      </c>
      <c r="AG9" s="102" t="e">
        <v>#N/A</v>
      </c>
      <c r="AH9" s="102" t="e">
        <v>#N/A</v>
      </c>
      <c r="AI9" s="102" t="e">
        <v>#N/A</v>
      </c>
      <c r="AJ9" s="102" t="e">
        <v>#N/A</v>
      </c>
      <c r="AK9" s="102" t="e">
        <v>#N/A</v>
      </c>
      <c r="AL9" s="102" t="e">
        <v>#N/A</v>
      </c>
      <c r="AM9" s="102" t="e">
        <v>#N/A</v>
      </c>
      <c r="AN9" s="102" t="e">
        <v>#N/A</v>
      </c>
      <c r="AO9" s="102" t="e">
        <v>#N/A</v>
      </c>
      <c r="AP9" s="102" t="e">
        <v>#N/A</v>
      </c>
      <c r="AQ9" s="102" t="e">
        <v>#N/A</v>
      </c>
      <c r="AR9" s="102" t="e">
        <v>#N/A</v>
      </c>
      <c r="AS9" s="102" t="e">
        <v>#N/A</v>
      </c>
      <c r="AT9" s="102" t="e">
        <v>#N/A</v>
      </c>
      <c r="AU9" s="102" t="e">
        <v>#N/A</v>
      </c>
      <c r="AV9" s="102" t="e">
        <v>#N/A</v>
      </c>
      <c r="AW9" s="102" t="e">
        <v>#N/A</v>
      </c>
      <c r="AX9" s="102" t="e">
        <v>#N/A</v>
      </c>
      <c r="AY9" s="102" t="e">
        <v>#N/A</v>
      </c>
    </row>
    <row r="10" spans="1:52">
      <c r="A10" s="102" t="s">
        <v>286</v>
      </c>
      <c r="B10" s="102">
        <v>970</v>
      </c>
      <c r="C10" s="102">
        <v>965</v>
      </c>
      <c r="D10" s="102">
        <v>0.9</v>
      </c>
      <c r="E10" s="102">
        <v>62347</v>
      </c>
      <c r="F10" s="102">
        <v>5.5</v>
      </c>
      <c r="G10" s="102">
        <v>455</v>
      </c>
      <c r="H10" s="102">
        <v>150</v>
      </c>
      <c r="I10" s="102">
        <v>30</v>
      </c>
      <c r="J10" s="102">
        <v>76.900000000000006</v>
      </c>
      <c r="K10" s="102">
        <v>23.1</v>
      </c>
      <c r="L10" s="102">
        <v>62</v>
      </c>
      <c r="M10" s="102">
        <v>61.4</v>
      </c>
      <c r="N10" s="102">
        <v>0</v>
      </c>
      <c r="O10" s="102">
        <v>185</v>
      </c>
      <c r="P10" s="102">
        <v>135</v>
      </c>
      <c r="Q10" s="102">
        <v>160</v>
      </c>
      <c r="R10" s="102">
        <v>75</v>
      </c>
      <c r="T10" s="102">
        <f t="shared" si="0"/>
        <v>0</v>
      </c>
      <c r="W10">
        <v>26587</v>
      </c>
      <c r="X10">
        <v>29701</v>
      </c>
      <c r="Y10">
        <v>23200</v>
      </c>
      <c r="Z10">
        <v>24351</v>
      </c>
      <c r="AA10">
        <v>17354</v>
      </c>
      <c r="AB10" s="102">
        <v>140</v>
      </c>
      <c r="AC10" s="102">
        <v>595</v>
      </c>
      <c r="AD10" s="102">
        <v>290</v>
      </c>
      <c r="AE10" s="102">
        <v>220</v>
      </c>
      <c r="AF10" s="102">
        <v>0.8214196929485672</v>
      </c>
      <c r="AG10" s="102">
        <v>0.32856787717942687</v>
      </c>
      <c r="AH10" s="102">
        <v>0.65713575435885374</v>
      </c>
      <c r="AI10" s="102">
        <v>0.49285181576914033</v>
      </c>
      <c r="AJ10" s="102">
        <v>2.628543017435415</v>
      </c>
      <c r="AK10" s="102">
        <v>1.149987570127994</v>
      </c>
      <c r="AL10" s="102">
        <v>3.7785305875634094</v>
      </c>
      <c r="AM10" s="102">
        <v>0.49285181576914033</v>
      </c>
      <c r="AN10" s="102">
        <v>0</v>
      </c>
      <c r="AO10" s="102">
        <v>0.65713575435885374</v>
      </c>
      <c r="AP10" s="102">
        <v>0.32856787717942687</v>
      </c>
      <c r="AQ10" s="102">
        <v>0</v>
      </c>
      <c r="AR10" s="102">
        <v>0</v>
      </c>
      <c r="AS10" s="102">
        <v>0.32856787717942687</v>
      </c>
      <c r="AT10" s="102">
        <v>0.98570363153828067</v>
      </c>
      <c r="AU10" s="102">
        <v>1.3142715087177075</v>
      </c>
      <c r="AV10" s="102">
        <v>0</v>
      </c>
      <c r="AW10" s="102">
        <v>1.3142715087177075</v>
      </c>
      <c r="AX10" s="102">
        <v>1.149987570127994</v>
      </c>
      <c r="AY10" s="102">
        <v>0.32856787717942687</v>
      </c>
    </row>
    <row r="11" spans="1:52">
      <c r="A11" s="102" t="s">
        <v>668</v>
      </c>
      <c r="B11" s="102">
        <v>370</v>
      </c>
      <c r="C11" s="102">
        <v>370</v>
      </c>
      <c r="D11" s="102">
        <v>1.1000000000000001</v>
      </c>
      <c r="E11" s="102">
        <v>39951</v>
      </c>
      <c r="F11" s="102">
        <v>8.6999999999999993</v>
      </c>
      <c r="G11" s="102">
        <v>140</v>
      </c>
      <c r="H11" s="102">
        <v>40</v>
      </c>
      <c r="I11" s="102">
        <v>25</v>
      </c>
      <c r="J11" s="102">
        <v>78.599999999999994</v>
      </c>
      <c r="K11" s="102">
        <v>21.4</v>
      </c>
      <c r="L11" s="102">
        <v>81.400000000000006</v>
      </c>
      <c r="M11" s="102">
        <v>79.7</v>
      </c>
      <c r="N11" s="102">
        <v>0</v>
      </c>
      <c r="O11" s="102">
        <v>75</v>
      </c>
      <c r="P11" s="102">
        <v>40</v>
      </c>
      <c r="Q11" s="102">
        <v>55</v>
      </c>
      <c r="R11" s="102">
        <v>25</v>
      </c>
      <c r="T11" s="102">
        <f t="shared" si="0"/>
        <v>0</v>
      </c>
      <c r="W11">
        <v>17272</v>
      </c>
      <c r="X11">
        <v>15591</v>
      </c>
      <c r="Y11">
        <v>19113</v>
      </c>
      <c r="Z11">
        <v>18244</v>
      </c>
      <c r="AA11">
        <v>16562</v>
      </c>
      <c r="AB11" s="102">
        <v>75</v>
      </c>
      <c r="AC11" s="102">
        <v>260</v>
      </c>
      <c r="AD11" s="102">
        <v>125</v>
      </c>
      <c r="AE11" s="102">
        <v>55</v>
      </c>
      <c r="AF11" s="102">
        <v>8.8131487889273359</v>
      </c>
      <c r="AG11" s="102">
        <v>1.0575778546712802</v>
      </c>
      <c r="AH11" s="102">
        <v>0</v>
      </c>
      <c r="AI11" s="102">
        <v>0</v>
      </c>
      <c r="AJ11" s="102">
        <v>0</v>
      </c>
      <c r="AK11" s="102">
        <v>0</v>
      </c>
      <c r="AL11" s="102">
        <v>0.70505190311418686</v>
      </c>
      <c r="AM11" s="102">
        <v>0.70505190311418686</v>
      </c>
      <c r="AN11" s="102">
        <v>0</v>
      </c>
      <c r="AO11" s="102">
        <v>0</v>
      </c>
      <c r="AP11" s="102">
        <v>0</v>
      </c>
      <c r="AQ11" s="102">
        <v>0.70505190311418686</v>
      </c>
      <c r="AR11" s="102">
        <v>0</v>
      </c>
      <c r="AS11" s="102">
        <v>0</v>
      </c>
      <c r="AT11" s="102">
        <v>0</v>
      </c>
      <c r="AU11" s="102">
        <v>1.7626297577854673</v>
      </c>
      <c r="AV11" s="102">
        <v>0</v>
      </c>
      <c r="AW11" s="102">
        <v>0.70505190311418686</v>
      </c>
      <c r="AX11" s="102">
        <v>1.0575778546712802</v>
      </c>
      <c r="AY11" s="102">
        <v>1.0575778546712802</v>
      </c>
    </row>
    <row r="12" spans="1:52">
      <c r="A12" s="102" t="s">
        <v>287</v>
      </c>
      <c r="B12" s="102">
        <v>1045</v>
      </c>
      <c r="C12" s="102">
        <v>965</v>
      </c>
      <c r="D12" s="102">
        <v>1</v>
      </c>
      <c r="E12" s="102">
        <v>48546</v>
      </c>
      <c r="F12" s="102">
        <v>15.8</v>
      </c>
      <c r="G12" s="102">
        <v>415</v>
      </c>
      <c r="H12" s="102">
        <v>155</v>
      </c>
      <c r="I12" s="102">
        <v>55</v>
      </c>
      <c r="J12" s="102">
        <v>91.6</v>
      </c>
      <c r="K12" s="102">
        <v>8.4</v>
      </c>
      <c r="L12" s="102">
        <v>72.599999999999994</v>
      </c>
      <c r="M12" s="102">
        <v>72</v>
      </c>
      <c r="N12" s="102">
        <v>1.7</v>
      </c>
      <c r="O12" s="102">
        <v>165</v>
      </c>
      <c r="P12" s="102">
        <v>80</v>
      </c>
      <c r="Q12" s="102">
        <v>90</v>
      </c>
      <c r="R12" s="102">
        <v>80</v>
      </c>
      <c r="T12" s="102">
        <f t="shared" si="0"/>
        <v>0</v>
      </c>
      <c r="U12" s="102" t="s">
        <v>194</v>
      </c>
      <c r="V12" s="102">
        <v>473</v>
      </c>
      <c r="W12">
        <v>18179</v>
      </c>
      <c r="X12">
        <v>15801</v>
      </c>
      <c r="Y12">
        <v>21689</v>
      </c>
      <c r="Z12">
        <v>18570</v>
      </c>
      <c r="AA12">
        <v>17941</v>
      </c>
      <c r="AB12" s="102">
        <v>230</v>
      </c>
      <c r="AC12" s="102">
        <v>650</v>
      </c>
      <c r="AD12" s="102">
        <v>300</v>
      </c>
      <c r="AE12" s="102">
        <v>165</v>
      </c>
      <c r="AF12" s="102">
        <v>9.3848925590997645</v>
      </c>
      <c r="AG12" s="102">
        <v>0</v>
      </c>
      <c r="AH12" s="102">
        <v>0</v>
      </c>
      <c r="AI12" s="102">
        <v>1.2797580762408769</v>
      </c>
      <c r="AJ12" s="102">
        <v>0.56878136721816752</v>
      </c>
      <c r="AK12" s="102">
        <v>0</v>
      </c>
      <c r="AL12" s="102">
        <v>0.42658602541362567</v>
      </c>
      <c r="AM12" s="102">
        <v>0.85317205082725134</v>
      </c>
      <c r="AN12" s="102">
        <v>0</v>
      </c>
      <c r="AO12" s="102">
        <v>0.28439068360908376</v>
      </c>
      <c r="AP12" s="102">
        <v>0</v>
      </c>
      <c r="AQ12" s="102">
        <v>0.28439068360908376</v>
      </c>
      <c r="AR12" s="102">
        <v>0</v>
      </c>
      <c r="AS12" s="102">
        <v>0</v>
      </c>
      <c r="AT12" s="102">
        <v>0.99536739263179319</v>
      </c>
      <c r="AU12" s="102">
        <v>1.7063441016545027</v>
      </c>
      <c r="AV12" s="102">
        <v>0</v>
      </c>
      <c r="AW12" s="102">
        <v>0.28439068360908376</v>
      </c>
      <c r="AX12" s="102">
        <v>0.42658602541362567</v>
      </c>
      <c r="AY12" s="102">
        <v>0</v>
      </c>
    </row>
    <row r="13" spans="1:52">
      <c r="A13" s="102" t="s">
        <v>687</v>
      </c>
      <c r="B13" s="102">
        <v>1915</v>
      </c>
      <c r="C13" s="102">
        <v>1915</v>
      </c>
      <c r="D13" s="102">
        <v>1</v>
      </c>
      <c r="E13" s="102">
        <v>46747</v>
      </c>
      <c r="F13" s="102">
        <v>17.100000000000001</v>
      </c>
      <c r="G13" s="102">
        <v>805</v>
      </c>
      <c r="H13" s="102">
        <v>340</v>
      </c>
      <c r="I13" s="102">
        <v>135</v>
      </c>
      <c r="J13" s="102">
        <v>87.6</v>
      </c>
      <c r="K13" s="102">
        <v>11.8</v>
      </c>
      <c r="L13" s="102">
        <v>66.8</v>
      </c>
      <c r="M13" s="102">
        <v>62.6</v>
      </c>
      <c r="N13" s="102">
        <v>6.2</v>
      </c>
      <c r="O13" s="102">
        <v>350</v>
      </c>
      <c r="P13" s="102">
        <v>255</v>
      </c>
      <c r="Q13" s="102">
        <v>225</v>
      </c>
      <c r="R13" s="102">
        <v>110</v>
      </c>
      <c r="T13" s="102">
        <f t="shared" si="0"/>
        <v>0</v>
      </c>
      <c r="U13" s="102" t="s">
        <v>197</v>
      </c>
      <c r="V13" s="102">
        <v>1693</v>
      </c>
      <c r="W13">
        <v>18923</v>
      </c>
      <c r="X13">
        <v>19387</v>
      </c>
      <c r="Y13">
        <v>18317</v>
      </c>
      <c r="Z13">
        <v>15117</v>
      </c>
      <c r="AA13">
        <v>16487</v>
      </c>
      <c r="AB13" s="102">
        <v>355</v>
      </c>
      <c r="AC13" s="102">
        <v>1195</v>
      </c>
      <c r="AD13" s="102">
        <v>560</v>
      </c>
      <c r="AE13" s="102">
        <v>360</v>
      </c>
      <c r="AF13" s="102">
        <v>3.4004417145411501</v>
      </c>
      <c r="AG13" s="102">
        <v>0</v>
      </c>
      <c r="AH13" s="102">
        <v>0</v>
      </c>
      <c r="AI13" s="102">
        <v>1.700220857270575</v>
      </c>
      <c r="AJ13" s="102">
        <v>1.1334805715137166</v>
      </c>
      <c r="AK13" s="102">
        <v>0.72866608168738933</v>
      </c>
      <c r="AL13" s="102">
        <v>1.7811837552358403</v>
      </c>
      <c r="AM13" s="102">
        <v>0.89059187761792014</v>
      </c>
      <c r="AN13" s="102">
        <v>0</v>
      </c>
      <c r="AO13" s="102">
        <v>0.24288869389579643</v>
      </c>
      <c r="AP13" s="102">
        <v>0</v>
      </c>
      <c r="AQ13" s="102">
        <v>0.24288869389579643</v>
      </c>
      <c r="AR13" s="102">
        <v>0</v>
      </c>
      <c r="AS13" s="102">
        <v>0.32385159186106188</v>
      </c>
      <c r="AT13" s="102">
        <v>0.80962897965265479</v>
      </c>
      <c r="AU13" s="102">
        <v>2.3479240409926989</v>
      </c>
      <c r="AV13" s="102">
        <v>0</v>
      </c>
      <c r="AW13" s="102">
        <v>1.376369265409513</v>
      </c>
      <c r="AX13" s="102">
        <v>0.72866608168738933</v>
      </c>
      <c r="AY13" s="102">
        <v>0.64770318372212377</v>
      </c>
    </row>
    <row r="14" spans="1:52">
      <c r="A14" s="102" t="s">
        <v>623</v>
      </c>
      <c r="B14" s="102">
        <v>440</v>
      </c>
      <c r="C14" s="102">
        <v>440</v>
      </c>
      <c r="D14" s="102">
        <v>0.9</v>
      </c>
      <c r="E14" s="102">
        <v>60876</v>
      </c>
      <c r="F14" s="102">
        <v>6.9</v>
      </c>
      <c r="G14" s="102">
        <v>170</v>
      </c>
      <c r="H14" s="102">
        <v>40</v>
      </c>
      <c r="I14" s="102">
        <v>65</v>
      </c>
      <c r="J14" s="102">
        <v>97.1</v>
      </c>
      <c r="K14" s="102">
        <v>0</v>
      </c>
      <c r="L14" s="102">
        <v>91.9</v>
      </c>
      <c r="M14" s="102">
        <v>86.5</v>
      </c>
      <c r="N14" s="102">
        <v>4.4000000000000004</v>
      </c>
      <c r="O14" s="102">
        <v>105</v>
      </c>
      <c r="P14" s="102">
        <v>35</v>
      </c>
      <c r="Q14" s="102">
        <v>40</v>
      </c>
      <c r="R14" s="102">
        <v>55</v>
      </c>
      <c r="T14" s="102">
        <f t="shared" si="0"/>
        <v>0</v>
      </c>
      <c r="U14" s="102" t="s">
        <v>198</v>
      </c>
      <c r="V14" s="102">
        <v>470</v>
      </c>
      <c r="W14">
        <v>19166</v>
      </c>
      <c r="X14">
        <v>20498</v>
      </c>
      <c r="Y14">
        <v>17768</v>
      </c>
      <c r="Z14">
        <v>23328</v>
      </c>
      <c r="AA14">
        <v>23824</v>
      </c>
      <c r="AB14" s="102">
        <v>75</v>
      </c>
      <c r="AC14" s="102">
        <v>345</v>
      </c>
      <c r="AD14" s="102">
        <v>170</v>
      </c>
      <c r="AE14" s="102">
        <v>15</v>
      </c>
      <c r="AF14" s="102">
        <v>7.7140972928963976</v>
      </c>
      <c r="AG14" s="102">
        <v>0</v>
      </c>
      <c r="AH14" s="102">
        <v>0</v>
      </c>
      <c r="AI14" s="102">
        <v>0.4976836963158966</v>
      </c>
      <c r="AJ14" s="102">
        <v>0.746525544473845</v>
      </c>
      <c r="AK14" s="102">
        <v>1.2442092407897416</v>
      </c>
      <c r="AL14" s="102">
        <v>1.49305108894769</v>
      </c>
      <c r="AM14" s="102">
        <v>0</v>
      </c>
      <c r="AN14" s="102">
        <v>0.4976836963158966</v>
      </c>
      <c r="AO14" s="102">
        <v>0</v>
      </c>
      <c r="AP14" s="102">
        <v>0</v>
      </c>
      <c r="AQ14" s="102">
        <v>0.99536739263179319</v>
      </c>
      <c r="AR14" s="102">
        <v>0</v>
      </c>
      <c r="AS14" s="102">
        <v>0</v>
      </c>
      <c r="AT14" s="102">
        <v>1.9907347852635864</v>
      </c>
      <c r="AU14" s="102">
        <v>0</v>
      </c>
      <c r="AV14" s="102">
        <v>0</v>
      </c>
      <c r="AW14" s="102">
        <v>0.99536739263179319</v>
      </c>
      <c r="AX14" s="102">
        <v>0</v>
      </c>
      <c r="AY14" s="102">
        <v>0</v>
      </c>
    </row>
    <row r="15" spans="1:52" s="103" customFormat="1">
      <c r="A15" s="103" t="s">
        <v>288</v>
      </c>
      <c r="T15" s="103">
        <f t="shared" si="0"/>
        <v>0</v>
      </c>
      <c r="U15" s="103" t="s">
        <v>544</v>
      </c>
      <c r="V15" s="103">
        <v>676</v>
      </c>
      <c r="W15"/>
      <c r="X15"/>
      <c r="Y15"/>
      <c r="Z15"/>
      <c r="AA15"/>
      <c r="AB15" s="103">
        <v>0</v>
      </c>
      <c r="AC15" s="103">
        <v>0</v>
      </c>
      <c r="AD15" s="103">
        <v>0</v>
      </c>
      <c r="AE15" s="103">
        <v>0</v>
      </c>
      <c r="AF15" s="102" t="e">
        <v>#N/A</v>
      </c>
      <c r="AG15" s="102" t="e">
        <v>#N/A</v>
      </c>
      <c r="AH15" s="102" t="e">
        <v>#N/A</v>
      </c>
      <c r="AI15" s="102" t="e">
        <v>#N/A</v>
      </c>
      <c r="AJ15" s="102" t="e">
        <v>#N/A</v>
      </c>
      <c r="AK15" s="102" t="e">
        <v>#N/A</v>
      </c>
      <c r="AL15" s="102" t="e">
        <v>#N/A</v>
      </c>
      <c r="AM15" s="102" t="e">
        <v>#N/A</v>
      </c>
      <c r="AN15" s="102" t="e">
        <v>#N/A</v>
      </c>
      <c r="AO15" s="102" t="e">
        <v>#N/A</v>
      </c>
      <c r="AP15" s="102" t="e">
        <v>#N/A</v>
      </c>
      <c r="AQ15" s="102" t="e">
        <v>#N/A</v>
      </c>
      <c r="AR15" s="102" t="e">
        <v>#N/A</v>
      </c>
      <c r="AS15" s="102" t="e">
        <v>#N/A</v>
      </c>
      <c r="AT15" s="102" t="e">
        <v>#N/A</v>
      </c>
      <c r="AU15" s="102" t="e">
        <v>#N/A</v>
      </c>
      <c r="AV15" s="102" t="e">
        <v>#N/A</v>
      </c>
      <c r="AW15" s="102" t="e">
        <v>#N/A</v>
      </c>
      <c r="AX15" s="102" t="e">
        <v>#N/A</v>
      </c>
      <c r="AY15" s="102" t="e">
        <v>#N/A</v>
      </c>
    </row>
    <row r="16" spans="1:52" s="103" customFormat="1">
      <c r="A16" s="103" t="s">
        <v>289</v>
      </c>
      <c r="T16" s="103">
        <f t="shared" si="0"/>
        <v>0</v>
      </c>
      <c r="U16" s="103" t="s">
        <v>200</v>
      </c>
      <c r="V16" s="103">
        <v>884</v>
      </c>
      <c r="W16"/>
      <c r="X16"/>
      <c r="Y16"/>
      <c r="Z16"/>
      <c r="AA16"/>
      <c r="AB16" s="103">
        <v>0</v>
      </c>
      <c r="AC16" s="103">
        <v>0</v>
      </c>
      <c r="AD16" s="103">
        <v>0</v>
      </c>
      <c r="AE16" s="103">
        <v>0</v>
      </c>
      <c r="AF16" s="102" t="e">
        <v>#N/A</v>
      </c>
      <c r="AG16" s="102" t="e">
        <v>#N/A</v>
      </c>
      <c r="AH16" s="102" t="e">
        <v>#N/A</v>
      </c>
      <c r="AI16" s="102" t="e">
        <v>#N/A</v>
      </c>
      <c r="AJ16" s="102" t="e">
        <v>#N/A</v>
      </c>
      <c r="AK16" s="102" t="e">
        <v>#N/A</v>
      </c>
      <c r="AL16" s="102" t="e">
        <v>#N/A</v>
      </c>
      <c r="AM16" s="102" t="e">
        <v>#N/A</v>
      </c>
      <c r="AN16" s="102" t="e">
        <v>#N/A</v>
      </c>
      <c r="AO16" s="102" t="e">
        <v>#N/A</v>
      </c>
      <c r="AP16" s="102" t="e">
        <v>#N/A</v>
      </c>
      <c r="AQ16" s="102" t="e">
        <v>#N/A</v>
      </c>
      <c r="AR16" s="102" t="e">
        <v>#N/A</v>
      </c>
      <c r="AS16" s="102" t="e">
        <v>#N/A</v>
      </c>
      <c r="AT16" s="102" t="e">
        <v>#N/A</v>
      </c>
      <c r="AU16" s="102" t="e">
        <v>#N/A</v>
      </c>
      <c r="AV16" s="102" t="e">
        <v>#N/A</v>
      </c>
      <c r="AW16" s="102" t="e">
        <v>#N/A</v>
      </c>
      <c r="AX16" s="102" t="e">
        <v>#N/A</v>
      </c>
      <c r="AY16" s="102" t="e">
        <v>#N/A</v>
      </c>
    </row>
    <row r="17" spans="1:51" s="103" customFormat="1">
      <c r="A17" s="103" t="s">
        <v>726</v>
      </c>
      <c r="B17" s="103">
        <v>67320</v>
      </c>
      <c r="C17" s="103">
        <v>64205</v>
      </c>
      <c r="D17" s="103">
        <v>1</v>
      </c>
      <c r="E17" s="103">
        <v>56483</v>
      </c>
      <c r="F17" s="103">
        <v>8.9</v>
      </c>
      <c r="G17" s="103">
        <v>27245</v>
      </c>
      <c r="H17" s="103">
        <v>9335</v>
      </c>
      <c r="I17" s="103">
        <v>3295</v>
      </c>
      <c r="J17" s="103">
        <v>80.8</v>
      </c>
      <c r="K17" s="103">
        <v>15.7</v>
      </c>
      <c r="L17" s="103">
        <v>66.7</v>
      </c>
      <c r="M17" s="103">
        <v>64.2</v>
      </c>
      <c r="N17" s="103">
        <v>3.7</v>
      </c>
      <c r="O17" s="103">
        <v>13820</v>
      </c>
      <c r="P17" s="103">
        <v>5740</v>
      </c>
      <c r="Q17" s="103">
        <v>7435</v>
      </c>
      <c r="R17" s="103">
        <v>6655</v>
      </c>
      <c r="T17" s="103">
        <f t="shared" si="0"/>
        <v>0</v>
      </c>
      <c r="U17" s="103" t="s">
        <v>201</v>
      </c>
      <c r="V17" s="103">
        <v>549</v>
      </c>
      <c r="W17">
        <v>23055</v>
      </c>
      <c r="X17">
        <v>26066</v>
      </c>
      <c r="Y17">
        <v>19591</v>
      </c>
      <c r="Z17">
        <v>23977</v>
      </c>
      <c r="AA17">
        <v>17631</v>
      </c>
      <c r="AB17" s="103">
        <v>12930</v>
      </c>
      <c r="AC17" s="103">
        <v>41795</v>
      </c>
      <c r="AD17" s="103">
        <v>19035</v>
      </c>
      <c r="AE17" s="103">
        <v>12610</v>
      </c>
      <c r="AF17" s="102">
        <v>4.642669087651119</v>
      </c>
      <c r="AG17" s="102">
        <v>0.31028893902391896</v>
      </c>
      <c r="AH17" s="102">
        <v>0.12831497478432741</v>
      </c>
      <c r="AI17" s="102">
        <v>0.89120582486569211</v>
      </c>
      <c r="AJ17" s="102">
        <v>0.79555284366282986</v>
      </c>
      <c r="AK17" s="102">
        <v>0.57391788721717352</v>
      </c>
      <c r="AL17" s="102">
        <v>1.5771076900764605</v>
      </c>
      <c r="AM17" s="102">
        <v>0.73489485558296597</v>
      </c>
      <c r="AN17" s="102">
        <v>0.1189829766181945</v>
      </c>
      <c r="AO17" s="102">
        <v>0.40827491976831443</v>
      </c>
      <c r="AP17" s="102">
        <v>9.7985980744395476E-2</v>
      </c>
      <c r="AQ17" s="102">
        <v>0.34528393214691738</v>
      </c>
      <c r="AR17" s="102">
        <v>2.0996995873799031E-2</v>
      </c>
      <c r="AS17" s="102">
        <v>0.31495493810698544</v>
      </c>
      <c r="AT17" s="102">
        <v>1.1804977680158122</v>
      </c>
      <c r="AU17" s="102">
        <v>1.9200586226818446</v>
      </c>
      <c r="AV17" s="102">
        <v>0.31028893902391896</v>
      </c>
      <c r="AW17" s="102">
        <v>0.89120582486569211</v>
      </c>
      <c r="AX17" s="102">
        <v>0.65557287117083629</v>
      </c>
      <c r="AY17" s="102">
        <v>0.87720782761649274</v>
      </c>
    </row>
    <row r="18" spans="1:51" s="103" customFormat="1">
      <c r="A18" s="103" t="s">
        <v>788</v>
      </c>
      <c r="T18" s="103">
        <f t="shared" si="0"/>
        <v>0</v>
      </c>
      <c r="U18" s="103" t="s">
        <v>202</v>
      </c>
      <c r="V18" s="103">
        <v>42</v>
      </c>
      <c r="W18"/>
      <c r="X18"/>
      <c r="Y18"/>
      <c r="Z18"/>
      <c r="AA18"/>
      <c r="AB18" s="103">
        <v>0</v>
      </c>
      <c r="AC18" s="103">
        <v>0</v>
      </c>
      <c r="AD18" s="103">
        <v>0</v>
      </c>
      <c r="AE18" s="103">
        <v>0</v>
      </c>
      <c r="AF18" s="102" t="e">
        <v>#N/A</v>
      </c>
      <c r="AG18" s="102" t="e">
        <v>#N/A</v>
      </c>
      <c r="AH18" s="102" t="e">
        <v>#N/A</v>
      </c>
      <c r="AI18" s="102" t="e">
        <v>#N/A</v>
      </c>
      <c r="AJ18" s="102" t="e">
        <v>#N/A</v>
      </c>
      <c r="AK18" s="102" t="e">
        <v>#N/A</v>
      </c>
      <c r="AL18" s="102" t="e">
        <v>#N/A</v>
      </c>
      <c r="AM18" s="102" t="e">
        <v>#N/A</v>
      </c>
      <c r="AN18" s="102" t="e">
        <v>#N/A</v>
      </c>
      <c r="AO18" s="102" t="e">
        <v>#N/A</v>
      </c>
      <c r="AP18" s="102" t="e">
        <v>#N/A</v>
      </c>
      <c r="AQ18" s="102" t="e">
        <v>#N/A</v>
      </c>
      <c r="AR18" s="102" t="e">
        <v>#N/A</v>
      </c>
      <c r="AS18" s="102" t="e">
        <v>#N/A</v>
      </c>
      <c r="AT18" s="102" t="e">
        <v>#N/A</v>
      </c>
      <c r="AU18" s="102" t="e">
        <v>#N/A</v>
      </c>
      <c r="AV18" s="102" t="e">
        <v>#N/A</v>
      </c>
      <c r="AW18" s="102" t="e">
        <v>#N/A</v>
      </c>
      <c r="AX18" s="102" t="e">
        <v>#N/A</v>
      </c>
      <c r="AY18" s="102" t="e">
        <v>#N/A</v>
      </c>
    </row>
    <row r="19" spans="1:51" s="103" customFormat="1">
      <c r="A19" s="103" t="s">
        <v>193</v>
      </c>
      <c r="B19" s="103">
        <v>29</v>
      </c>
      <c r="T19" s="103">
        <f t="shared" si="0"/>
        <v>0</v>
      </c>
      <c r="U19" s="103" t="s">
        <v>203</v>
      </c>
      <c r="V19" s="103">
        <v>2116</v>
      </c>
      <c r="W19"/>
      <c r="X19"/>
      <c r="Y19"/>
      <c r="Z19"/>
      <c r="AA19"/>
      <c r="AB19" s="103">
        <v>0</v>
      </c>
      <c r="AC19" s="103">
        <v>0</v>
      </c>
      <c r="AD19" s="103">
        <v>0</v>
      </c>
      <c r="AE19" s="103">
        <v>0</v>
      </c>
      <c r="AF19" s="102" t="e">
        <v>#N/A</v>
      </c>
      <c r="AG19" s="102" t="e">
        <v>#N/A</v>
      </c>
      <c r="AH19" s="102" t="e">
        <v>#N/A</v>
      </c>
      <c r="AI19" s="102" t="e">
        <v>#N/A</v>
      </c>
      <c r="AJ19" s="102" t="e">
        <v>#N/A</v>
      </c>
      <c r="AK19" s="102" t="e">
        <v>#N/A</v>
      </c>
      <c r="AL19" s="102" t="e">
        <v>#N/A</v>
      </c>
      <c r="AM19" s="102" t="e">
        <v>#N/A</v>
      </c>
      <c r="AN19" s="102" t="e">
        <v>#N/A</v>
      </c>
      <c r="AO19" s="102" t="e">
        <v>#N/A</v>
      </c>
      <c r="AP19" s="102" t="e">
        <v>#N/A</v>
      </c>
      <c r="AQ19" s="102" t="e">
        <v>#N/A</v>
      </c>
      <c r="AR19" s="102" t="e">
        <v>#N/A</v>
      </c>
      <c r="AS19" s="102" t="e">
        <v>#N/A</v>
      </c>
      <c r="AT19" s="102" t="e">
        <v>#N/A</v>
      </c>
      <c r="AU19" s="102" t="e">
        <v>#N/A</v>
      </c>
      <c r="AV19" s="102" t="e">
        <v>#N/A</v>
      </c>
      <c r="AW19" s="102" t="e">
        <v>#N/A</v>
      </c>
      <c r="AX19" s="102" t="e">
        <v>#N/A</v>
      </c>
      <c r="AY19" s="102" t="e">
        <v>#N/A</v>
      </c>
    </row>
    <row r="20" spans="1:51" s="103" customFormat="1" ht="15" customHeight="1">
      <c r="A20" s="103" t="s">
        <v>291</v>
      </c>
      <c r="T20" s="103">
        <f t="shared" si="0"/>
        <v>0</v>
      </c>
      <c r="U20" s="103" t="s">
        <v>204</v>
      </c>
      <c r="V20" s="103">
        <v>320</v>
      </c>
      <c r="W20"/>
      <c r="X20"/>
      <c r="Y20"/>
      <c r="Z20"/>
      <c r="AA20"/>
      <c r="AB20" s="103">
        <v>0</v>
      </c>
      <c r="AC20" s="103">
        <v>0</v>
      </c>
      <c r="AD20" s="103">
        <v>0</v>
      </c>
      <c r="AE20" s="103">
        <v>0</v>
      </c>
      <c r="AF20" s="102" t="e">
        <v>#N/A</v>
      </c>
      <c r="AG20" s="102" t="e">
        <v>#N/A</v>
      </c>
      <c r="AH20" s="102" t="e">
        <v>#N/A</v>
      </c>
      <c r="AI20" s="102" t="e">
        <v>#N/A</v>
      </c>
      <c r="AJ20" s="102" t="e">
        <v>#N/A</v>
      </c>
      <c r="AK20" s="102" t="e">
        <v>#N/A</v>
      </c>
      <c r="AL20" s="102" t="e">
        <v>#N/A</v>
      </c>
      <c r="AM20" s="102" t="e">
        <v>#N/A</v>
      </c>
      <c r="AN20" s="102" t="e">
        <v>#N/A</v>
      </c>
      <c r="AO20" s="102" t="e">
        <v>#N/A</v>
      </c>
      <c r="AP20" s="102" t="e">
        <v>#N/A</v>
      </c>
      <c r="AQ20" s="102" t="e">
        <v>#N/A</v>
      </c>
      <c r="AR20" s="102" t="e">
        <v>#N/A</v>
      </c>
      <c r="AS20" s="102" t="e">
        <v>#N/A</v>
      </c>
      <c r="AT20" s="102" t="e">
        <v>#N/A</v>
      </c>
      <c r="AU20" s="102" t="e">
        <v>#N/A</v>
      </c>
      <c r="AV20" s="102" t="e">
        <v>#N/A</v>
      </c>
      <c r="AW20" s="102" t="e">
        <v>#N/A</v>
      </c>
      <c r="AX20" s="102" t="e">
        <v>#N/A</v>
      </c>
      <c r="AY20" s="102" t="e">
        <v>#N/A</v>
      </c>
    </row>
    <row r="21" spans="1:51" s="103" customFormat="1" ht="15" customHeight="1">
      <c r="A21" s="103" t="s">
        <v>292</v>
      </c>
      <c r="T21" s="103">
        <f t="shared" si="0"/>
        <v>0</v>
      </c>
      <c r="U21" s="103" t="s">
        <v>205</v>
      </c>
      <c r="V21" s="103">
        <v>1254</v>
      </c>
      <c r="W21"/>
      <c r="X21"/>
      <c r="Y21"/>
      <c r="Z21"/>
      <c r="AA21"/>
      <c r="AB21" s="103">
        <v>0</v>
      </c>
      <c r="AC21" s="103">
        <v>0</v>
      </c>
      <c r="AD21" s="103">
        <v>0</v>
      </c>
      <c r="AE21" s="103">
        <v>0</v>
      </c>
      <c r="AF21" s="102" t="e">
        <v>#N/A</v>
      </c>
      <c r="AG21" s="102" t="e">
        <v>#N/A</v>
      </c>
      <c r="AH21" s="102" t="e">
        <v>#N/A</v>
      </c>
      <c r="AI21" s="102" t="e">
        <v>#N/A</v>
      </c>
      <c r="AJ21" s="102" t="e">
        <v>#N/A</v>
      </c>
      <c r="AK21" s="102" t="e">
        <v>#N/A</v>
      </c>
      <c r="AL21" s="102" t="e">
        <v>#N/A</v>
      </c>
      <c r="AM21" s="102" t="e">
        <v>#N/A</v>
      </c>
      <c r="AN21" s="102" t="e">
        <v>#N/A</v>
      </c>
      <c r="AO21" s="102" t="e">
        <v>#N/A</v>
      </c>
      <c r="AP21" s="102" t="e">
        <v>#N/A</v>
      </c>
      <c r="AQ21" s="102" t="e">
        <v>#N/A</v>
      </c>
      <c r="AR21" s="102" t="e">
        <v>#N/A</v>
      </c>
      <c r="AS21" s="102" t="e">
        <v>#N/A</v>
      </c>
      <c r="AT21" s="102" t="e">
        <v>#N/A</v>
      </c>
      <c r="AU21" s="102" t="e">
        <v>#N/A</v>
      </c>
      <c r="AV21" s="102" t="e">
        <v>#N/A</v>
      </c>
      <c r="AW21" s="102" t="e">
        <v>#N/A</v>
      </c>
      <c r="AX21" s="102" t="e">
        <v>#N/A</v>
      </c>
      <c r="AY21" s="102" t="e">
        <v>#N/A</v>
      </c>
    </row>
    <row r="22" spans="1:51" s="103" customFormat="1" ht="15" customHeight="1">
      <c r="A22" s="103" t="s">
        <v>293</v>
      </c>
      <c r="T22" s="103">
        <f t="shared" si="0"/>
        <v>0</v>
      </c>
      <c r="U22" s="103" t="s">
        <v>207</v>
      </c>
      <c r="V22" s="103">
        <v>4825</v>
      </c>
      <c r="W22"/>
      <c r="X22"/>
      <c r="Y22"/>
      <c r="Z22"/>
      <c r="AA22"/>
      <c r="AB22" s="103">
        <v>0</v>
      </c>
      <c r="AC22" s="103">
        <v>0</v>
      </c>
      <c r="AD22" s="103">
        <v>0</v>
      </c>
      <c r="AE22" s="103">
        <v>0</v>
      </c>
      <c r="AF22" s="102" t="e">
        <v>#N/A</v>
      </c>
      <c r="AG22" s="102" t="e">
        <v>#N/A</v>
      </c>
      <c r="AH22" s="102" t="e">
        <v>#N/A</v>
      </c>
      <c r="AI22" s="102" t="e">
        <v>#N/A</v>
      </c>
      <c r="AJ22" s="102" t="e">
        <v>#N/A</v>
      </c>
      <c r="AK22" s="102" t="e">
        <v>#N/A</v>
      </c>
      <c r="AL22" s="102" t="e">
        <v>#N/A</v>
      </c>
      <c r="AM22" s="102" t="e">
        <v>#N/A</v>
      </c>
      <c r="AN22" s="102" t="e">
        <v>#N/A</v>
      </c>
      <c r="AO22" s="102" t="e">
        <v>#N/A</v>
      </c>
      <c r="AP22" s="102" t="e">
        <v>#N/A</v>
      </c>
      <c r="AQ22" s="102" t="e">
        <v>#N/A</v>
      </c>
      <c r="AR22" s="102" t="e">
        <v>#N/A</v>
      </c>
      <c r="AS22" s="102" t="e">
        <v>#N/A</v>
      </c>
      <c r="AT22" s="102" t="e">
        <v>#N/A</v>
      </c>
      <c r="AU22" s="102" t="e">
        <v>#N/A</v>
      </c>
      <c r="AV22" s="102" t="e">
        <v>#N/A</v>
      </c>
      <c r="AW22" s="102" t="e">
        <v>#N/A</v>
      </c>
      <c r="AX22" s="102" t="e">
        <v>#N/A</v>
      </c>
      <c r="AY22" s="102" t="e">
        <v>#N/A</v>
      </c>
    </row>
    <row r="23" spans="1:51" s="103" customFormat="1" ht="15" customHeight="1">
      <c r="A23" s="103" t="s">
        <v>194</v>
      </c>
      <c r="B23" s="103">
        <v>305</v>
      </c>
      <c r="C23" s="103">
        <v>305</v>
      </c>
      <c r="D23" s="103">
        <v>2.7</v>
      </c>
      <c r="E23" s="103">
        <v>36397</v>
      </c>
      <c r="F23" s="103">
        <v>0</v>
      </c>
      <c r="G23" s="103">
        <v>65</v>
      </c>
      <c r="H23" s="103">
        <v>10</v>
      </c>
      <c r="I23" s="103">
        <v>25</v>
      </c>
      <c r="J23" s="103">
        <v>0</v>
      </c>
      <c r="K23" s="103">
        <v>0</v>
      </c>
      <c r="L23" s="103">
        <v>27.8</v>
      </c>
      <c r="M23" s="103">
        <v>22.2</v>
      </c>
      <c r="N23" s="103">
        <v>20</v>
      </c>
      <c r="O23" s="103">
        <v>25</v>
      </c>
      <c r="P23" s="103">
        <v>0</v>
      </c>
      <c r="Q23" s="103">
        <v>0</v>
      </c>
      <c r="R23" s="103">
        <v>0</v>
      </c>
      <c r="T23" s="103" t="str">
        <f t="shared" si="0"/>
        <v>Barren Lands First Nation</v>
      </c>
      <c r="U23" s="103" t="s">
        <v>208</v>
      </c>
      <c r="V23" s="103">
        <v>159</v>
      </c>
      <c r="W23">
        <v>13934</v>
      </c>
      <c r="X23">
        <v>15297</v>
      </c>
      <c r="Y23">
        <v>11966</v>
      </c>
      <c r="Z23">
        <v>10016</v>
      </c>
      <c r="AA23">
        <v>10613</v>
      </c>
      <c r="AB23" s="103">
        <v>125</v>
      </c>
      <c r="AC23" s="103">
        <v>165</v>
      </c>
      <c r="AD23" s="103">
        <v>20</v>
      </c>
      <c r="AE23" s="103">
        <v>10</v>
      </c>
      <c r="AF23" s="102">
        <v>0</v>
      </c>
      <c r="AG23" s="102">
        <v>0</v>
      </c>
      <c r="AH23" s="102">
        <v>0</v>
      </c>
      <c r="AI23" s="102">
        <v>3.3842491349480972</v>
      </c>
      <c r="AJ23" s="102">
        <v>0</v>
      </c>
      <c r="AK23" s="102">
        <v>0</v>
      </c>
      <c r="AL23" s="102">
        <v>3.3842491349480972</v>
      </c>
      <c r="AM23" s="102">
        <v>3.3842491349480972</v>
      </c>
      <c r="AN23" s="102">
        <v>0</v>
      </c>
      <c r="AO23" s="102">
        <v>0</v>
      </c>
      <c r="AP23" s="102">
        <v>0</v>
      </c>
      <c r="AQ23" s="102">
        <v>0</v>
      </c>
      <c r="AR23" s="102">
        <v>0</v>
      </c>
      <c r="AS23" s="102">
        <v>0</v>
      </c>
      <c r="AT23" s="102">
        <v>3.3842491349480972</v>
      </c>
      <c r="AU23" s="102">
        <v>3.3842491349480972</v>
      </c>
      <c r="AV23" s="102">
        <v>0</v>
      </c>
      <c r="AW23" s="102">
        <v>0</v>
      </c>
      <c r="AX23" s="102">
        <v>0</v>
      </c>
      <c r="AY23" s="102">
        <v>3.3842491349480972</v>
      </c>
    </row>
    <row r="24" spans="1:51" s="103" customFormat="1" ht="15" customHeight="1">
      <c r="A24" s="103" t="s">
        <v>195</v>
      </c>
      <c r="B24" s="103">
        <v>120</v>
      </c>
      <c r="T24" s="103">
        <f t="shared" si="0"/>
        <v>0</v>
      </c>
      <c r="U24" s="103" t="s">
        <v>209</v>
      </c>
      <c r="V24" s="103">
        <v>151</v>
      </c>
      <c r="W24"/>
      <c r="X24"/>
      <c r="Y24"/>
      <c r="Z24"/>
      <c r="AA24"/>
      <c r="AB24" s="103">
        <v>0</v>
      </c>
      <c r="AC24" s="103">
        <v>0</v>
      </c>
      <c r="AD24" s="103">
        <v>0</v>
      </c>
      <c r="AE24" s="103">
        <v>0</v>
      </c>
      <c r="AF24" s="102" t="e">
        <v>#N/A</v>
      </c>
      <c r="AG24" s="102" t="e">
        <v>#N/A</v>
      </c>
      <c r="AH24" s="102" t="e">
        <v>#N/A</v>
      </c>
      <c r="AI24" s="102" t="e">
        <v>#N/A</v>
      </c>
      <c r="AJ24" s="102" t="e">
        <v>#N/A</v>
      </c>
      <c r="AK24" s="102" t="e">
        <v>#N/A</v>
      </c>
      <c r="AL24" s="102" t="e">
        <v>#N/A</v>
      </c>
      <c r="AM24" s="102" t="e">
        <v>#N/A</v>
      </c>
      <c r="AN24" s="102" t="e">
        <v>#N/A</v>
      </c>
      <c r="AO24" s="102" t="e">
        <v>#N/A</v>
      </c>
      <c r="AP24" s="102" t="e">
        <v>#N/A</v>
      </c>
      <c r="AQ24" s="102" t="e">
        <v>#N/A</v>
      </c>
      <c r="AR24" s="102" t="e">
        <v>#N/A</v>
      </c>
      <c r="AS24" s="102" t="e">
        <v>#N/A</v>
      </c>
      <c r="AT24" s="102" t="e">
        <v>#N/A</v>
      </c>
      <c r="AU24" s="102" t="e">
        <v>#N/A</v>
      </c>
      <c r="AV24" s="102" t="e">
        <v>#N/A</v>
      </c>
      <c r="AW24" s="102" t="e">
        <v>#N/A</v>
      </c>
      <c r="AX24" s="102" t="e">
        <v>#N/A</v>
      </c>
      <c r="AY24" s="102" t="e">
        <v>#N/A</v>
      </c>
    </row>
    <row r="25" spans="1:51" ht="15" customHeight="1">
      <c r="A25" s="102" t="s">
        <v>294</v>
      </c>
      <c r="B25" s="102">
        <v>2725</v>
      </c>
      <c r="C25" s="102">
        <v>2720</v>
      </c>
      <c r="D25" s="102">
        <v>0.9</v>
      </c>
      <c r="E25" s="102">
        <v>65359</v>
      </c>
      <c r="F25" s="102">
        <v>5</v>
      </c>
      <c r="G25" s="102">
        <v>1245</v>
      </c>
      <c r="H25" s="102">
        <v>350</v>
      </c>
      <c r="I25" s="102">
        <v>90</v>
      </c>
      <c r="J25" s="102">
        <v>78.3</v>
      </c>
      <c r="K25" s="102">
        <v>21.7</v>
      </c>
      <c r="L25" s="102">
        <v>55</v>
      </c>
      <c r="M25" s="102">
        <v>52.1</v>
      </c>
      <c r="N25" s="102">
        <v>5.2</v>
      </c>
      <c r="O25" s="102">
        <v>465</v>
      </c>
      <c r="P25" s="102">
        <v>310</v>
      </c>
      <c r="Q25" s="102">
        <v>300</v>
      </c>
      <c r="R25" s="102">
        <v>250</v>
      </c>
      <c r="T25" s="102">
        <f t="shared" si="0"/>
        <v>0</v>
      </c>
      <c r="U25" s="102" t="s">
        <v>212</v>
      </c>
      <c r="V25" s="103">
        <v>194</v>
      </c>
      <c r="W25">
        <v>28666</v>
      </c>
      <c r="X25">
        <v>36807</v>
      </c>
      <c r="Y25">
        <v>20619</v>
      </c>
      <c r="Z25">
        <v>32425</v>
      </c>
      <c r="AA25">
        <v>16712</v>
      </c>
      <c r="AB25" s="102">
        <v>475</v>
      </c>
      <c r="AC25" s="102">
        <v>1555</v>
      </c>
      <c r="AD25" s="102">
        <v>715</v>
      </c>
      <c r="AE25" s="102">
        <v>685</v>
      </c>
      <c r="AF25" s="102">
        <v>0.34115414666815491</v>
      </c>
      <c r="AG25" s="102">
        <v>0.20469248800089296</v>
      </c>
      <c r="AH25" s="102">
        <v>0.34115414666815491</v>
      </c>
      <c r="AI25" s="102">
        <v>0.81876995200357183</v>
      </c>
      <c r="AJ25" s="102">
        <v>1.7740015626744057</v>
      </c>
      <c r="AK25" s="102">
        <v>0.47761580533541687</v>
      </c>
      <c r="AL25" s="102">
        <v>1.3646165866726196</v>
      </c>
      <c r="AM25" s="102">
        <v>0.88700078133720284</v>
      </c>
      <c r="AN25" s="102">
        <v>0.34115414666815491</v>
      </c>
      <c r="AO25" s="102">
        <v>0.68230829333630982</v>
      </c>
      <c r="AP25" s="102">
        <v>0.27292331733452396</v>
      </c>
      <c r="AQ25" s="102">
        <v>1.0234624400044647</v>
      </c>
      <c r="AR25" s="102">
        <v>0</v>
      </c>
      <c r="AS25" s="102">
        <v>0.47761580533541687</v>
      </c>
      <c r="AT25" s="102">
        <v>1.2281549280053579</v>
      </c>
      <c r="AU25" s="102">
        <v>2.7292331733452393</v>
      </c>
      <c r="AV25" s="102">
        <v>0</v>
      </c>
      <c r="AW25" s="102">
        <v>0.68230829333630982</v>
      </c>
      <c r="AX25" s="102">
        <v>1.0916932693380959</v>
      </c>
      <c r="AY25" s="102">
        <v>1.7740015626744057</v>
      </c>
    </row>
    <row r="26" spans="1:51" ht="15" customHeight="1">
      <c r="A26" s="102" t="s">
        <v>295</v>
      </c>
      <c r="B26" s="102">
        <v>355</v>
      </c>
      <c r="C26" s="102">
        <v>355</v>
      </c>
      <c r="D26" s="102">
        <v>0.9</v>
      </c>
      <c r="E26" s="102">
        <v>40388</v>
      </c>
      <c r="F26" s="102">
        <v>15</v>
      </c>
      <c r="G26" s="102">
        <v>180</v>
      </c>
      <c r="H26" s="102">
        <v>65</v>
      </c>
      <c r="I26" s="102">
        <v>30</v>
      </c>
      <c r="J26" s="102">
        <v>80.599999999999994</v>
      </c>
      <c r="K26" s="102">
        <v>19.399999999999999</v>
      </c>
      <c r="L26" s="102">
        <v>54.7</v>
      </c>
      <c r="M26" s="102">
        <v>46.9</v>
      </c>
      <c r="N26" s="102">
        <v>14.3</v>
      </c>
      <c r="O26" s="102">
        <v>85</v>
      </c>
      <c r="P26" s="102">
        <v>30</v>
      </c>
      <c r="Q26" s="102">
        <v>15</v>
      </c>
      <c r="R26" s="102">
        <v>0</v>
      </c>
      <c r="T26" s="102">
        <f t="shared" si="0"/>
        <v>0</v>
      </c>
      <c r="U26" s="102" t="s">
        <v>214</v>
      </c>
      <c r="V26" s="103">
        <v>1324</v>
      </c>
      <c r="W26">
        <v>13168</v>
      </c>
      <c r="X26">
        <v>12698</v>
      </c>
      <c r="Y26">
        <v>13753</v>
      </c>
      <c r="Z26">
        <v>19573</v>
      </c>
      <c r="AA26">
        <v>14524</v>
      </c>
      <c r="AB26" s="102">
        <v>25</v>
      </c>
      <c r="AC26" s="102">
        <v>200</v>
      </c>
      <c r="AD26" s="102">
        <v>105</v>
      </c>
      <c r="AE26" s="102">
        <v>110</v>
      </c>
      <c r="AF26" s="102">
        <v>1.4503924864063273</v>
      </c>
      <c r="AG26" s="102">
        <v>0</v>
      </c>
      <c r="AH26" s="102">
        <v>0</v>
      </c>
      <c r="AI26" s="102">
        <v>1.4503924864063273</v>
      </c>
      <c r="AJ26" s="102">
        <v>1.4503924864063273</v>
      </c>
      <c r="AK26" s="102">
        <v>0.96692832427088482</v>
      </c>
      <c r="AL26" s="102">
        <v>1.9338566485417696</v>
      </c>
      <c r="AM26" s="102">
        <v>0</v>
      </c>
      <c r="AN26" s="102">
        <v>0</v>
      </c>
      <c r="AO26" s="102">
        <v>0.96692832427088482</v>
      </c>
      <c r="AP26" s="102">
        <v>0</v>
      </c>
      <c r="AQ26" s="102">
        <v>0</v>
      </c>
      <c r="AR26" s="102">
        <v>0</v>
      </c>
      <c r="AS26" s="102">
        <v>0</v>
      </c>
      <c r="AT26" s="102">
        <v>0</v>
      </c>
      <c r="AU26" s="102">
        <v>2.4173208106772117</v>
      </c>
      <c r="AV26" s="102">
        <v>0</v>
      </c>
      <c r="AW26" s="102">
        <v>3.3842491349480972</v>
      </c>
      <c r="AX26" s="102">
        <v>0</v>
      </c>
      <c r="AY26" s="102">
        <v>0.96692832427088482</v>
      </c>
    </row>
    <row r="27" spans="1:51" ht="15" customHeight="1">
      <c r="A27" s="102" t="s">
        <v>196</v>
      </c>
      <c r="B27" s="102">
        <v>153</v>
      </c>
      <c r="T27" s="102">
        <f t="shared" si="0"/>
        <v>0</v>
      </c>
      <c r="U27" s="102" t="s">
        <v>216</v>
      </c>
      <c r="V27" s="103">
        <v>1715</v>
      </c>
      <c r="W27"/>
      <c r="X27"/>
      <c r="Y27"/>
      <c r="Z27"/>
      <c r="AA27"/>
      <c r="AB27" s="102">
        <v>0</v>
      </c>
      <c r="AC27" s="102">
        <v>0</v>
      </c>
      <c r="AD27" s="102">
        <v>0</v>
      </c>
      <c r="AE27" s="102">
        <v>0</v>
      </c>
      <c r="AF27" s="102" t="e">
        <v>#N/A</v>
      </c>
      <c r="AG27" s="102" t="e">
        <v>#N/A</v>
      </c>
      <c r="AH27" s="102" t="e">
        <v>#N/A</v>
      </c>
      <c r="AI27" s="102" t="e">
        <v>#N/A</v>
      </c>
      <c r="AJ27" s="102" t="e">
        <v>#N/A</v>
      </c>
      <c r="AK27" s="102" t="e">
        <v>#N/A</v>
      </c>
      <c r="AL27" s="102" t="e">
        <v>#N/A</v>
      </c>
      <c r="AM27" s="102" t="e">
        <v>#N/A</v>
      </c>
      <c r="AN27" s="102" t="e">
        <v>#N/A</v>
      </c>
      <c r="AO27" s="102" t="e">
        <v>#N/A</v>
      </c>
      <c r="AP27" s="102" t="e">
        <v>#N/A</v>
      </c>
      <c r="AQ27" s="102" t="e">
        <v>#N/A</v>
      </c>
      <c r="AR27" s="102" t="e">
        <v>#N/A</v>
      </c>
      <c r="AS27" s="102" t="e">
        <v>#N/A</v>
      </c>
      <c r="AT27" s="102" t="e">
        <v>#N/A</v>
      </c>
      <c r="AU27" s="102" t="e">
        <v>#N/A</v>
      </c>
      <c r="AV27" s="102" t="e">
        <v>#N/A</v>
      </c>
      <c r="AW27" s="102" t="e">
        <v>#N/A</v>
      </c>
      <c r="AX27" s="102" t="e">
        <v>#N/A</v>
      </c>
      <c r="AY27" s="102" t="e">
        <v>#N/A</v>
      </c>
    </row>
    <row r="28" spans="1:51" ht="15" customHeight="1">
      <c r="A28" s="102" t="s">
        <v>197</v>
      </c>
      <c r="B28" s="102">
        <v>775</v>
      </c>
      <c r="C28" s="102">
        <v>775</v>
      </c>
      <c r="D28" s="102">
        <v>2.2999999999999998</v>
      </c>
      <c r="E28" s="102">
        <v>25450</v>
      </c>
      <c r="F28" s="102">
        <v>0</v>
      </c>
      <c r="G28" s="102">
        <v>205</v>
      </c>
      <c r="H28" s="102">
        <v>65</v>
      </c>
      <c r="I28" s="102">
        <v>115</v>
      </c>
      <c r="J28" s="102">
        <v>4.9000000000000004</v>
      </c>
      <c r="K28" s="102">
        <v>4.9000000000000004</v>
      </c>
      <c r="L28" s="102">
        <v>46.5</v>
      </c>
      <c r="M28" s="102">
        <v>29.3</v>
      </c>
      <c r="N28" s="102">
        <v>37</v>
      </c>
      <c r="O28" s="102">
        <v>35</v>
      </c>
      <c r="P28" s="102">
        <v>15</v>
      </c>
      <c r="Q28" s="102">
        <v>25</v>
      </c>
      <c r="R28" s="102">
        <v>25</v>
      </c>
      <c r="T28" s="102" t="str">
        <f t="shared" si="0"/>
        <v>Berens River First Nation</v>
      </c>
      <c r="U28" s="102" t="s">
        <v>217</v>
      </c>
      <c r="V28" s="103">
        <v>273</v>
      </c>
      <c r="W28">
        <v>21734</v>
      </c>
      <c r="X28">
        <v>14106</v>
      </c>
      <c r="Y28">
        <v>32036</v>
      </c>
      <c r="Z28">
        <v>1108</v>
      </c>
      <c r="AA28">
        <v>7125</v>
      </c>
      <c r="AB28" s="102">
        <v>285</v>
      </c>
      <c r="AC28" s="102">
        <v>430</v>
      </c>
      <c r="AD28" s="102">
        <v>100</v>
      </c>
      <c r="AE28" s="102">
        <v>10</v>
      </c>
      <c r="AF28" s="102">
        <v>2.9428253347374755</v>
      </c>
      <c r="AG28" s="102">
        <v>0</v>
      </c>
      <c r="AH28" s="102">
        <v>0</v>
      </c>
      <c r="AI28" s="102">
        <v>0.73570633368436888</v>
      </c>
      <c r="AJ28" s="102">
        <v>0</v>
      </c>
      <c r="AK28" s="102">
        <v>0</v>
      </c>
      <c r="AL28" s="102">
        <v>1.4714126673687378</v>
      </c>
      <c r="AM28" s="102">
        <v>0.73570633368436888</v>
      </c>
      <c r="AN28" s="102">
        <v>0</v>
      </c>
      <c r="AO28" s="102">
        <v>0</v>
      </c>
      <c r="AP28" s="102">
        <v>0</v>
      </c>
      <c r="AQ28" s="102">
        <v>0</v>
      </c>
      <c r="AR28" s="102">
        <v>0</v>
      </c>
      <c r="AS28" s="102">
        <v>0</v>
      </c>
      <c r="AT28" s="102">
        <v>1.8392658342109223</v>
      </c>
      <c r="AU28" s="102">
        <v>1.8392658342109223</v>
      </c>
      <c r="AV28" s="102">
        <v>0</v>
      </c>
      <c r="AW28" s="102">
        <v>0</v>
      </c>
      <c r="AX28" s="102">
        <v>0</v>
      </c>
      <c r="AY28" s="102">
        <v>2.5749721678952913</v>
      </c>
    </row>
    <row r="29" spans="1:51" ht="15" customHeight="1">
      <c r="A29" s="102" t="s">
        <v>692</v>
      </c>
      <c r="B29" s="102">
        <v>2960</v>
      </c>
      <c r="C29" s="102">
        <v>2965</v>
      </c>
      <c r="D29" s="102">
        <v>1.5</v>
      </c>
      <c r="E29" s="102">
        <v>57676</v>
      </c>
      <c r="F29" s="102">
        <v>5.6</v>
      </c>
      <c r="G29" s="102">
        <v>1020</v>
      </c>
      <c r="H29" s="102">
        <v>285</v>
      </c>
      <c r="I29" s="102">
        <v>115</v>
      </c>
      <c r="J29" s="102">
        <v>91.2</v>
      </c>
      <c r="K29" s="102">
        <v>8.3000000000000007</v>
      </c>
      <c r="L29" s="102">
        <v>67.900000000000006</v>
      </c>
      <c r="M29" s="102">
        <v>65.400000000000006</v>
      </c>
      <c r="N29" s="102">
        <v>3.4</v>
      </c>
      <c r="O29" s="102">
        <v>505</v>
      </c>
      <c r="P29" s="102">
        <v>190</v>
      </c>
      <c r="Q29" s="102">
        <v>195</v>
      </c>
      <c r="R29" s="102">
        <v>205</v>
      </c>
      <c r="T29" s="102">
        <f t="shared" si="0"/>
        <v>0</v>
      </c>
      <c r="U29" s="102" t="s">
        <v>756</v>
      </c>
      <c r="V29" s="103">
        <v>52</v>
      </c>
      <c r="W29">
        <v>22845</v>
      </c>
      <c r="X29">
        <v>26604</v>
      </c>
      <c r="Y29">
        <v>17298</v>
      </c>
      <c r="Z29">
        <v>25932</v>
      </c>
      <c r="AA29">
        <v>15155</v>
      </c>
      <c r="AB29" s="102">
        <v>780</v>
      </c>
      <c r="AC29" s="102">
        <v>1795</v>
      </c>
      <c r="AD29" s="102">
        <v>715</v>
      </c>
      <c r="AE29" s="102">
        <v>375</v>
      </c>
      <c r="AF29" s="102">
        <v>4.6876423828672964</v>
      </c>
      <c r="AG29" s="102">
        <v>0.40016459365940338</v>
      </c>
      <c r="AH29" s="102">
        <v>0.11433274104554382</v>
      </c>
      <c r="AI29" s="102">
        <v>1.7721574862059291</v>
      </c>
      <c r="AJ29" s="102">
        <v>2.2866548209108766</v>
      </c>
      <c r="AK29" s="102">
        <v>0.45733096418217528</v>
      </c>
      <c r="AL29" s="102">
        <v>1.886490227251473</v>
      </c>
      <c r="AM29" s="102">
        <v>0.11433274104554382</v>
      </c>
      <c r="AN29" s="102">
        <v>0</v>
      </c>
      <c r="AO29" s="102">
        <v>0.28583185261385957</v>
      </c>
      <c r="AP29" s="102">
        <v>0.17149911156831574</v>
      </c>
      <c r="AQ29" s="102">
        <v>0.17149911156831574</v>
      </c>
      <c r="AR29" s="102">
        <v>0</v>
      </c>
      <c r="AS29" s="102">
        <v>0.34299822313663147</v>
      </c>
      <c r="AT29" s="102">
        <v>0.91466192836435056</v>
      </c>
      <c r="AU29" s="102">
        <v>1.5434920041148414</v>
      </c>
      <c r="AV29" s="102">
        <v>0.34299822313663147</v>
      </c>
      <c r="AW29" s="102">
        <v>0.34299822313663147</v>
      </c>
      <c r="AX29" s="102">
        <v>0.40016459365940338</v>
      </c>
      <c r="AY29" s="102">
        <v>0.51449733470494718</v>
      </c>
    </row>
    <row r="30" spans="1:51" ht="15" customHeight="1">
      <c r="A30" s="102" t="s">
        <v>296</v>
      </c>
      <c r="B30" s="102">
        <v>395</v>
      </c>
      <c r="C30" s="102">
        <v>395</v>
      </c>
      <c r="D30" s="102">
        <v>0.8</v>
      </c>
      <c r="E30" s="102">
        <v>67156</v>
      </c>
      <c r="F30" s="102">
        <v>0</v>
      </c>
      <c r="G30" s="102">
        <v>190</v>
      </c>
      <c r="H30" s="102">
        <v>65</v>
      </c>
      <c r="I30" s="102">
        <v>30</v>
      </c>
      <c r="J30" s="102">
        <v>89.5</v>
      </c>
      <c r="K30" s="102">
        <v>10.5</v>
      </c>
      <c r="L30" s="102">
        <v>58</v>
      </c>
      <c r="M30" s="102">
        <v>56.5</v>
      </c>
      <c r="N30" s="102">
        <v>0</v>
      </c>
      <c r="O30" s="102">
        <v>130</v>
      </c>
      <c r="P30" s="102">
        <v>45</v>
      </c>
      <c r="Q30" s="102">
        <v>60</v>
      </c>
      <c r="R30" s="102">
        <v>30</v>
      </c>
      <c r="T30" s="102">
        <f t="shared" si="0"/>
        <v>0</v>
      </c>
      <c r="U30" s="102" t="s">
        <v>219</v>
      </c>
      <c r="V30" s="103">
        <v>3507</v>
      </c>
      <c r="W30">
        <v>27323</v>
      </c>
      <c r="X30">
        <v>35450</v>
      </c>
      <c r="Y30">
        <v>20201</v>
      </c>
      <c r="Z30">
        <v>33389</v>
      </c>
      <c r="AA30">
        <v>16303</v>
      </c>
      <c r="AB30" s="102">
        <v>50</v>
      </c>
      <c r="AC30" s="102">
        <v>225</v>
      </c>
      <c r="AD30" s="102">
        <v>115</v>
      </c>
      <c r="AE30" s="102">
        <v>125</v>
      </c>
      <c r="AF30" s="102">
        <v>0.8460622837370243</v>
      </c>
      <c r="AG30" s="102">
        <v>3.3842491349480972</v>
      </c>
      <c r="AH30" s="102">
        <v>0</v>
      </c>
      <c r="AI30" s="102">
        <v>1.2690934256055364</v>
      </c>
      <c r="AJ30" s="102">
        <v>0</v>
      </c>
      <c r="AK30" s="102">
        <v>0</v>
      </c>
      <c r="AL30" s="102">
        <v>0.8460622837370243</v>
      </c>
      <c r="AM30" s="102">
        <v>0.8460622837370243</v>
      </c>
      <c r="AN30" s="102">
        <v>0</v>
      </c>
      <c r="AO30" s="102">
        <v>1.2690934256055364</v>
      </c>
      <c r="AP30" s="102">
        <v>0</v>
      </c>
      <c r="AQ30" s="102">
        <v>0</v>
      </c>
      <c r="AR30" s="102">
        <v>0</v>
      </c>
      <c r="AS30" s="102">
        <v>0.8460622837370243</v>
      </c>
      <c r="AT30" s="102">
        <v>2.1151557093425604</v>
      </c>
      <c r="AU30" s="102">
        <v>2.1151557093425604</v>
      </c>
      <c r="AV30" s="102">
        <v>0</v>
      </c>
      <c r="AW30" s="102">
        <v>1.6921245674740486</v>
      </c>
      <c r="AX30" s="102">
        <v>1.2690934256055364</v>
      </c>
      <c r="AY30" s="102">
        <v>0.8460622837370243</v>
      </c>
    </row>
    <row r="31" spans="1:51" s="103" customFormat="1" ht="15" customHeight="1">
      <c r="A31" s="103" t="s">
        <v>297</v>
      </c>
      <c r="T31" s="103">
        <f t="shared" si="0"/>
        <v>0</v>
      </c>
      <c r="U31" s="103" t="s">
        <v>492</v>
      </c>
      <c r="V31" s="103">
        <v>1365</v>
      </c>
      <c r="W31"/>
      <c r="X31"/>
      <c r="Y31"/>
      <c r="Z31"/>
      <c r="AA31"/>
      <c r="AB31" s="103">
        <v>0</v>
      </c>
      <c r="AC31" s="103">
        <v>0</v>
      </c>
      <c r="AD31" s="103">
        <v>0</v>
      </c>
      <c r="AE31" s="103">
        <v>0</v>
      </c>
      <c r="AF31" s="102" t="e">
        <v>#N/A</v>
      </c>
      <c r="AG31" s="102" t="e">
        <v>#N/A</v>
      </c>
      <c r="AH31" s="102" t="e">
        <v>#N/A</v>
      </c>
      <c r="AI31" s="102" t="e">
        <v>#N/A</v>
      </c>
      <c r="AJ31" s="102" t="e">
        <v>#N/A</v>
      </c>
      <c r="AK31" s="102" t="e">
        <v>#N/A</v>
      </c>
      <c r="AL31" s="102" t="e">
        <v>#N/A</v>
      </c>
      <c r="AM31" s="102" t="e">
        <v>#N/A</v>
      </c>
      <c r="AN31" s="102" t="e">
        <v>#N/A</v>
      </c>
      <c r="AO31" s="102" t="e">
        <v>#N/A</v>
      </c>
      <c r="AP31" s="102" t="e">
        <v>#N/A</v>
      </c>
      <c r="AQ31" s="102" t="e">
        <v>#N/A</v>
      </c>
      <c r="AR31" s="102" t="e">
        <v>#N/A</v>
      </c>
      <c r="AS31" s="102" t="e">
        <v>#N/A</v>
      </c>
      <c r="AT31" s="102" t="e">
        <v>#N/A</v>
      </c>
      <c r="AU31" s="102" t="e">
        <v>#N/A</v>
      </c>
      <c r="AV31" s="102" t="e">
        <v>#N/A</v>
      </c>
      <c r="AW31" s="102" t="e">
        <v>#N/A</v>
      </c>
      <c r="AX31" s="102" t="e">
        <v>#N/A</v>
      </c>
      <c r="AY31" s="102" t="e">
        <v>#N/A</v>
      </c>
    </row>
    <row r="32" spans="1:51" s="103" customFormat="1" ht="15" customHeight="1">
      <c r="A32" s="103" t="s">
        <v>491</v>
      </c>
      <c r="T32" s="103">
        <f t="shared" si="0"/>
        <v>0</v>
      </c>
      <c r="U32" s="103" t="s">
        <v>223</v>
      </c>
      <c r="V32" s="103">
        <v>951</v>
      </c>
      <c r="W32"/>
      <c r="X32"/>
      <c r="Y32"/>
      <c r="Z32"/>
      <c r="AA32"/>
      <c r="AB32" s="103">
        <v>0</v>
      </c>
      <c r="AC32" s="103">
        <v>0</v>
      </c>
      <c r="AD32" s="103">
        <v>0</v>
      </c>
      <c r="AE32" s="103">
        <v>0</v>
      </c>
      <c r="AF32" s="102" t="e">
        <v>#N/A</v>
      </c>
      <c r="AG32" s="102" t="e">
        <v>#N/A</v>
      </c>
      <c r="AH32" s="102" t="e">
        <v>#N/A</v>
      </c>
      <c r="AI32" s="102" t="e">
        <v>#N/A</v>
      </c>
      <c r="AJ32" s="102" t="e">
        <v>#N/A</v>
      </c>
      <c r="AK32" s="102" t="e">
        <v>#N/A</v>
      </c>
      <c r="AL32" s="102" t="e">
        <v>#N/A</v>
      </c>
      <c r="AM32" s="102" t="e">
        <v>#N/A</v>
      </c>
      <c r="AN32" s="102" t="e">
        <v>#N/A</v>
      </c>
      <c r="AO32" s="102" t="e">
        <v>#N/A</v>
      </c>
      <c r="AP32" s="102" t="e">
        <v>#N/A</v>
      </c>
      <c r="AQ32" s="102" t="e">
        <v>#N/A</v>
      </c>
      <c r="AR32" s="102" t="e">
        <v>#N/A</v>
      </c>
      <c r="AS32" s="102" t="e">
        <v>#N/A</v>
      </c>
      <c r="AT32" s="102" t="e">
        <v>#N/A</v>
      </c>
      <c r="AU32" s="102" t="e">
        <v>#N/A</v>
      </c>
      <c r="AV32" s="102" t="e">
        <v>#N/A</v>
      </c>
      <c r="AW32" s="102" t="e">
        <v>#N/A</v>
      </c>
      <c r="AX32" s="102" t="e">
        <v>#N/A</v>
      </c>
      <c r="AY32" s="102" t="e">
        <v>#N/A</v>
      </c>
    </row>
    <row r="33" spans="1:51" s="103" customFormat="1" ht="15" customHeight="1">
      <c r="A33" s="103" t="s">
        <v>298</v>
      </c>
      <c r="T33" s="103">
        <f t="shared" si="0"/>
        <v>0</v>
      </c>
      <c r="U33" s="103" t="s">
        <v>225</v>
      </c>
      <c r="V33" s="103">
        <v>482</v>
      </c>
      <c r="W33"/>
      <c r="X33"/>
      <c r="Y33"/>
      <c r="Z33"/>
      <c r="AA33"/>
      <c r="AB33" s="103">
        <v>0</v>
      </c>
      <c r="AC33" s="103">
        <v>0</v>
      </c>
      <c r="AD33" s="103">
        <v>0</v>
      </c>
      <c r="AE33" s="103">
        <v>0</v>
      </c>
      <c r="AF33" s="102" t="e">
        <v>#N/A</v>
      </c>
      <c r="AG33" s="102" t="e">
        <v>#N/A</v>
      </c>
      <c r="AH33" s="102" t="e">
        <v>#N/A</v>
      </c>
      <c r="AI33" s="102" t="e">
        <v>#N/A</v>
      </c>
      <c r="AJ33" s="102" t="e">
        <v>#N/A</v>
      </c>
      <c r="AK33" s="102" t="e">
        <v>#N/A</v>
      </c>
      <c r="AL33" s="102" t="e">
        <v>#N/A</v>
      </c>
      <c r="AM33" s="102" t="e">
        <v>#N/A</v>
      </c>
      <c r="AN33" s="102" t="e">
        <v>#N/A</v>
      </c>
      <c r="AO33" s="102" t="e">
        <v>#N/A</v>
      </c>
      <c r="AP33" s="102" t="e">
        <v>#N/A</v>
      </c>
      <c r="AQ33" s="102" t="e">
        <v>#N/A</v>
      </c>
      <c r="AR33" s="102" t="e">
        <v>#N/A</v>
      </c>
      <c r="AS33" s="102" t="e">
        <v>#N/A</v>
      </c>
      <c r="AT33" s="102" t="e">
        <v>#N/A</v>
      </c>
      <c r="AU33" s="102" t="e">
        <v>#N/A</v>
      </c>
      <c r="AV33" s="102" t="e">
        <v>#N/A</v>
      </c>
      <c r="AW33" s="102" t="e">
        <v>#N/A</v>
      </c>
      <c r="AX33" s="102" t="e">
        <v>#N/A</v>
      </c>
      <c r="AY33" s="102" t="e">
        <v>#N/A</v>
      </c>
    </row>
    <row r="34" spans="1:51" s="103" customFormat="1" ht="15" customHeight="1">
      <c r="A34" s="103" t="s">
        <v>198</v>
      </c>
      <c r="B34" s="103">
        <v>345</v>
      </c>
      <c r="C34" s="103">
        <v>345</v>
      </c>
      <c r="D34" s="103">
        <v>1.9</v>
      </c>
      <c r="E34" s="103">
        <v>26021</v>
      </c>
      <c r="F34" s="103">
        <v>0</v>
      </c>
      <c r="G34" s="103">
        <v>95</v>
      </c>
      <c r="H34" s="103">
        <v>50</v>
      </c>
      <c r="I34" s="103">
        <v>35</v>
      </c>
      <c r="J34" s="103">
        <v>0</v>
      </c>
      <c r="K34" s="103">
        <v>0</v>
      </c>
      <c r="L34" s="103">
        <v>45.5</v>
      </c>
      <c r="M34" s="103">
        <v>27.3</v>
      </c>
      <c r="N34" s="103">
        <v>40</v>
      </c>
      <c r="O34" s="103">
        <v>40</v>
      </c>
      <c r="P34" s="103">
        <v>10</v>
      </c>
      <c r="Q34" s="103">
        <v>15</v>
      </c>
      <c r="R34" s="103">
        <v>10</v>
      </c>
      <c r="T34" s="103" t="str">
        <f t="shared" si="0"/>
        <v>Birdtail Sioux First Nation</v>
      </c>
      <c r="U34" s="103" t="s">
        <v>226</v>
      </c>
      <c r="V34" s="103">
        <v>353</v>
      </c>
      <c r="W34">
        <v>15296</v>
      </c>
      <c r="X34">
        <v>13885</v>
      </c>
      <c r="Y34">
        <v>16540</v>
      </c>
      <c r="Z34">
        <v>3864</v>
      </c>
      <c r="AA34">
        <v>14752</v>
      </c>
      <c r="AB34" s="103">
        <v>135</v>
      </c>
      <c r="AC34" s="103">
        <v>200</v>
      </c>
      <c r="AD34" s="103">
        <v>55</v>
      </c>
      <c r="AE34" s="103">
        <v>20</v>
      </c>
      <c r="AF34" s="102">
        <v>0</v>
      </c>
      <c r="AG34" s="102">
        <v>0</v>
      </c>
      <c r="AH34" s="102">
        <v>0</v>
      </c>
      <c r="AI34" s="102">
        <v>0</v>
      </c>
      <c r="AJ34" s="102">
        <v>0</v>
      </c>
      <c r="AK34" s="102">
        <v>0</v>
      </c>
      <c r="AL34" s="102">
        <v>0</v>
      </c>
      <c r="AM34" s="102">
        <v>0</v>
      </c>
      <c r="AN34" s="102">
        <v>0</v>
      </c>
      <c r="AO34" s="102">
        <v>0</v>
      </c>
      <c r="AP34" s="102">
        <v>0</v>
      </c>
      <c r="AQ34" s="102">
        <v>0</v>
      </c>
      <c r="AR34" s="102">
        <v>0</v>
      </c>
      <c r="AS34" s="102">
        <v>0</v>
      </c>
      <c r="AT34" s="102">
        <v>1.6921245674740486</v>
      </c>
      <c r="AU34" s="102">
        <v>1.6921245674740486</v>
      </c>
      <c r="AV34" s="102">
        <v>0</v>
      </c>
      <c r="AW34" s="102">
        <v>0</v>
      </c>
      <c r="AX34" s="102">
        <v>0</v>
      </c>
      <c r="AY34" s="102">
        <v>5.0763737024221456</v>
      </c>
    </row>
    <row r="35" spans="1:51" ht="15" customHeight="1">
      <c r="A35" s="102" t="s">
        <v>299</v>
      </c>
      <c r="B35" s="102">
        <v>640</v>
      </c>
      <c r="C35" s="102">
        <v>635</v>
      </c>
      <c r="D35" s="102">
        <v>0.9</v>
      </c>
      <c r="E35" s="102">
        <v>64920</v>
      </c>
      <c r="F35" s="102">
        <v>0</v>
      </c>
      <c r="G35" s="102">
        <v>310</v>
      </c>
      <c r="H35" s="102">
        <v>75</v>
      </c>
      <c r="I35" s="102">
        <v>35</v>
      </c>
      <c r="J35" s="102">
        <v>77.400000000000006</v>
      </c>
      <c r="K35" s="102">
        <v>21</v>
      </c>
      <c r="L35" s="102">
        <v>66.7</v>
      </c>
      <c r="M35" s="102">
        <v>65.7</v>
      </c>
      <c r="N35" s="102">
        <v>2.9</v>
      </c>
      <c r="O35" s="102">
        <v>95</v>
      </c>
      <c r="P35" s="102">
        <v>35</v>
      </c>
      <c r="Q35" s="102">
        <v>95</v>
      </c>
      <c r="R35" s="102">
        <v>110</v>
      </c>
      <c r="T35" s="102">
        <f t="shared" si="0"/>
        <v>0</v>
      </c>
      <c r="U35" s="103" t="s">
        <v>227</v>
      </c>
      <c r="V35" s="103">
        <v>891</v>
      </c>
      <c r="W35">
        <v>27867</v>
      </c>
      <c r="X35">
        <v>31831</v>
      </c>
      <c r="Y35">
        <v>24098</v>
      </c>
      <c r="Z35">
        <v>30026</v>
      </c>
      <c r="AA35">
        <v>21461</v>
      </c>
      <c r="AB35" s="102">
        <v>125</v>
      </c>
      <c r="AC35" s="102">
        <v>345</v>
      </c>
      <c r="AD35" s="102">
        <v>165</v>
      </c>
      <c r="AE35" s="102">
        <v>165</v>
      </c>
      <c r="AF35" s="102">
        <v>2.98610217789538</v>
      </c>
      <c r="AG35" s="102">
        <v>0.4976836963158966</v>
      </c>
      <c r="AH35" s="102">
        <v>0</v>
      </c>
      <c r="AI35" s="102">
        <v>0</v>
      </c>
      <c r="AJ35" s="102">
        <v>0.4976836963158966</v>
      </c>
      <c r="AK35" s="102">
        <v>0.4976836963158966</v>
      </c>
      <c r="AL35" s="102">
        <v>2.2395766334215348</v>
      </c>
      <c r="AM35" s="102">
        <v>0.4976836963158966</v>
      </c>
      <c r="AN35" s="102">
        <v>0</v>
      </c>
      <c r="AO35" s="102">
        <v>0.99536739263179319</v>
      </c>
      <c r="AP35" s="102">
        <v>0</v>
      </c>
      <c r="AQ35" s="102">
        <v>1.2442092407897416</v>
      </c>
      <c r="AR35" s="102">
        <v>0</v>
      </c>
      <c r="AS35" s="102">
        <v>0</v>
      </c>
      <c r="AT35" s="102">
        <v>3.7326277223692244</v>
      </c>
      <c r="AU35" s="102">
        <v>1.2442092407897416</v>
      </c>
      <c r="AV35" s="102">
        <v>0.4976836963158966</v>
      </c>
      <c r="AW35" s="102">
        <v>0.4976836963158966</v>
      </c>
      <c r="AX35" s="102">
        <v>0.4976836963158966</v>
      </c>
      <c r="AY35" s="102">
        <v>0.746525544473845</v>
      </c>
    </row>
    <row r="36" spans="1:51" s="103" customFormat="1" ht="15" customHeight="1">
      <c r="A36" s="103" t="s">
        <v>774</v>
      </c>
      <c r="B36" s="103">
        <v>665</v>
      </c>
      <c r="C36" s="103">
        <v>665</v>
      </c>
      <c r="D36" s="103">
        <v>0.9</v>
      </c>
      <c r="E36" s="103">
        <v>39419</v>
      </c>
      <c r="F36" s="103">
        <v>19.5</v>
      </c>
      <c r="G36" s="103">
        <v>290</v>
      </c>
      <c r="H36" s="103">
        <v>120</v>
      </c>
      <c r="I36" s="103">
        <v>30</v>
      </c>
      <c r="J36" s="103">
        <v>94.8</v>
      </c>
      <c r="K36" s="103">
        <v>5.2</v>
      </c>
      <c r="L36" s="103">
        <v>72.7</v>
      </c>
      <c r="M36" s="103">
        <v>73.599999999999994</v>
      </c>
      <c r="N36" s="103">
        <v>0</v>
      </c>
      <c r="O36" s="103">
        <v>180</v>
      </c>
      <c r="P36" s="103">
        <v>65</v>
      </c>
      <c r="Q36" s="103">
        <v>90</v>
      </c>
      <c r="R36" s="103">
        <v>25</v>
      </c>
      <c r="T36" s="103">
        <f t="shared" si="0"/>
        <v>0</v>
      </c>
      <c r="U36" s="103" t="s">
        <v>228</v>
      </c>
      <c r="V36" s="103">
        <v>1358</v>
      </c>
      <c r="W36">
        <v>17693</v>
      </c>
      <c r="X36">
        <v>20622</v>
      </c>
      <c r="Y36">
        <v>13946</v>
      </c>
      <c r="Z36">
        <v>16655</v>
      </c>
      <c r="AA36">
        <v>17644</v>
      </c>
      <c r="AB36" s="103">
        <v>110</v>
      </c>
      <c r="AC36" s="103">
        <v>440</v>
      </c>
      <c r="AD36" s="103">
        <v>245</v>
      </c>
      <c r="AE36" s="103">
        <v>105</v>
      </c>
      <c r="AF36" s="102">
        <v>7.6145605536332184</v>
      </c>
      <c r="AG36" s="102">
        <v>0.42303114186851215</v>
      </c>
      <c r="AH36" s="102">
        <v>0</v>
      </c>
      <c r="AI36" s="102">
        <v>1.4806089965397924</v>
      </c>
      <c r="AJ36" s="102">
        <v>0</v>
      </c>
      <c r="AK36" s="102">
        <v>0.6345467128027682</v>
      </c>
      <c r="AL36" s="102">
        <v>0.8460622837370243</v>
      </c>
      <c r="AM36" s="102">
        <v>1.0575778546712802</v>
      </c>
      <c r="AN36" s="102">
        <v>0</v>
      </c>
      <c r="AO36" s="102">
        <v>0.42303114186851215</v>
      </c>
      <c r="AP36" s="102">
        <v>0</v>
      </c>
      <c r="AQ36" s="102">
        <v>0.42303114186851215</v>
      </c>
      <c r="AR36" s="102">
        <v>0</v>
      </c>
      <c r="AS36" s="102">
        <v>0</v>
      </c>
      <c r="AT36" s="102">
        <v>1.2690934256055364</v>
      </c>
      <c r="AU36" s="102">
        <v>0.8460622837370243</v>
      </c>
      <c r="AV36" s="102">
        <v>0</v>
      </c>
      <c r="AW36" s="102">
        <v>1.0575778546712802</v>
      </c>
      <c r="AX36" s="102">
        <v>0</v>
      </c>
      <c r="AY36" s="102">
        <v>1.2690934256055364</v>
      </c>
    </row>
    <row r="37" spans="1:51" s="103" customFormat="1" ht="15" customHeight="1">
      <c r="A37" s="103" t="s">
        <v>199</v>
      </c>
      <c r="B37" s="103">
        <v>120</v>
      </c>
      <c r="T37" s="103">
        <f t="shared" si="0"/>
        <v>0</v>
      </c>
      <c r="U37" s="103" t="s">
        <v>229</v>
      </c>
      <c r="V37" s="103">
        <v>1073</v>
      </c>
      <c r="W37"/>
      <c r="X37"/>
      <c r="Y37"/>
      <c r="Z37"/>
      <c r="AA37"/>
      <c r="AB37" s="103">
        <v>0</v>
      </c>
      <c r="AC37" s="103">
        <v>0</v>
      </c>
      <c r="AD37" s="103">
        <v>0</v>
      </c>
      <c r="AE37" s="103">
        <v>0</v>
      </c>
      <c r="AF37" s="102" t="e">
        <v>#N/A</v>
      </c>
      <c r="AG37" s="102" t="e">
        <v>#N/A</v>
      </c>
      <c r="AH37" s="102" t="e">
        <v>#N/A</v>
      </c>
      <c r="AI37" s="102" t="e">
        <v>#N/A</v>
      </c>
      <c r="AJ37" s="102" t="e">
        <v>#N/A</v>
      </c>
      <c r="AK37" s="102" t="e">
        <v>#N/A</v>
      </c>
      <c r="AL37" s="102" t="e">
        <v>#N/A</v>
      </c>
      <c r="AM37" s="102" t="e">
        <v>#N/A</v>
      </c>
      <c r="AN37" s="102" t="e">
        <v>#N/A</v>
      </c>
      <c r="AO37" s="102" t="e">
        <v>#N/A</v>
      </c>
      <c r="AP37" s="102" t="e">
        <v>#N/A</v>
      </c>
      <c r="AQ37" s="102" t="e">
        <v>#N/A</v>
      </c>
      <c r="AR37" s="102" t="e">
        <v>#N/A</v>
      </c>
      <c r="AS37" s="102" t="e">
        <v>#N/A</v>
      </c>
      <c r="AT37" s="102" t="e">
        <v>#N/A</v>
      </c>
      <c r="AU37" s="102" t="e">
        <v>#N/A</v>
      </c>
      <c r="AV37" s="102" t="e">
        <v>#N/A</v>
      </c>
      <c r="AW37" s="102" t="e">
        <v>#N/A</v>
      </c>
      <c r="AX37" s="102" t="e">
        <v>#N/A</v>
      </c>
      <c r="AY37" s="102" t="e">
        <v>#N/A</v>
      </c>
    </row>
    <row r="38" spans="1:51" s="103" customFormat="1" ht="15" customHeight="1">
      <c r="A38" s="103" t="s">
        <v>544</v>
      </c>
      <c r="B38" s="103">
        <v>460</v>
      </c>
      <c r="C38" s="103">
        <v>460</v>
      </c>
      <c r="D38" s="103">
        <v>2</v>
      </c>
      <c r="E38" s="103">
        <v>27353</v>
      </c>
      <c r="F38" s="103">
        <v>0</v>
      </c>
      <c r="G38" s="103">
        <v>120</v>
      </c>
      <c r="H38" s="103">
        <v>25</v>
      </c>
      <c r="I38" s="103">
        <v>90</v>
      </c>
      <c r="J38" s="103">
        <v>16.7</v>
      </c>
      <c r="K38" s="103">
        <v>25</v>
      </c>
      <c r="L38" s="103">
        <v>47.2</v>
      </c>
      <c r="M38" s="103">
        <v>34</v>
      </c>
      <c r="N38" s="103">
        <v>28</v>
      </c>
      <c r="O38" s="103">
        <v>30</v>
      </c>
      <c r="P38" s="103">
        <v>35</v>
      </c>
      <c r="Q38" s="103">
        <v>15</v>
      </c>
      <c r="R38" s="103">
        <v>15</v>
      </c>
      <c r="T38" s="103" t="str">
        <f t="shared" si="0"/>
        <v>Black River First Nation</v>
      </c>
      <c r="U38" s="103" t="s">
        <v>230</v>
      </c>
      <c r="V38" s="103">
        <v>661</v>
      </c>
      <c r="W38">
        <v>16052</v>
      </c>
      <c r="X38">
        <v>15642</v>
      </c>
      <c r="Y38">
        <v>16449</v>
      </c>
      <c r="Z38">
        <v>4144</v>
      </c>
      <c r="AA38">
        <v>8992</v>
      </c>
      <c r="AB38" s="103">
        <v>195</v>
      </c>
      <c r="AC38" s="103">
        <v>250</v>
      </c>
      <c r="AD38" s="103">
        <v>50</v>
      </c>
      <c r="AE38" s="103">
        <v>10</v>
      </c>
      <c r="AF38" s="102">
        <v>1.3536996539792387</v>
      </c>
      <c r="AG38" s="102">
        <v>1.3536996539792387</v>
      </c>
      <c r="AH38" s="102">
        <v>0</v>
      </c>
      <c r="AI38" s="102">
        <v>2.0305494809688582</v>
      </c>
      <c r="AJ38" s="102">
        <v>0</v>
      </c>
      <c r="AK38" s="102">
        <v>0</v>
      </c>
      <c r="AL38" s="102">
        <v>1.3536996539792387</v>
      </c>
      <c r="AM38" s="102">
        <v>0</v>
      </c>
      <c r="AN38" s="102">
        <v>0</v>
      </c>
      <c r="AO38" s="102">
        <v>0</v>
      </c>
      <c r="AP38" s="102">
        <v>0</v>
      </c>
      <c r="AQ38" s="102">
        <v>0</v>
      </c>
      <c r="AR38" s="102">
        <v>0</v>
      </c>
      <c r="AS38" s="102">
        <v>1.3536996539792387</v>
      </c>
      <c r="AT38" s="102">
        <v>2.7073993079584775</v>
      </c>
      <c r="AU38" s="102">
        <v>2.7073993079584775</v>
      </c>
      <c r="AV38" s="102">
        <v>0</v>
      </c>
      <c r="AW38" s="102">
        <v>0</v>
      </c>
      <c r="AX38" s="102">
        <v>0</v>
      </c>
      <c r="AY38" s="102">
        <v>2.7073993079584775</v>
      </c>
    </row>
    <row r="39" spans="1:51" ht="15" customHeight="1">
      <c r="A39" s="102" t="s">
        <v>666</v>
      </c>
      <c r="B39" s="102">
        <v>585</v>
      </c>
      <c r="C39" s="102">
        <v>530</v>
      </c>
      <c r="D39" s="102">
        <v>1</v>
      </c>
      <c r="E39" s="102">
        <v>50810</v>
      </c>
      <c r="F39" s="102">
        <v>9.1</v>
      </c>
      <c r="G39" s="102">
        <v>215</v>
      </c>
      <c r="H39" s="102">
        <v>100</v>
      </c>
      <c r="I39" s="102">
        <v>25</v>
      </c>
      <c r="J39" s="102">
        <v>90.7</v>
      </c>
      <c r="K39" s="102">
        <v>9.3000000000000007</v>
      </c>
      <c r="L39" s="102">
        <v>71.599999999999994</v>
      </c>
      <c r="M39" s="102">
        <v>71.599999999999994</v>
      </c>
      <c r="N39" s="102">
        <v>0</v>
      </c>
      <c r="O39" s="102">
        <v>125</v>
      </c>
      <c r="P39" s="102">
        <v>20</v>
      </c>
      <c r="Q39" s="102">
        <v>55</v>
      </c>
      <c r="R39" s="102">
        <v>60</v>
      </c>
      <c r="T39" s="102">
        <f t="shared" si="0"/>
        <v>0</v>
      </c>
      <c r="U39" s="102" t="s">
        <v>712</v>
      </c>
      <c r="V39" s="103">
        <v>1708</v>
      </c>
      <c r="W39">
        <v>16697</v>
      </c>
      <c r="X39">
        <v>18071</v>
      </c>
      <c r="Y39">
        <v>14543</v>
      </c>
      <c r="Z39">
        <v>20263</v>
      </c>
      <c r="AA39">
        <v>19495</v>
      </c>
      <c r="AB39" s="102">
        <v>110</v>
      </c>
      <c r="AC39" s="102">
        <v>365</v>
      </c>
      <c r="AD39" s="102">
        <v>155</v>
      </c>
      <c r="AE39" s="102">
        <v>105</v>
      </c>
      <c r="AF39" s="102">
        <v>9.9536739263179328</v>
      </c>
      <c r="AG39" s="102">
        <v>0.4976836963158966</v>
      </c>
      <c r="AH39" s="102">
        <v>0.4976836963158966</v>
      </c>
      <c r="AI39" s="102">
        <v>0.4976836963158966</v>
      </c>
      <c r="AJ39" s="102">
        <v>0</v>
      </c>
      <c r="AK39" s="102">
        <v>0.4976836963158966</v>
      </c>
      <c r="AL39" s="102">
        <v>0.746525544473845</v>
      </c>
      <c r="AM39" s="102">
        <v>0.746525544473845</v>
      </c>
      <c r="AN39" s="102">
        <v>0</v>
      </c>
      <c r="AO39" s="102">
        <v>0.4976836963158966</v>
      </c>
      <c r="AP39" s="102">
        <v>0</v>
      </c>
      <c r="AQ39" s="102">
        <v>0.746525544473845</v>
      </c>
      <c r="AR39" s="102">
        <v>0</v>
      </c>
      <c r="AS39" s="102">
        <v>0</v>
      </c>
      <c r="AT39" s="102">
        <v>0</v>
      </c>
      <c r="AU39" s="102">
        <v>1.49305108894769</v>
      </c>
      <c r="AV39" s="102">
        <v>0.4976836963158966</v>
      </c>
      <c r="AW39" s="102">
        <v>0.4976836963158966</v>
      </c>
      <c r="AX39" s="102">
        <v>0</v>
      </c>
      <c r="AY39" s="102">
        <v>0</v>
      </c>
    </row>
    <row r="40" spans="1:51" s="103" customFormat="1">
      <c r="A40" s="103" t="s">
        <v>200</v>
      </c>
      <c r="B40" s="103">
        <v>575</v>
      </c>
      <c r="C40" s="103">
        <v>570</v>
      </c>
      <c r="D40" s="103">
        <v>2.6</v>
      </c>
      <c r="E40" s="103">
        <v>32487</v>
      </c>
      <c r="F40" s="103">
        <v>0</v>
      </c>
      <c r="G40" s="103">
        <v>140</v>
      </c>
      <c r="H40" s="103">
        <v>35</v>
      </c>
      <c r="I40" s="103">
        <v>90</v>
      </c>
      <c r="J40" s="103">
        <v>17.899999999999999</v>
      </c>
      <c r="K40" s="103">
        <v>7.1</v>
      </c>
      <c r="L40" s="103">
        <v>42.9</v>
      </c>
      <c r="M40" s="103">
        <v>31.4</v>
      </c>
      <c r="N40" s="103">
        <v>23.3</v>
      </c>
      <c r="O40" s="103">
        <v>30</v>
      </c>
      <c r="P40" s="103">
        <v>15</v>
      </c>
      <c r="Q40" s="103">
        <v>35</v>
      </c>
      <c r="R40" s="103">
        <v>20</v>
      </c>
      <c r="T40" s="103" t="str">
        <f t="shared" si="0"/>
        <v>Bloodvein First Nation</v>
      </c>
      <c r="U40" s="103" t="s">
        <v>234</v>
      </c>
      <c r="V40" s="103">
        <v>572</v>
      </c>
      <c r="W40">
        <v>15508</v>
      </c>
      <c r="X40">
        <v>15828</v>
      </c>
      <c r="Y40">
        <v>15118</v>
      </c>
      <c r="Z40">
        <v>6352</v>
      </c>
      <c r="AA40">
        <v>9056</v>
      </c>
      <c r="AB40" s="103">
        <v>215</v>
      </c>
      <c r="AC40" s="103">
        <v>360</v>
      </c>
      <c r="AD40" s="103">
        <v>90</v>
      </c>
      <c r="AE40" s="103">
        <v>20</v>
      </c>
      <c r="AF40" s="102">
        <v>1.1280830449826988</v>
      </c>
      <c r="AG40" s="102">
        <v>0</v>
      </c>
      <c r="AH40" s="102">
        <v>0</v>
      </c>
      <c r="AI40" s="102">
        <v>1.1280830449826988</v>
      </c>
      <c r="AJ40" s="102">
        <v>0</v>
      </c>
      <c r="AK40" s="102">
        <v>0</v>
      </c>
      <c r="AL40" s="102">
        <v>0</v>
      </c>
      <c r="AM40" s="102">
        <v>1.6921245674740486</v>
      </c>
      <c r="AN40" s="102">
        <v>0</v>
      </c>
      <c r="AO40" s="102">
        <v>0</v>
      </c>
      <c r="AP40" s="102">
        <v>0</v>
      </c>
      <c r="AQ40" s="102">
        <v>0</v>
      </c>
      <c r="AR40" s="102">
        <v>0</v>
      </c>
      <c r="AS40" s="102">
        <v>1.1280830449826988</v>
      </c>
      <c r="AT40" s="102">
        <v>2.8202076124567474</v>
      </c>
      <c r="AU40" s="102">
        <v>3.3842491349480972</v>
      </c>
      <c r="AV40" s="102">
        <v>0</v>
      </c>
      <c r="AW40" s="102">
        <v>0</v>
      </c>
      <c r="AX40" s="102">
        <v>0</v>
      </c>
      <c r="AY40" s="102">
        <v>2.8202076124567474</v>
      </c>
    </row>
    <row r="41" spans="1:51" s="103" customFormat="1">
      <c r="A41" s="103" t="s">
        <v>300</v>
      </c>
      <c r="T41" s="103">
        <f t="shared" si="0"/>
        <v>0</v>
      </c>
      <c r="U41" s="103" t="s">
        <v>235</v>
      </c>
      <c r="V41" s="103">
        <v>294</v>
      </c>
      <c r="W41"/>
      <c r="X41"/>
      <c r="Y41"/>
      <c r="Z41"/>
      <c r="AA41"/>
      <c r="AB41" s="103">
        <v>0</v>
      </c>
      <c r="AC41" s="103">
        <v>0</v>
      </c>
      <c r="AD41" s="103">
        <v>0</v>
      </c>
      <c r="AE41" s="103">
        <v>0</v>
      </c>
      <c r="AF41" s="102" t="e">
        <v>#N/A</v>
      </c>
      <c r="AG41" s="102" t="e">
        <v>#N/A</v>
      </c>
      <c r="AH41" s="102" t="e">
        <v>#N/A</v>
      </c>
      <c r="AI41" s="102" t="e">
        <v>#N/A</v>
      </c>
      <c r="AJ41" s="102" t="e">
        <v>#N/A</v>
      </c>
      <c r="AK41" s="102" t="e">
        <v>#N/A</v>
      </c>
      <c r="AL41" s="102" t="e">
        <v>#N/A</v>
      </c>
      <c r="AM41" s="102" t="e">
        <v>#N/A</v>
      </c>
      <c r="AN41" s="102" t="e">
        <v>#N/A</v>
      </c>
      <c r="AO41" s="102" t="e">
        <v>#N/A</v>
      </c>
      <c r="AP41" s="102" t="e">
        <v>#N/A</v>
      </c>
      <c r="AQ41" s="102" t="e">
        <v>#N/A</v>
      </c>
      <c r="AR41" s="102" t="e">
        <v>#N/A</v>
      </c>
      <c r="AS41" s="102" t="e">
        <v>#N/A</v>
      </c>
      <c r="AT41" s="102" t="e">
        <v>#N/A</v>
      </c>
      <c r="AU41" s="102" t="e">
        <v>#N/A</v>
      </c>
      <c r="AV41" s="102" t="e">
        <v>#N/A</v>
      </c>
      <c r="AW41" s="102" t="e">
        <v>#N/A</v>
      </c>
      <c r="AX41" s="102" t="e">
        <v>#N/A</v>
      </c>
      <c r="AY41" s="102" t="e">
        <v>#N/A</v>
      </c>
    </row>
    <row r="42" spans="1:51">
      <c r="A42" s="102" t="s">
        <v>301</v>
      </c>
      <c r="B42" s="102">
        <v>1425</v>
      </c>
      <c r="C42" s="102">
        <v>1425</v>
      </c>
      <c r="D42" s="102">
        <v>1.1000000000000001</v>
      </c>
      <c r="E42" s="102">
        <v>62945</v>
      </c>
      <c r="F42" s="102">
        <v>10.4</v>
      </c>
      <c r="G42" s="102">
        <v>645</v>
      </c>
      <c r="H42" s="102">
        <v>210</v>
      </c>
      <c r="I42" s="102">
        <v>65</v>
      </c>
      <c r="J42" s="102">
        <v>77.5</v>
      </c>
      <c r="K42" s="102">
        <v>21.7</v>
      </c>
      <c r="L42" s="102">
        <v>61.2</v>
      </c>
      <c r="M42" s="102">
        <v>59.5</v>
      </c>
      <c r="N42" s="102">
        <v>2.1</v>
      </c>
      <c r="O42" s="102">
        <v>350</v>
      </c>
      <c r="P42" s="102">
        <v>100</v>
      </c>
      <c r="Q42" s="102">
        <v>155</v>
      </c>
      <c r="R42" s="102">
        <v>120</v>
      </c>
      <c r="T42" s="102">
        <f t="shared" si="0"/>
        <v>0</v>
      </c>
      <c r="U42" s="102" t="s">
        <v>237</v>
      </c>
      <c r="V42" s="103">
        <v>2227</v>
      </c>
      <c r="W42">
        <v>26318</v>
      </c>
      <c r="X42">
        <v>33556</v>
      </c>
      <c r="Y42">
        <v>19195</v>
      </c>
      <c r="Z42">
        <v>25227</v>
      </c>
      <c r="AA42">
        <v>17880</v>
      </c>
      <c r="AB42" s="102">
        <v>235</v>
      </c>
      <c r="AC42" s="102">
        <v>835</v>
      </c>
      <c r="AD42" s="102">
        <v>370</v>
      </c>
      <c r="AE42" s="102">
        <v>335</v>
      </c>
      <c r="AF42" s="102">
        <v>2.100568428588474</v>
      </c>
      <c r="AG42" s="102">
        <v>0.23339649206538599</v>
      </c>
      <c r="AH42" s="102">
        <v>0.46679298413077197</v>
      </c>
      <c r="AI42" s="102">
        <v>1.2836807063596229</v>
      </c>
      <c r="AJ42" s="102">
        <v>1.2836807063596229</v>
      </c>
      <c r="AK42" s="102">
        <v>0.35009473809807901</v>
      </c>
      <c r="AL42" s="102">
        <v>1.750473690490395</v>
      </c>
      <c r="AM42" s="102">
        <v>0.81688772222885098</v>
      </c>
      <c r="AN42" s="102">
        <v>0.23339649206538599</v>
      </c>
      <c r="AO42" s="102">
        <v>0.58349123016346494</v>
      </c>
      <c r="AP42" s="102">
        <v>0</v>
      </c>
      <c r="AQ42" s="102">
        <v>1.1669824603269299</v>
      </c>
      <c r="AR42" s="102">
        <v>0</v>
      </c>
      <c r="AS42" s="102">
        <v>0.58349123016346494</v>
      </c>
      <c r="AT42" s="102">
        <v>1.2836807063596229</v>
      </c>
      <c r="AU42" s="102">
        <v>1.983870182555781</v>
      </c>
      <c r="AV42" s="102">
        <v>0.81688772222885098</v>
      </c>
      <c r="AW42" s="102">
        <v>0.93358596826154394</v>
      </c>
      <c r="AX42" s="102">
        <v>0.46679298413077197</v>
      </c>
      <c r="AY42" s="102">
        <v>0.58349123016346494</v>
      </c>
    </row>
    <row r="43" spans="1:51">
      <c r="A43" s="102" t="s">
        <v>302</v>
      </c>
      <c r="B43" s="102">
        <v>315</v>
      </c>
      <c r="C43" s="102">
        <v>315</v>
      </c>
      <c r="D43" s="102">
        <v>1.3</v>
      </c>
      <c r="E43" s="102">
        <v>38142</v>
      </c>
      <c r="F43" s="102">
        <v>23.5</v>
      </c>
      <c r="G43" s="102">
        <v>140</v>
      </c>
      <c r="H43" s="102">
        <v>35</v>
      </c>
      <c r="I43" s="102">
        <v>10</v>
      </c>
      <c r="J43" s="102">
        <v>78.599999999999994</v>
      </c>
      <c r="K43" s="102">
        <v>21.4</v>
      </c>
      <c r="L43" s="102">
        <v>60.8</v>
      </c>
      <c r="M43" s="102">
        <v>49</v>
      </c>
      <c r="N43" s="102">
        <v>22.6</v>
      </c>
      <c r="O43" s="102">
        <v>50</v>
      </c>
      <c r="P43" s="102">
        <v>40</v>
      </c>
      <c r="Q43" s="102">
        <v>45</v>
      </c>
      <c r="R43" s="102">
        <v>0</v>
      </c>
      <c r="T43" s="102">
        <f t="shared" si="0"/>
        <v>0</v>
      </c>
      <c r="U43" s="102" t="s">
        <v>494</v>
      </c>
      <c r="V43" s="102">
        <v>888</v>
      </c>
      <c r="W43">
        <v>16416</v>
      </c>
      <c r="X43">
        <v>20641</v>
      </c>
      <c r="Y43">
        <v>10220</v>
      </c>
      <c r="Z43">
        <v>14332</v>
      </c>
      <c r="AA43">
        <v>14434</v>
      </c>
      <c r="AB43" s="102">
        <v>50</v>
      </c>
      <c r="AC43" s="102">
        <v>150</v>
      </c>
      <c r="AD43" s="102">
        <v>60</v>
      </c>
      <c r="AE43" s="102">
        <v>65</v>
      </c>
      <c r="AF43" s="102">
        <v>3.2750798080142873</v>
      </c>
      <c r="AG43" s="102">
        <v>1.0916932693380959</v>
      </c>
      <c r="AH43" s="102">
        <v>0</v>
      </c>
      <c r="AI43" s="102">
        <v>1.0916932693380959</v>
      </c>
      <c r="AJ43" s="102">
        <v>1.0916932693380959</v>
      </c>
      <c r="AK43" s="102">
        <v>0</v>
      </c>
      <c r="AL43" s="102">
        <v>2.1833865386761917</v>
      </c>
      <c r="AM43" s="102">
        <v>2.7292331733452393</v>
      </c>
      <c r="AN43" s="102">
        <v>0</v>
      </c>
      <c r="AO43" s="102">
        <v>1.0916932693380959</v>
      </c>
      <c r="AP43" s="102">
        <v>0</v>
      </c>
      <c r="AQ43" s="102">
        <v>0</v>
      </c>
      <c r="AR43" s="102">
        <v>0</v>
      </c>
      <c r="AS43" s="102">
        <v>0</v>
      </c>
      <c r="AT43" s="102">
        <v>1.0916932693380959</v>
      </c>
      <c r="AU43" s="102">
        <v>1.6375399040071437</v>
      </c>
      <c r="AV43" s="102">
        <v>0</v>
      </c>
      <c r="AW43" s="102">
        <v>1.0916932693380959</v>
      </c>
      <c r="AX43" s="102">
        <v>0</v>
      </c>
      <c r="AY43" s="102">
        <v>0</v>
      </c>
    </row>
    <row r="44" spans="1:51">
      <c r="A44" s="102" t="s">
        <v>303</v>
      </c>
      <c r="B44" s="102">
        <v>40705</v>
      </c>
      <c r="C44" s="102">
        <v>40595</v>
      </c>
      <c r="D44" s="102">
        <v>1</v>
      </c>
      <c r="E44" s="102">
        <v>71023</v>
      </c>
      <c r="F44" s="102">
        <v>11.5</v>
      </c>
      <c r="G44" s="102">
        <v>17920</v>
      </c>
      <c r="H44" s="102">
        <v>5250</v>
      </c>
      <c r="I44" s="102">
        <v>1255</v>
      </c>
      <c r="J44" s="102">
        <v>62.2</v>
      </c>
      <c r="K44" s="102">
        <v>37.799999999999997</v>
      </c>
      <c r="L44" s="102">
        <v>68.900000000000006</v>
      </c>
      <c r="M44" s="102">
        <v>65.099999999999994</v>
      </c>
      <c r="N44" s="102">
        <v>5.5</v>
      </c>
      <c r="O44" s="102">
        <v>9830</v>
      </c>
      <c r="P44" s="102">
        <v>3600</v>
      </c>
      <c r="Q44" s="102">
        <v>5470</v>
      </c>
      <c r="R44" s="102">
        <v>6305</v>
      </c>
      <c r="T44" s="102">
        <f t="shared" si="0"/>
        <v>0</v>
      </c>
      <c r="U44" s="102" t="s">
        <v>758</v>
      </c>
      <c r="V44" s="103">
        <v>1203</v>
      </c>
      <c r="W44">
        <v>30283</v>
      </c>
      <c r="X44">
        <v>36050</v>
      </c>
      <c r="Y44">
        <v>24448</v>
      </c>
      <c r="Z44">
        <v>31035</v>
      </c>
      <c r="AA44">
        <v>20413</v>
      </c>
      <c r="AB44" s="102">
        <v>7025</v>
      </c>
      <c r="AC44" s="102">
        <v>27770</v>
      </c>
      <c r="AD44" s="102">
        <v>9805</v>
      </c>
      <c r="AE44" s="102">
        <v>5920</v>
      </c>
      <c r="AF44" s="102">
        <v>0.27715833432764592</v>
      </c>
      <c r="AG44" s="102">
        <v>4.7408662450781527E-2</v>
      </c>
      <c r="AH44" s="102">
        <v>0.1750473690490395</v>
      </c>
      <c r="AI44" s="102">
        <v>0.76218541940102613</v>
      </c>
      <c r="AJ44" s="102">
        <v>1.8161164538837848</v>
      </c>
      <c r="AK44" s="102">
        <v>0.54702302827824845</v>
      </c>
      <c r="AL44" s="102">
        <v>2.3740799427275983</v>
      </c>
      <c r="AM44" s="102">
        <v>0.67830855506502796</v>
      </c>
      <c r="AN44" s="102">
        <v>0.41938432167999046</v>
      </c>
      <c r="AO44" s="102">
        <v>0.48867390526190191</v>
      </c>
      <c r="AP44" s="102">
        <v>0.3172733564013841</v>
      </c>
      <c r="AQ44" s="102">
        <v>0.41209068130294713</v>
      </c>
      <c r="AR44" s="102">
        <v>1.4587280754086624E-2</v>
      </c>
      <c r="AS44" s="102">
        <v>0.79135998090919946</v>
      </c>
      <c r="AT44" s="102">
        <v>1.3857916716382292</v>
      </c>
      <c r="AU44" s="102">
        <v>2.5053654695143779</v>
      </c>
      <c r="AV44" s="102">
        <v>0.20786875074573441</v>
      </c>
      <c r="AW44" s="102">
        <v>1.5170771984250089</v>
      </c>
      <c r="AX44" s="102">
        <v>0.86064956449111085</v>
      </c>
      <c r="AY44" s="102">
        <v>1.1159269776876268</v>
      </c>
    </row>
    <row r="45" spans="1:51" s="103" customFormat="1">
      <c r="A45" s="103" t="s">
        <v>727</v>
      </c>
      <c r="B45" s="103">
        <v>47455</v>
      </c>
      <c r="C45" s="103">
        <v>47220</v>
      </c>
      <c r="D45" s="103">
        <v>1</v>
      </c>
      <c r="E45" s="103">
        <v>71251</v>
      </c>
      <c r="F45" s="103">
        <v>10.7</v>
      </c>
      <c r="G45" s="103">
        <v>20355</v>
      </c>
      <c r="H45" s="103">
        <v>6095</v>
      </c>
      <c r="I45" s="103">
        <v>1530</v>
      </c>
      <c r="J45" s="103">
        <v>64</v>
      </c>
      <c r="K45" s="103">
        <v>36</v>
      </c>
      <c r="L45" s="103">
        <v>70.400000000000006</v>
      </c>
      <c r="M45" s="103">
        <v>66.900000000000006</v>
      </c>
      <c r="N45" s="103">
        <v>5.0999999999999996</v>
      </c>
      <c r="O45" s="103">
        <v>11480</v>
      </c>
      <c r="P45" s="103">
        <v>4205</v>
      </c>
      <c r="Q45" s="103">
        <v>6520</v>
      </c>
      <c r="R45" s="103">
        <v>7020</v>
      </c>
      <c r="T45" s="103">
        <f t="shared" si="0"/>
        <v>0</v>
      </c>
      <c r="U45" s="103" t="s">
        <v>241</v>
      </c>
      <c r="V45" s="103">
        <v>2807</v>
      </c>
      <c r="W45">
        <v>30389</v>
      </c>
      <c r="X45">
        <v>36123</v>
      </c>
      <c r="Y45">
        <v>24455</v>
      </c>
      <c r="Z45">
        <v>31688</v>
      </c>
      <c r="AA45">
        <v>20659</v>
      </c>
      <c r="AB45" s="103">
        <v>8415</v>
      </c>
      <c r="AC45" s="103">
        <v>32555</v>
      </c>
      <c r="AD45" s="103">
        <v>11595</v>
      </c>
      <c r="AE45" s="103">
        <v>6495</v>
      </c>
      <c r="AF45" s="102">
        <v>0.55983761367074503</v>
      </c>
      <c r="AG45" s="102">
        <v>4.9216493509516041E-2</v>
      </c>
      <c r="AH45" s="102">
        <v>0.17533375812765092</v>
      </c>
      <c r="AI45" s="102">
        <v>0.72286724842101691</v>
      </c>
      <c r="AJ45" s="102">
        <v>1.7102731494556824</v>
      </c>
      <c r="AK45" s="102">
        <v>0.54445745944902124</v>
      </c>
      <c r="AL45" s="102">
        <v>2.2362744238386352</v>
      </c>
      <c r="AM45" s="102">
        <v>0.73824740264274069</v>
      </c>
      <c r="AN45" s="102">
        <v>0.40296004060916257</v>
      </c>
      <c r="AO45" s="102">
        <v>0.46140462665171289</v>
      </c>
      <c r="AP45" s="102">
        <v>0.29222293021275147</v>
      </c>
      <c r="AQ45" s="102">
        <v>0.39065591723178356</v>
      </c>
      <c r="AR45" s="102">
        <v>1.5380154221723763E-2</v>
      </c>
      <c r="AS45" s="102">
        <v>0.75362755686446448</v>
      </c>
      <c r="AT45" s="102">
        <v>1.3780618182664492</v>
      </c>
      <c r="AU45" s="102">
        <v>2.4054561202775964</v>
      </c>
      <c r="AV45" s="102">
        <v>0.20917009741544318</v>
      </c>
      <c r="AW45" s="102">
        <v>1.3965180033325177</v>
      </c>
      <c r="AX45" s="102">
        <v>0.83668038966177272</v>
      </c>
      <c r="AY45" s="102">
        <v>1.4426584659976891</v>
      </c>
    </row>
    <row r="46" spans="1:51">
      <c r="A46" s="102" t="s">
        <v>622</v>
      </c>
      <c r="B46" s="102">
        <v>545</v>
      </c>
      <c r="C46" s="102">
        <v>545</v>
      </c>
      <c r="D46" s="102">
        <v>0.9</v>
      </c>
      <c r="E46" s="102">
        <v>42684</v>
      </c>
      <c r="F46" s="102">
        <v>22.2</v>
      </c>
      <c r="G46" s="102">
        <v>215</v>
      </c>
      <c r="H46" s="102">
        <v>80</v>
      </c>
      <c r="I46" s="102">
        <v>35</v>
      </c>
      <c r="J46" s="102">
        <v>95.3</v>
      </c>
      <c r="K46" s="102">
        <v>4.7</v>
      </c>
      <c r="L46" s="102">
        <v>80.900000000000006</v>
      </c>
      <c r="M46" s="102">
        <v>78.7</v>
      </c>
      <c r="N46" s="102">
        <v>2.8</v>
      </c>
      <c r="O46" s="102">
        <v>95</v>
      </c>
      <c r="P46" s="102">
        <v>55</v>
      </c>
      <c r="Q46" s="102">
        <v>85</v>
      </c>
      <c r="R46" s="102">
        <v>65</v>
      </c>
      <c r="T46" s="102">
        <f t="shared" si="0"/>
        <v>0</v>
      </c>
      <c r="U46" s="102" t="s">
        <v>242</v>
      </c>
      <c r="V46" s="103">
        <v>796</v>
      </c>
      <c r="W46">
        <v>14594</v>
      </c>
      <c r="X46">
        <v>12821</v>
      </c>
      <c r="Y46">
        <v>16850</v>
      </c>
      <c r="Z46">
        <v>16054</v>
      </c>
      <c r="AA46">
        <v>15788</v>
      </c>
      <c r="AB46" s="102">
        <v>90</v>
      </c>
      <c r="AC46" s="102">
        <v>350</v>
      </c>
      <c r="AD46" s="102">
        <v>185</v>
      </c>
      <c r="AE46" s="102">
        <v>85</v>
      </c>
      <c r="AF46" s="102">
        <v>10.105743944636679</v>
      </c>
      <c r="AG46" s="102">
        <v>0.94006920415224904</v>
      </c>
      <c r="AH46" s="102">
        <v>0</v>
      </c>
      <c r="AI46" s="102">
        <v>0</v>
      </c>
      <c r="AJ46" s="102">
        <v>0</v>
      </c>
      <c r="AK46" s="102">
        <v>1.1750865051903114</v>
      </c>
      <c r="AL46" s="102">
        <v>0</v>
      </c>
      <c r="AM46" s="102">
        <v>0.47003460207612452</v>
      </c>
      <c r="AN46" s="102">
        <v>0</v>
      </c>
      <c r="AO46" s="102">
        <v>0.47003460207612452</v>
      </c>
      <c r="AP46" s="102">
        <v>0</v>
      </c>
      <c r="AQ46" s="102">
        <v>0</v>
      </c>
      <c r="AR46" s="102">
        <v>0</v>
      </c>
      <c r="AS46" s="102">
        <v>0.47003460207612452</v>
      </c>
      <c r="AT46" s="102">
        <v>0.47003460207612452</v>
      </c>
      <c r="AU46" s="102">
        <v>1.4101038062283737</v>
      </c>
      <c r="AV46" s="102">
        <v>0</v>
      </c>
      <c r="AW46" s="102">
        <v>0</v>
      </c>
      <c r="AX46" s="102">
        <v>0.47003460207612452</v>
      </c>
      <c r="AY46" s="102">
        <v>0</v>
      </c>
    </row>
    <row r="47" spans="1:51">
      <c r="A47" s="102" t="s">
        <v>304</v>
      </c>
      <c r="B47" s="102">
        <v>156</v>
      </c>
      <c r="T47" s="102">
        <f t="shared" si="0"/>
        <v>0</v>
      </c>
      <c r="U47" s="102" t="s">
        <v>243</v>
      </c>
      <c r="V47" s="103">
        <v>4822</v>
      </c>
      <c r="W47">
        <v>13934</v>
      </c>
      <c r="X47">
        <v>15297</v>
      </c>
      <c r="Y47">
        <v>11966</v>
      </c>
      <c r="Z47">
        <v>10016</v>
      </c>
      <c r="AA47">
        <v>10613</v>
      </c>
      <c r="AB47" s="102">
        <v>125</v>
      </c>
      <c r="AC47" s="102">
        <v>165</v>
      </c>
      <c r="AD47" s="102">
        <v>20</v>
      </c>
      <c r="AE47" s="102">
        <v>10</v>
      </c>
      <c r="AF47" s="102" t="e">
        <v>#N/A</v>
      </c>
      <c r="AG47" s="102" t="e">
        <v>#N/A</v>
      </c>
      <c r="AH47" s="102" t="e">
        <v>#N/A</v>
      </c>
      <c r="AI47" s="102" t="e">
        <v>#N/A</v>
      </c>
      <c r="AJ47" s="102" t="e">
        <v>#N/A</v>
      </c>
      <c r="AK47" s="102" t="e">
        <v>#N/A</v>
      </c>
      <c r="AL47" s="102" t="e">
        <v>#N/A</v>
      </c>
      <c r="AM47" s="102" t="e">
        <v>#N/A</v>
      </c>
      <c r="AN47" s="102" t="e">
        <v>#N/A</v>
      </c>
      <c r="AO47" s="102" t="e">
        <v>#N/A</v>
      </c>
      <c r="AP47" s="102" t="e">
        <v>#N/A</v>
      </c>
      <c r="AQ47" s="102" t="e">
        <v>#N/A</v>
      </c>
      <c r="AR47" s="102" t="e">
        <v>#N/A</v>
      </c>
      <c r="AS47" s="102" t="e">
        <v>#N/A</v>
      </c>
      <c r="AT47" s="102" t="e">
        <v>#N/A</v>
      </c>
      <c r="AU47" s="102" t="e">
        <v>#N/A</v>
      </c>
      <c r="AV47" s="102" t="e">
        <v>#N/A</v>
      </c>
      <c r="AW47" s="102" t="e">
        <v>#N/A</v>
      </c>
      <c r="AX47" s="102" t="e">
        <v>#N/A</v>
      </c>
      <c r="AY47" s="102" t="e">
        <v>#N/A</v>
      </c>
    </row>
    <row r="48" spans="1:51">
      <c r="A48" s="102" t="s">
        <v>655</v>
      </c>
      <c r="B48" s="102">
        <v>3940</v>
      </c>
      <c r="C48" s="102">
        <v>3920</v>
      </c>
      <c r="D48" s="102">
        <v>1</v>
      </c>
      <c r="E48" s="102">
        <v>65309</v>
      </c>
      <c r="F48" s="102">
        <v>3.8</v>
      </c>
      <c r="G48" s="102">
        <v>1530</v>
      </c>
      <c r="H48" s="102">
        <v>575</v>
      </c>
      <c r="I48" s="102">
        <v>205</v>
      </c>
      <c r="J48" s="102">
        <v>94.4</v>
      </c>
      <c r="K48" s="102">
        <v>5.6</v>
      </c>
      <c r="L48" s="102">
        <v>68.400000000000006</v>
      </c>
      <c r="M48" s="102">
        <v>65.900000000000006</v>
      </c>
      <c r="N48" s="102">
        <v>3.4</v>
      </c>
      <c r="O48" s="102">
        <v>790</v>
      </c>
      <c r="P48" s="102">
        <v>425</v>
      </c>
      <c r="Q48" s="102">
        <v>500</v>
      </c>
      <c r="R48" s="102">
        <v>350</v>
      </c>
      <c r="T48" s="102">
        <f t="shared" si="0"/>
        <v>0</v>
      </c>
      <c r="U48" s="102" t="s">
        <v>843</v>
      </c>
      <c r="V48" s="103">
        <v>512</v>
      </c>
      <c r="W48">
        <v>17403</v>
      </c>
      <c r="X48">
        <v>17186</v>
      </c>
      <c r="Y48">
        <v>17668</v>
      </c>
      <c r="Z48">
        <v>12256</v>
      </c>
      <c r="AA48">
        <v>14048</v>
      </c>
      <c r="AB48" s="102">
        <v>155</v>
      </c>
      <c r="AC48" s="102">
        <v>290</v>
      </c>
      <c r="AD48" s="102">
        <v>85</v>
      </c>
      <c r="AE48" s="102">
        <v>10</v>
      </c>
      <c r="AF48" s="102">
        <v>1.8586265272026161</v>
      </c>
      <c r="AG48" s="102">
        <v>0.23232831590032701</v>
      </c>
      <c r="AH48" s="102">
        <v>0.5033780177840419</v>
      </c>
      <c r="AI48" s="102">
        <v>1.8199051412192284</v>
      </c>
      <c r="AJ48" s="102">
        <v>1.2003629654850227</v>
      </c>
      <c r="AK48" s="102">
        <v>0.5033780177840419</v>
      </c>
      <c r="AL48" s="102">
        <v>1.5875768253189013</v>
      </c>
      <c r="AM48" s="102">
        <v>1.3165271234351865</v>
      </c>
      <c r="AN48" s="102">
        <v>0.23232831590032701</v>
      </c>
      <c r="AO48" s="102">
        <v>0.46465663180065403</v>
      </c>
      <c r="AP48" s="102">
        <v>0.11616415795016351</v>
      </c>
      <c r="AQ48" s="102">
        <v>0.38721385983387835</v>
      </c>
      <c r="AR48" s="102">
        <v>0</v>
      </c>
      <c r="AS48" s="102">
        <v>0.65826356171759326</v>
      </c>
      <c r="AT48" s="102">
        <v>0.7744277196677567</v>
      </c>
      <c r="AU48" s="102">
        <v>1.897347913186004</v>
      </c>
      <c r="AV48" s="102">
        <v>0.23232831590032701</v>
      </c>
      <c r="AW48" s="102">
        <v>0.73570633368436888</v>
      </c>
      <c r="AX48" s="102">
        <v>1.161641579501635</v>
      </c>
      <c r="AY48" s="102">
        <v>1.0841988075348594</v>
      </c>
    </row>
    <row r="49" spans="1:51" s="103" customFormat="1">
      <c r="A49" s="103" t="s">
        <v>201</v>
      </c>
      <c r="B49" s="103">
        <v>465</v>
      </c>
      <c r="C49" s="103">
        <v>465</v>
      </c>
      <c r="D49" s="103">
        <v>1.7</v>
      </c>
      <c r="E49" s="103">
        <v>37481</v>
      </c>
      <c r="F49" s="103">
        <v>0</v>
      </c>
      <c r="G49" s="103">
        <v>150</v>
      </c>
      <c r="H49" s="103">
        <v>60</v>
      </c>
      <c r="I49" s="103">
        <v>40</v>
      </c>
      <c r="J49" s="103">
        <v>13.3</v>
      </c>
      <c r="K49" s="103">
        <v>26.7</v>
      </c>
      <c r="L49" s="103">
        <v>59.7</v>
      </c>
      <c r="M49" s="103">
        <v>51.6</v>
      </c>
      <c r="N49" s="103">
        <v>13.5</v>
      </c>
      <c r="O49" s="103">
        <v>35</v>
      </c>
      <c r="P49" s="103">
        <v>45</v>
      </c>
      <c r="Q49" s="103">
        <v>10</v>
      </c>
      <c r="R49" s="103">
        <v>20</v>
      </c>
      <c r="T49" s="103" t="str">
        <f t="shared" si="0"/>
        <v>Brokenhead Ojibway Nation</v>
      </c>
      <c r="U49" s="103" t="s">
        <v>245</v>
      </c>
      <c r="V49" s="103">
        <v>2983</v>
      </c>
      <c r="W49">
        <v>29157</v>
      </c>
      <c r="X49">
        <v>33136</v>
      </c>
      <c r="Y49">
        <v>24130</v>
      </c>
      <c r="Z49">
        <v>33613</v>
      </c>
      <c r="AA49">
        <v>19524</v>
      </c>
      <c r="AB49" s="103">
        <v>745</v>
      </c>
      <c r="AC49" s="103">
        <v>2670</v>
      </c>
      <c r="AD49" s="103">
        <v>1230</v>
      </c>
      <c r="AE49" s="103">
        <v>525</v>
      </c>
      <c r="AF49" s="102">
        <v>0.91466192836435056</v>
      </c>
      <c r="AG49" s="102">
        <v>0</v>
      </c>
      <c r="AH49" s="102">
        <v>0</v>
      </c>
      <c r="AI49" s="102">
        <v>0.91466192836435056</v>
      </c>
      <c r="AJ49" s="102">
        <v>0.91466192836435056</v>
      </c>
      <c r="AK49" s="102">
        <v>0</v>
      </c>
      <c r="AL49" s="102">
        <v>0.91466192836435056</v>
      </c>
      <c r="AM49" s="102">
        <v>0</v>
      </c>
      <c r="AN49" s="102">
        <v>0</v>
      </c>
      <c r="AO49" s="102">
        <v>0</v>
      </c>
      <c r="AP49" s="102">
        <v>0.91466192836435056</v>
      </c>
      <c r="AQ49" s="102">
        <v>0</v>
      </c>
      <c r="AR49" s="102">
        <v>0</v>
      </c>
      <c r="AS49" s="102">
        <v>1.3719928925465259</v>
      </c>
      <c r="AT49" s="102">
        <v>1.3719928925465259</v>
      </c>
      <c r="AU49" s="102">
        <v>2.7439857850930518</v>
      </c>
      <c r="AV49" s="102">
        <v>1.8293238567287011</v>
      </c>
      <c r="AW49" s="102">
        <v>0.91466192836435056</v>
      </c>
      <c r="AX49" s="102">
        <v>0.91466192836435056</v>
      </c>
      <c r="AY49" s="102">
        <v>3.6586477134574023</v>
      </c>
    </row>
    <row r="50" spans="1:51" s="103" customFormat="1">
      <c r="A50" s="103" t="s">
        <v>305</v>
      </c>
      <c r="T50" s="103">
        <f t="shared" si="0"/>
        <v>0</v>
      </c>
      <c r="U50" s="103" t="s">
        <v>844</v>
      </c>
      <c r="V50" s="103">
        <v>896</v>
      </c>
      <c r="W50"/>
      <c r="X50"/>
      <c r="Y50"/>
      <c r="Z50"/>
      <c r="AA50"/>
      <c r="AB50" s="103">
        <v>0</v>
      </c>
      <c r="AC50" s="103">
        <v>0</v>
      </c>
      <c r="AD50" s="103">
        <v>0</v>
      </c>
      <c r="AE50" s="103">
        <v>0</v>
      </c>
      <c r="AF50" s="102" t="e">
        <v>#N/A</v>
      </c>
      <c r="AG50" s="102" t="e">
        <v>#N/A</v>
      </c>
      <c r="AH50" s="102" t="e">
        <v>#N/A</v>
      </c>
      <c r="AI50" s="102" t="e">
        <v>#N/A</v>
      </c>
      <c r="AJ50" s="102" t="e">
        <v>#N/A</v>
      </c>
      <c r="AK50" s="102" t="e">
        <v>#N/A</v>
      </c>
      <c r="AL50" s="102" t="e">
        <v>#N/A</v>
      </c>
      <c r="AM50" s="102" t="e">
        <v>#N/A</v>
      </c>
      <c r="AN50" s="102" t="e">
        <v>#N/A</v>
      </c>
      <c r="AO50" s="102" t="e">
        <v>#N/A</v>
      </c>
      <c r="AP50" s="102" t="e">
        <v>#N/A</v>
      </c>
      <c r="AQ50" s="102" t="e">
        <v>#N/A</v>
      </c>
      <c r="AR50" s="102" t="e">
        <v>#N/A</v>
      </c>
      <c r="AS50" s="102" t="e">
        <v>#N/A</v>
      </c>
      <c r="AT50" s="102" t="e">
        <v>#N/A</v>
      </c>
      <c r="AU50" s="102" t="e">
        <v>#N/A</v>
      </c>
      <c r="AV50" s="102" t="e">
        <v>#N/A</v>
      </c>
      <c r="AW50" s="102" t="e">
        <v>#N/A</v>
      </c>
      <c r="AX50" s="102" t="e">
        <v>#N/A</v>
      </c>
      <c r="AY50" s="102" t="e">
        <v>#N/A</v>
      </c>
    </row>
    <row r="51" spans="1:51" s="103" customFormat="1">
      <c r="A51" s="103" t="s">
        <v>202</v>
      </c>
      <c r="B51" s="103">
        <v>140</v>
      </c>
      <c r="C51" s="103">
        <v>140</v>
      </c>
      <c r="D51" s="103">
        <v>0.5</v>
      </c>
      <c r="E51" s="103">
        <v>0</v>
      </c>
      <c r="F51" s="103">
        <v>0</v>
      </c>
      <c r="G51" s="103">
        <v>65</v>
      </c>
      <c r="H51" s="103">
        <v>10</v>
      </c>
      <c r="I51" s="103">
        <v>10</v>
      </c>
      <c r="J51" s="103">
        <v>84.6</v>
      </c>
      <c r="K51" s="103">
        <v>15.4</v>
      </c>
      <c r="L51" s="103">
        <v>38.5</v>
      </c>
      <c r="M51" s="103">
        <v>34.6</v>
      </c>
      <c r="N51" s="103">
        <v>0</v>
      </c>
      <c r="O51" s="103">
        <v>35</v>
      </c>
      <c r="P51" s="103">
        <v>25</v>
      </c>
      <c r="Q51" s="103">
        <v>10</v>
      </c>
      <c r="R51" s="103">
        <v>30</v>
      </c>
      <c r="T51" s="103" t="str">
        <f t="shared" si="0"/>
        <v>Buffalo Point First Nation</v>
      </c>
      <c r="U51" s="103" t="s">
        <v>246</v>
      </c>
      <c r="V51" s="103">
        <v>524</v>
      </c>
      <c r="W51">
        <v>0</v>
      </c>
      <c r="X51">
        <v>0</v>
      </c>
      <c r="Y51">
        <v>0</v>
      </c>
      <c r="Z51">
        <v>0</v>
      </c>
      <c r="AA51">
        <v>0</v>
      </c>
      <c r="AB51" s="103">
        <v>30</v>
      </c>
      <c r="AC51" s="103">
        <v>75</v>
      </c>
      <c r="AD51" s="103">
        <v>45</v>
      </c>
      <c r="AE51" s="103">
        <v>35</v>
      </c>
      <c r="AF51" s="102">
        <v>0</v>
      </c>
      <c r="AG51" s="102">
        <v>0</v>
      </c>
      <c r="AH51" s="102">
        <v>0</v>
      </c>
      <c r="AI51" s="102">
        <v>3.3842491349480972</v>
      </c>
      <c r="AJ51" s="102">
        <v>0</v>
      </c>
      <c r="AK51" s="102">
        <v>0</v>
      </c>
      <c r="AL51" s="102">
        <v>3.3842491349480972</v>
      </c>
      <c r="AM51" s="102">
        <v>0</v>
      </c>
      <c r="AN51" s="102">
        <v>0</v>
      </c>
      <c r="AO51" s="102">
        <v>0</v>
      </c>
      <c r="AP51" s="102">
        <v>0</v>
      </c>
      <c r="AQ51" s="102">
        <v>3.3842491349480972</v>
      </c>
      <c r="AR51" s="102">
        <v>0</v>
      </c>
      <c r="AS51" s="102">
        <v>0</v>
      </c>
      <c r="AT51" s="102">
        <v>3.3842491349480972</v>
      </c>
      <c r="AU51" s="102">
        <v>0</v>
      </c>
      <c r="AV51" s="102">
        <v>3.3842491349480972</v>
      </c>
      <c r="AW51" s="102">
        <v>3.3842491349480972</v>
      </c>
      <c r="AX51" s="102">
        <v>0</v>
      </c>
      <c r="AY51" s="102">
        <v>0</v>
      </c>
    </row>
    <row r="52" spans="1:51" s="103" customFormat="1">
      <c r="A52" s="103" t="s">
        <v>203</v>
      </c>
      <c r="B52" s="103">
        <v>1945</v>
      </c>
      <c r="C52" s="103">
        <v>1950</v>
      </c>
      <c r="D52" s="103">
        <v>2.5</v>
      </c>
      <c r="E52" s="103">
        <v>39388</v>
      </c>
      <c r="F52" s="103">
        <v>0</v>
      </c>
      <c r="G52" s="103">
        <v>390</v>
      </c>
      <c r="H52" s="103">
        <v>125</v>
      </c>
      <c r="I52" s="103">
        <v>195</v>
      </c>
      <c r="J52" s="103">
        <v>2.6</v>
      </c>
      <c r="K52" s="103">
        <v>6.4</v>
      </c>
      <c r="L52" s="103">
        <v>50.2</v>
      </c>
      <c r="M52" s="103">
        <v>30.5</v>
      </c>
      <c r="N52" s="103">
        <v>38.5</v>
      </c>
      <c r="O52" s="103">
        <v>135</v>
      </c>
      <c r="P52" s="103">
        <v>55</v>
      </c>
      <c r="Q52" s="103">
        <v>30</v>
      </c>
      <c r="R52" s="103">
        <v>55</v>
      </c>
      <c r="T52" s="103" t="str">
        <f t="shared" si="0"/>
        <v>Bunibonibee Cree Nation</v>
      </c>
      <c r="U52" s="103" t="s">
        <v>247</v>
      </c>
      <c r="V52" s="103">
        <v>3408</v>
      </c>
      <c r="W52">
        <v>19251</v>
      </c>
      <c r="X52">
        <v>18786</v>
      </c>
      <c r="Y52">
        <v>19774</v>
      </c>
      <c r="Z52">
        <v>5424</v>
      </c>
      <c r="AA52">
        <v>11712</v>
      </c>
      <c r="AB52" s="103">
        <v>720</v>
      </c>
      <c r="AC52" s="103">
        <v>1140</v>
      </c>
      <c r="AD52" s="103">
        <v>240</v>
      </c>
      <c r="AE52" s="103">
        <v>85</v>
      </c>
      <c r="AF52" s="102">
        <v>0</v>
      </c>
      <c r="AG52" s="102">
        <v>0</v>
      </c>
      <c r="AH52" s="102">
        <v>0.27739747007771287</v>
      </c>
      <c r="AI52" s="102">
        <v>0.83219241023313861</v>
      </c>
      <c r="AJ52" s="102">
        <v>0</v>
      </c>
      <c r="AK52" s="102">
        <v>0</v>
      </c>
      <c r="AL52" s="102">
        <v>0.97089114527199505</v>
      </c>
      <c r="AM52" s="102">
        <v>0.69349367519428207</v>
      </c>
      <c r="AN52" s="102">
        <v>0</v>
      </c>
      <c r="AO52" s="102">
        <v>0</v>
      </c>
      <c r="AP52" s="102">
        <v>0</v>
      </c>
      <c r="AQ52" s="102">
        <v>0</v>
      </c>
      <c r="AR52" s="102">
        <v>0</v>
      </c>
      <c r="AS52" s="102">
        <v>0.41609620511656931</v>
      </c>
      <c r="AT52" s="102">
        <v>3.0513721708548416</v>
      </c>
      <c r="AU52" s="102">
        <v>2.4965772306994158</v>
      </c>
      <c r="AV52" s="102">
        <v>0</v>
      </c>
      <c r="AW52" s="102">
        <v>0.69349367519428207</v>
      </c>
      <c r="AX52" s="102">
        <v>0.27739747007771287</v>
      </c>
      <c r="AY52" s="102">
        <v>2.6352759657382725</v>
      </c>
    </row>
    <row r="53" spans="1:51" s="103" customFormat="1">
      <c r="A53" s="103" t="s">
        <v>728</v>
      </c>
      <c r="B53" s="103">
        <v>44160</v>
      </c>
      <c r="C53" s="103">
        <v>44145</v>
      </c>
      <c r="D53" s="103">
        <v>1.9</v>
      </c>
      <c r="E53" s="103">
        <v>60689</v>
      </c>
      <c r="F53" s="103">
        <v>13.6</v>
      </c>
      <c r="G53" s="103">
        <v>12125</v>
      </c>
      <c r="H53" s="103">
        <v>3975</v>
      </c>
      <c r="I53" s="103">
        <v>3670</v>
      </c>
      <c r="J53" s="103">
        <v>33.6</v>
      </c>
      <c r="K53" s="103">
        <v>26.2</v>
      </c>
      <c r="L53" s="103">
        <v>56.8</v>
      </c>
      <c r="M53" s="103">
        <v>46.9</v>
      </c>
      <c r="N53" s="103">
        <v>17.399999999999999</v>
      </c>
      <c r="O53" s="103">
        <v>4910</v>
      </c>
      <c r="P53" s="103">
        <v>2265</v>
      </c>
      <c r="Q53" s="103">
        <v>2780</v>
      </c>
      <c r="R53" s="103">
        <v>2925</v>
      </c>
      <c r="T53" s="103">
        <f t="shared" si="0"/>
        <v>0</v>
      </c>
      <c r="U53" s="103" t="s">
        <v>249</v>
      </c>
      <c r="V53" s="103">
        <v>1124</v>
      </c>
      <c r="W53">
        <v>30446</v>
      </c>
      <c r="X53">
        <v>36097</v>
      </c>
      <c r="Y53">
        <v>23904</v>
      </c>
      <c r="Z53">
        <v>16425</v>
      </c>
      <c r="AA53">
        <v>14546</v>
      </c>
      <c r="AB53" s="103">
        <v>14775</v>
      </c>
      <c r="AC53" s="103">
        <v>27740</v>
      </c>
      <c r="AD53" s="103">
        <v>7355</v>
      </c>
      <c r="AE53" s="103">
        <v>1650</v>
      </c>
      <c r="AF53" s="102">
        <v>0.25331206099910902</v>
      </c>
      <c r="AG53" s="102">
        <v>1.5249386072146365</v>
      </c>
      <c r="AH53" s="102">
        <v>0.60288270517787945</v>
      </c>
      <c r="AI53" s="102">
        <v>0.79539987153720237</v>
      </c>
      <c r="AJ53" s="102">
        <v>0.28877574953898433</v>
      </c>
      <c r="AK53" s="102">
        <v>0.14692099537948325</v>
      </c>
      <c r="AL53" s="102">
        <v>1.6059984667343512</v>
      </c>
      <c r="AM53" s="102">
        <v>0.83086356007707773</v>
      </c>
      <c r="AN53" s="102">
        <v>0.15198723659946542</v>
      </c>
      <c r="AO53" s="102">
        <v>0.19251716635932289</v>
      </c>
      <c r="AP53" s="102">
        <v>0.24824581977912688</v>
      </c>
      <c r="AQ53" s="102">
        <v>0.19758340757930506</v>
      </c>
      <c r="AR53" s="102">
        <v>1.0132482439964362E-2</v>
      </c>
      <c r="AS53" s="102">
        <v>0.53195532809812895</v>
      </c>
      <c r="AT53" s="102">
        <v>2.1126225887325694</v>
      </c>
      <c r="AU53" s="102">
        <v>2.3051397550918922</v>
      </c>
      <c r="AV53" s="102">
        <v>0.14185475415950105</v>
      </c>
      <c r="AW53" s="102">
        <v>1.119639309616062</v>
      </c>
      <c r="AX53" s="102">
        <v>0.57755149907796866</v>
      </c>
      <c r="AY53" s="102">
        <v>2.0416952116528191</v>
      </c>
    </row>
    <row r="54" spans="1:51" s="103" customFormat="1">
      <c r="A54" s="103" t="s">
        <v>306</v>
      </c>
      <c r="T54" s="103">
        <f t="shared" si="0"/>
        <v>0</v>
      </c>
      <c r="U54" s="103" t="s">
        <v>250</v>
      </c>
      <c r="V54" s="103">
        <v>1217</v>
      </c>
      <c r="W54"/>
      <c r="X54"/>
      <c r="Y54"/>
      <c r="Z54"/>
      <c r="AA54"/>
      <c r="AB54" s="103">
        <v>0</v>
      </c>
      <c r="AC54" s="103">
        <v>0</v>
      </c>
      <c r="AD54" s="103">
        <v>0</v>
      </c>
      <c r="AE54" s="103">
        <v>0</v>
      </c>
      <c r="AF54" s="102" t="e">
        <v>#N/A</v>
      </c>
      <c r="AG54" s="102" t="e">
        <v>#N/A</v>
      </c>
      <c r="AH54" s="102" t="e">
        <v>#N/A</v>
      </c>
      <c r="AI54" s="102" t="e">
        <v>#N/A</v>
      </c>
      <c r="AJ54" s="102" t="e">
        <v>#N/A</v>
      </c>
      <c r="AK54" s="102" t="e">
        <v>#N/A</v>
      </c>
      <c r="AL54" s="102" t="e">
        <v>#N/A</v>
      </c>
      <c r="AM54" s="102" t="e">
        <v>#N/A</v>
      </c>
      <c r="AN54" s="102" t="e">
        <v>#N/A</v>
      </c>
      <c r="AO54" s="102" t="e">
        <v>#N/A</v>
      </c>
      <c r="AP54" s="102" t="e">
        <v>#N/A</v>
      </c>
      <c r="AQ54" s="102" t="e">
        <v>#N/A</v>
      </c>
      <c r="AR54" s="102" t="e">
        <v>#N/A</v>
      </c>
      <c r="AS54" s="102" t="e">
        <v>#N/A</v>
      </c>
      <c r="AT54" s="102" t="e">
        <v>#N/A</v>
      </c>
      <c r="AU54" s="102" t="e">
        <v>#N/A</v>
      </c>
      <c r="AV54" s="102" t="e">
        <v>#N/A</v>
      </c>
      <c r="AW54" s="102" t="e">
        <v>#N/A</v>
      </c>
      <c r="AX54" s="102" t="e">
        <v>#N/A</v>
      </c>
      <c r="AY54" s="102" t="e">
        <v>#N/A</v>
      </c>
    </row>
    <row r="55" spans="1:51">
      <c r="A55" s="102" t="s">
        <v>625</v>
      </c>
      <c r="B55" s="102">
        <v>435</v>
      </c>
      <c r="C55" s="102">
        <v>350</v>
      </c>
      <c r="D55" s="102">
        <v>1.3</v>
      </c>
      <c r="E55" s="102">
        <v>49503</v>
      </c>
      <c r="F55" s="102">
        <v>11.1</v>
      </c>
      <c r="G55" s="102">
        <v>130</v>
      </c>
      <c r="H55" s="102">
        <v>50</v>
      </c>
      <c r="I55" s="102">
        <v>25</v>
      </c>
      <c r="J55" s="102">
        <v>100</v>
      </c>
      <c r="K55" s="102">
        <v>0</v>
      </c>
      <c r="L55" s="102">
        <v>92.6</v>
      </c>
      <c r="M55" s="102">
        <v>91.2</v>
      </c>
      <c r="N55" s="102">
        <v>0</v>
      </c>
      <c r="O55" s="102">
        <v>65</v>
      </c>
      <c r="P55" s="102">
        <v>15</v>
      </c>
      <c r="Q55" s="102">
        <v>50</v>
      </c>
      <c r="R55" s="102">
        <v>35</v>
      </c>
      <c r="T55" s="102">
        <f t="shared" si="0"/>
        <v>0</v>
      </c>
      <c r="U55" s="102" t="s">
        <v>252</v>
      </c>
      <c r="V55" s="103">
        <v>1093</v>
      </c>
      <c r="W55">
        <v>16609</v>
      </c>
      <c r="X55">
        <v>16117</v>
      </c>
      <c r="Y55">
        <v>17095</v>
      </c>
      <c r="Z55">
        <v>19220</v>
      </c>
      <c r="AA55">
        <v>13370</v>
      </c>
      <c r="AB55" s="102">
        <v>80</v>
      </c>
      <c r="AC55" s="102">
        <v>315</v>
      </c>
      <c r="AD55" s="102">
        <v>135</v>
      </c>
      <c r="AE55" s="102">
        <v>30</v>
      </c>
      <c r="AF55" s="102">
        <v>10.47505684626792</v>
      </c>
      <c r="AG55" s="102">
        <v>0</v>
      </c>
      <c r="AH55" s="102">
        <v>0</v>
      </c>
      <c r="AI55" s="102">
        <v>0.53718240237271375</v>
      </c>
      <c r="AJ55" s="102">
        <v>0</v>
      </c>
      <c r="AK55" s="102">
        <v>0.53718240237271375</v>
      </c>
      <c r="AL55" s="102">
        <v>1.3429560059317844</v>
      </c>
      <c r="AM55" s="102">
        <v>0.53718240237271375</v>
      </c>
      <c r="AN55" s="102">
        <v>0</v>
      </c>
      <c r="AO55" s="102">
        <v>0.53718240237271375</v>
      </c>
      <c r="AP55" s="102">
        <v>0</v>
      </c>
      <c r="AQ55" s="102">
        <v>0.53718240237271375</v>
      </c>
      <c r="AR55" s="102">
        <v>0</v>
      </c>
      <c r="AS55" s="102">
        <v>0</v>
      </c>
      <c r="AT55" s="102">
        <v>0.53718240237271375</v>
      </c>
      <c r="AU55" s="102">
        <v>1.8801384083044981</v>
      </c>
      <c r="AV55" s="102">
        <v>0</v>
      </c>
      <c r="AW55" s="102">
        <v>0</v>
      </c>
      <c r="AX55" s="102">
        <v>0</v>
      </c>
      <c r="AY55" s="102">
        <v>0</v>
      </c>
    </row>
    <row r="56" spans="1:51" s="103" customFormat="1">
      <c r="A56" s="103" t="s">
        <v>307</v>
      </c>
      <c r="B56" s="103">
        <v>507</v>
      </c>
      <c r="T56" s="103">
        <f t="shared" si="0"/>
        <v>0</v>
      </c>
      <c r="U56" s="103" t="s">
        <v>257</v>
      </c>
      <c r="V56" s="103">
        <v>786</v>
      </c>
      <c r="W56"/>
      <c r="X56"/>
      <c r="Y56"/>
      <c r="Z56"/>
      <c r="AA56"/>
      <c r="AB56" s="103">
        <v>0</v>
      </c>
      <c r="AC56" s="103">
        <v>0</v>
      </c>
      <c r="AD56" s="103">
        <v>0</v>
      </c>
      <c r="AE56" s="103">
        <v>0</v>
      </c>
      <c r="AF56" s="102" t="e">
        <v>#N/A</v>
      </c>
      <c r="AG56" s="102" t="e">
        <v>#N/A</v>
      </c>
      <c r="AH56" s="102" t="e">
        <v>#N/A</v>
      </c>
      <c r="AI56" s="102" t="e">
        <v>#N/A</v>
      </c>
      <c r="AJ56" s="102" t="e">
        <v>#N/A</v>
      </c>
      <c r="AK56" s="102" t="e">
        <v>#N/A</v>
      </c>
      <c r="AL56" s="102" t="e">
        <v>#N/A</v>
      </c>
      <c r="AM56" s="102" t="e">
        <v>#N/A</v>
      </c>
      <c r="AN56" s="102" t="e">
        <v>#N/A</v>
      </c>
      <c r="AO56" s="102" t="e">
        <v>#N/A</v>
      </c>
      <c r="AP56" s="102" t="e">
        <v>#N/A</v>
      </c>
      <c r="AQ56" s="102" t="e">
        <v>#N/A</v>
      </c>
      <c r="AR56" s="102" t="e">
        <v>#N/A</v>
      </c>
      <c r="AS56" s="102" t="e">
        <v>#N/A</v>
      </c>
      <c r="AT56" s="102" t="e">
        <v>#N/A</v>
      </c>
      <c r="AU56" s="102" t="e">
        <v>#N/A</v>
      </c>
      <c r="AV56" s="102" t="e">
        <v>#N/A</v>
      </c>
      <c r="AW56" s="102" t="e">
        <v>#N/A</v>
      </c>
      <c r="AX56" s="102" t="e">
        <v>#N/A</v>
      </c>
      <c r="AY56" s="102" t="e">
        <v>#N/A</v>
      </c>
    </row>
    <row r="57" spans="1:51" s="103" customFormat="1">
      <c r="A57" s="103" t="s">
        <v>204</v>
      </c>
      <c r="B57" s="103">
        <v>295</v>
      </c>
      <c r="C57" s="103">
        <v>295</v>
      </c>
      <c r="D57" s="103">
        <v>1.5</v>
      </c>
      <c r="E57" s="103">
        <v>32684</v>
      </c>
      <c r="F57" s="103">
        <v>0</v>
      </c>
      <c r="G57" s="103">
        <v>105</v>
      </c>
      <c r="H57" s="103">
        <v>45</v>
      </c>
      <c r="I57" s="103">
        <v>35</v>
      </c>
      <c r="J57" s="103">
        <v>9.5</v>
      </c>
      <c r="K57" s="103">
        <v>9.5</v>
      </c>
      <c r="L57" s="103">
        <v>48.8</v>
      </c>
      <c r="M57" s="103">
        <v>34.9</v>
      </c>
      <c r="N57" s="103">
        <v>28.6</v>
      </c>
      <c r="O57" s="103">
        <v>50</v>
      </c>
      <c r="P57" s="103">
        <v>30</v>
      </c>
      <c r="Q57" s="103">
        <v>15</v>
      </c>
      <c r="R57" s="103">
        <v>0</v>
      </c>
      <c r="T57" s="103" t="str">
        <f t="shared" si="0"/>
        <v>Canupawakpa Dakota First Nation</v>
      </c>
      <c r="U57" s="103" t="s">
        <v>259</v>
      </c>
      <c r="V57" s="103">
        <v>499</v>
      </c>
      <c r="W57">
        <v>18428</v>
      </c>
      <c r="X57">
        <v>14161</v>
      </c>
      <c r="Y57">
        <v>21102</v>
      </c>
      <c r="Z57">
        <v>6352</v>
      </c>
      <c r="AA57">
        <v>12128</v>
      </c>
      <c r="AB57" s="103">
        <v>80</v>
      </c>
      <c r="AC57" s="103">
        <v>165</v>
      </c>
      <c r="AD57" s="103">
        <v>30</v>
      </c>
      <c r="AE57" s="103">
        <v>10</v>
      </c>
      <c r="AF57" s="102">
        <v>1.6115472071181414</v>
      </c>
      <c r="AG57" s="102">
        <v>0</v>
      </c>
      <c r="AH57" s="102">
        <v>0</v>
      </c>
      <c r="AI57" s="102">
        <v>0</v>
      </c>
      <c r="AJ57" s="102">
        <v>0</v>
      </c>
      <c r="AK57" s="102">
        <v>0</v>
      </c>
      <c r="AL57" s="102">
        <v>0</v>
      </c>
      <c r="AM57" s="102">
        <v>0</v>
      </c>
      <c r="AN57" s="102">
        <v>0</v>
      </c>
      <c r="AO57" s="102">
        <v>0</v>
      </c>
      <c r="AP57" s="102">
        <v>0</v>
      </c>
      <c r="AQ57" s="102">
        <v>0</v>
      </c>
      <c r="AR57" s="102">
        <v>0</v>
      </c>
      <c r="AS57" s="102">
        <v>1.6115472071181414</v>
      </c>
      <c r="AT57" s="102">
        <v>1.6115472071181414</v>
      </c>
      <c r="AU57" s="102">
        <v>1.6115472071181414</v>
      </c>
      <c r="AV57" s="102">
        <v>2.4173208106772117</v>
      </c>
      <c r="AW57" s="102">
        <v>0</v>
      </c>
      <c r="AX57" s="102">
        <v>0</v>
      </c>
      <c r="AY57" s="102">
        <v>4.0288680177953529</v>
      </c>
    </row>
    <row r="58" spans="1:51">
      <c r="A58" s="102" t="s">
        <v>308</v>
      </c>
      <c r="B58" s="102">
        <v>1465</v>
      </c>
      <c r="C58" s="102">
        <v>1460</v>
      </c>
      <c r="D58" s="102">
        <v>0.9</v>
      </c>
      <c r="E58" s="102">
        <v>62617</v>
      </c>
      <c r="F58" s="102">
        <v>4.5</v>
      </c>
      <c r="G58" s="102">
        <v>660</v>
      </c>
      <c r="H58" s="102">
        <v>245</v>
      </c>
      <c r="I58" s="102">
        <v>50</v>
      </c>
      <c r="J58" s="102">
        <v>77.3</v>
      </c>
      <c r="K58" s="102">
        <v>22.7</v>
      </c>
      <c r="L58" s="102">
        <v>58.3</v>
      </c>
      <c r="M58" s="102">
        <v>55.3</v>
      </c>
      <c r="N58" s="102">
        <v>4.4000000000000004</v>
      </c>
      <c r="O58" s="102">
        <v>275</v>
      </c>
      <c r="P58" s="102">
        <v>175</v>
      </c>
      <c r="Q58" s="102">
        <v>180</v>
      </c>
      <c r="R58" s="102">
        <v>140</v>
      </c>
      <c r="T58" s="102">
        <f t="shared" si="0"/>
        <v>0</v>
      </c>
      <c r="U58" s="102" t="s">
        <v>260</v>
      </c>
      <c r="V58" s="103">
        <v>1115</v>
      </c>
      <c r="W58">
        <v>28642</v>
      </c>
      <c r="X58">
        <v>38504</v>
      </c>
      <c r="Y58">
        <v>19930</v>
      </c>
      <c r="Z58">
        <v>34061</v>
      </c>
      <c r="AA58">
        <v>18345</v>
      </c>
      <c r="AB58" s="102">
        <v>280</v>
      </c>
      <c r="AC58" s="102">
        <v>850</v>
      </c>
      <c r="AD58" s="102">
        <v>350</v>
      </c>
      <c r="AE58" s="102">
        <v>315</v>
      </c>
      <c r="AF58" s="102">
        <v>1.3586401636652943</v>
      </c>
      <c r="AG58" s="102">
        <v>0</v>
      </c>
      <c r="AH58" s="102">
        <v>0</v>
      </c>
      <c r="AI58" s="102">
        <v>1.1116146793625137</v>
      </c>
      <c r="AJ58" s="102">
        <v>2.7172803273305886</v>
      </c>
      <c r="AK58" s="102">
        <v>0.86458919505973275</v>
      </c>
      <c r="AL58" s="102">
        <v>1.6056656479680751</v>
      </c>
      <c r="AM58" s="102">
        <v>0.98810193721112316</v>
      </c>
      <c r="AN58" s="102">
        <v>0.24702548430278079</v>
      </c>
      <c r="AO58" s="102">
        <v>0.49405096860556158</v>
      </c>
      <c r="AP58" s="102">
        <v>0.24702548430278079</v>
      </c>
      <c r="AQ58" s="102">
        <v>0.74107645290834245</v>
      </c>
      <c r="AR58" s="102">
        <v>0</v>
      </c>
      <c r="AS58" s="102">
        <v>0.61756371075695193</v>
      </c>
      <c r="AT58" s="102">
        <v>0.49405096860556158</v>
      </c>
      <c r="AU58" s="102">
        <v>1.6056656479680751</v>
      </c>
      <c r="AV58" s="102">
        <v>0.37053822645417123</v>
      </c>
      <c r="AW58" s="102">
        <v>0.61756371075695193</v>
      </c>
      <c r="AX58" s="102">
        <v>0.86458919505973275</v>
      </c>
      <c r="AY58" s="102">
        <v>1.2351274215139039</v>
      </c>
    </row>
    <row r="59" spans="1:51">
      <c r="A59" s="102" t="s">
        <v>309</v>
      </c>
      <c r="B59" s="102">
        <v>2805</v>
      </c>
      <c r="C59" s="102">
        <v>2805</v>
      </c>
      <c r="D59" s="102">
        <v>0.9</v>
      </c>
      <c r="E59" s="102">
        <v>58478</v>
      </c>
      <c r="F59" s="102">
        <v>6.7</v>
      </c>
      <c r="G59" s="102">
        <v>1325</v>
      </c>
      <c r="H59" s="102">
        <v>355</v>
      </c>
      <c r="I59" s="102">
        <v>75</v>
      </c>
      <c r="J59" s="102">
        <v>74.7</v>
      </c>
      <c r="K59" s="102">
        <v>25.3</v>
      </c>
      <c r="L59" s="102">
        <v>58.3</v>
      </c>
      <c r="M59" s="102">
        <v>54.5</v>
      </c>
      <c r="N59" s="102">
        <v>6.2</v>
      </c>
      <c r="O59" s="102">
        <v>620</v>
      </c>
      <c r="P59" s="102">
        <v>230</v>
      </c>
      <c r="Q59" s="102">
        <v>345</v>
      </c>
      <c r="R59" s="102">
        <v>350</v>
      </c>
      <c r="T59" s="102">
        <f t="shared" si="0"/>
        <v>0</v>
      </c>
      <c r="U59" s="102" t="s">
        <v>262</v>
      </c>
      <c r="V59" s="102">
        <v>3191</v>
      </c>
      <c r="W59">
        <v>24489</v>
      </c>
      <c r="X59">
        <v>28753</v>
      </c>
      <c r="Y59">
        <v>20052</v>
      </c>
      <c r="Z59">
        <v>28377</v>
      </c>
      <c r="AA59">
        <v>18704</v>
      </c>
      <c r="AB59" s="102">
        <v>455</v>
      </c>
      <c r="AC59" s="102">
        <v>1580</v>
      </c>
      <c r="AD59" s="102">
        <v>675</v>
      </c>
      <c r="AE59" s="102">
        <v>770</v>
      </c>
      <c r="AF59" s="102">
        <v>1.9762038744222463</v>
      </c>
      <c r="AG59" s="102">
        <v>0</v>
      </c>
      <c r="AH59" s="102">
        <v>0.1235127421513904</v>
      </c>
      <c r="AI59" s="102">
        <v>0.92634556613542807</v>
      </c>
      <c r="AJ59" s="102">
        <v>1.2351274215139039</v>
      </c>
      <c r="AK59" s="102">
        <v>0.92634556613542807</v>
      </c>
      <c r="AL59" s="102">
        <v>2.7172803273305886</v>
      </c>
      <c r="AM59" s="102">
        <v>0.55580733968125684</v>
      </c>
      <c r="AN59" s="102">
        <v>0.1235127421513904</v>
      </c>
      <c r="AO59" s="102">
        <v>0.74107645290834245</v>
      </c>
      <c r="AP59" s="102">
        <v>0.1235127421513904</v>
      </c>
      <c r="AQ59" s="102">
        <v>0.37053822645417123</v>
      </c>
      <c r="AR59" s="102">
        <v>0</v>
      </c>
      <c r="AS59" s="102">
        <v>0.55580733968125684</v>
      </c>
      <c r="AT59" s="102">
        <v>0.92634556613542807</v>
      </c>
      <c r="AU59" s="102">
        <v>2.1614729876493319</v>
      </c>
      <c r="AV59" s="102">
        <v>0.1235127421513904</v>
      </c>
      <c r="AW59" s="102">
        <v>0.98810193721112316</v>
      </c>
      <c r="AX59" s="102">
        <v>1.2968837925895993</v>
      </c>
      <c r="AY59" s="102">
        <v>0.80283282398403755</v>
      </c>
    </row>
    <row r="60" spans="1:51">
      <c r="A60" s="102" t="s">
        <v>651</v>
      </c>
      <c r="B60" s="102">
        <v>3160</v>
      </c>
      <c r="C60" s="102">
        <v>2130</v>
      </c>
      <c r="D60" s="102">
        <v>1.2</v>
      </c>
      <c r="E60" s="102">
        <v>74965</v>
      </c>
      <c r="F60" s="102">
        <v>6.5</v>
      </c>
      <c r="G60" s="102">
        <v>770</v>
      </c>
      <c r="H60" s="102">
        <v>290</v>
      </c>
      <c r="I60" s="102">
        <v>60</v>
      </c>
      <c r="J60" s="102">
        <v>88.3</v>
      </c>
      <c r="K60" s="102">
        <v>11.7</v>
      </c>
      <c r="L60" s="102">
        <v>75.900000000000006</v>
      </c>
      <c r="M60" s="102">
        <v>73.3</v>
      </c>
      <c r="N60" s="102">
        <v>3.4</v>
      </c>
      <c r="O60" s="102">
        <v>510</v>
      </c>
      <c r="P60" s="102">
        <v>175</v>
      </c>
      <c r="Q60" s="102">
        <v>280</v>
      </c>
      <c r="R60" s="102">
        <v>240</v>
      </c>
      <c r="T60" s="102">
        <f t="shared" si="0"/>
        <v>0</v>
      </c>
      <c r="U60" s="102" t="s">
        <v>264</v>
      </c>
      <c r="V60" s="103">
        <v>3324</v>
      </c>
      <c r="W60">
        <v>33823</v>
      </c>
      <c r="X60">
        <v>37757</v>
      </c>
      <c r="Y60">
        <v>28815</v>
      </c>
      <c r="Z60">
        <v>37742</v>
      </c>
      <c r="AA60">
        <v>24246</v>
      </c>
      <c r="AB60" s="102">
        <v>805</v>
      </c>
      <c r="AC60" s="102">
        <v>2030</v>
      </c>
      <c r="AD60" s="102">
        <v>745</v>
      </c>
      <c r="AE60" s="102">
        <v>300</v>
      </c>
      <c r="AF60" s="102">
        <v>6.8920804012285677</v>
      </c>
      <c r="AG60" s="102">
        <v>9.5063177947980249E-2</v>
      </c>
      <c r="AH60" s="102">
        <v>9.5063177947980249E-2</v>
      </c>
      <c r="AI60" s="102">
        <v>0.99816336845379261</v>
      </c>
      <c r="AJ60" s="102">
        <v>0.76050542358384199</v>
      </c>
      <c r="AK60" s="102">
        <v>0.47531588973990124</v>
      </c>
      <c r="AL60" s="102">
        <v>1.0456949574277827</v>
      </c>
      <c r="AM60" s="102">
        <v>1.1882897243497532</v>
      </c>
      <c r="AN60" s="102">
        <v>0.1901263558959605</v>
      </c>
      <c r="AO60" s="102">
        <v>0.57037906768788149</v>
      </c>
      <c r="AP60" s="102">
        <v>9.5063177947980249E-2</v>
      </c>
      <c r="AQ60" s="102">
        <v>0.42778430076591112</v>
      </c>
      <c r="AR60" s="102">
        <v>0</v>
      </c>
      <c r="AS60" s="102">
        <v>0.38025271179192099</v>
      </c>
      <c r="AT60" s="102">
        <v>0.61791065666187162</v>
      </c>
      <c r="AU60" s="102">
        <v>1.3784160802457137</v>
      </c>
      <c r="AV60" s="102">
        <v>0.14259476692197037</v>
      </c>
      <c r="AW60" s="102">
        <v>0.52284747871389137</v>
      </c>
      <c r="AX60" s="102">
        <v>0.28518953384394075</v>
      </c>
      <c r="AY60" s="102">
        <v>0.71297383460985186</v>
      </c>
    </row>
    <row r="61" spans="1:51">
      <c r="A61" s="102" t="s">
        <v>310</v>
      </c>
      <c r="B61" s="102">
        <v>270</v>
      </c>
      <c r="C61" s="102">
        <v>270</v>
      </c>
      <c r="D61" s="102">
        <v>0.5</v>
      </c>
      <c r="E61" s="102">
        <v>48848</v>
      </c>
      <c r="F61" s="102">
        <v>0</v>
      </c>
      <c r="G61" s="102">
        <v>140</v>
      </c>
      <c r="H61" s="102">
        <v>20</v>
      </c>
      <c r="I61" s="102">
        <v>10</v>
      </c>
      <c r="J61" s="102">
        <v>82.1</v>
      </c>
      <c r="K61" s="102">
        <v>17.899999999999999</v>
      </c>
      <c r="L61" s="102">
        <v>42.9</v>
      </c>
      <c r="M61" s="102">
        <v>40.799999999999997</v>
      </c>
      <c r="N61" s="102">
        <v>0</v>
      </c>
      <c r="O61" s="102">
        <v>70</v>
      </c>
      <c r="P61" s="102">
        <v>25</v>
      </c>
      <c r="Q61" s="102">
        <v>20</v>
      </c>
      <c r="R61" s="102">
        <v>35</v>
      </c>
      <c r="T61" s="102">
        <f t="shared" si="0"/>
        <v>0</v>
      </c>
      <c r="U61" s="102" t="s">
        <v>265</v>
      </c>
      <c r="V61" s="103">
        <v>954</v>
      </c>
      <c r="W61">
        <v>19143</v>
      </c>
      <c r="X61">
        <v>21633</v>
      </c>
      <c r="Y61">
        <v>16327</v>
      </c>
      <c r="Z61">
        <v>27552</v>
      </c>
      <c r="AA61">
        <v>17863</v>
      </c>
      <c r="AB61" s="102">
        <v>15</v>
      </c>
      <c r="AC61" s="102">
        <v>150</v>
      </c>
      <c r="AD61" s="102">
        <v>85</v>
      </c>
      <c r="AE61" s="102">
        <v>80</v>
      </c>
      <c r="AF61" s="102">
        <v>3.2230944142362827</v>
      </c>
      <c r="AG61" s="102">
        <v>0</v>
      </c>
      <c r="AH61" s="102">
        <v>0</v>
      </c>
      <c r="AI61" s="102">
        <v>0</v>
      </c>
      <c r="AJ61" s="102">
        <v>1.6115472071181414</v>
      </c>
      <c r="AK61" s="102">
        <v>0</v>
      </c>
      <c r="AL61" s="102">
        <v>3.2230944142362827</v>
      </c>
      <c r="AM61" s="102">
        <v>0</v>
      </c>
      <c r="AN61" s="102">
        <v>0</v>
      </c>
      <c r="AO61" s="102">
        <v>0</v>
      </c>
      <c r="AP61" s="102">
        <v>1.6115472071181414</v>
      </c>
      <c r="AQ61" s="102">
        <v>0</v>
      </c>
      <c r="AR61" s="102">
        <v>0</v>
      </c>
      <c r="AS61" s="102">
        <v>0</v>
      </c>
      <c r="AT61" s="102">
        <v>3.2230944142362827</v>
      </c>
      <c r="AU61" s="102">
        <v>0</v>
      </c>
      <c r="AV61" s="102">
        <v>0</v>
      </c>
      <c r="AW61" s="102">
        <v>0</v>
      </c>
      <c r="AX61" s="102">
        <v>0</v>
      </c>
      <c r="AY61" s="102">
        <v>0</v>
      </c>
    </row>
    <row r="62" spans="1:51" s="103" customFormat="1">
      <c r="A62" s="103" t="s">
        <v>729</v>
      </c>
      <c r="B62" s="103">
        <v>96630</v>
      </c>
      <c r="C62" s="103">
        <v>92085</v>
      </c>
      <c r="D62" s="103">
        <v>1.3</v>
      </c>
      <c r="E62" s="103">
        <v>63865</v>
      </c>
      <c r="F62" s="103">
        <v>9.1999999999999993</v>
      </c>
      <c r="G62" s="103">
        <v>34125</v>
      </c>
      <c r="H62" s="103">
        <v>10590</v>
      </c>
      <c r="I62" s="103">
        <v>3540</v>
      </c>
      <c r="J62" s="103">
        <v>78.3</v>
      </c>
      <c r="K62" s="103">
        <v>19</v>
      </c>
      <c r="L62" s="103">
        <v>68.7</v>
      </c>
      <c r="M62" s="103">
        <v>66.2</v>
      </c>
      <c r="N62" s="103">
        <v>3.7</v>
      </c>
      <c r="O62" s="103">
        <v>17465</v>
      </c>
      <c r="P62" s="103">
        <v>6825</v>
      </c>
      <c r="Q62" s="103">
        <v>9575</v>
      </c>
      <c r="R62" s="103">
        <v>9410</v>
      </c>
      <c r="T62" s="103">
        <f t="shared" si="0"/>
        <v>0</v>
      </c>
      <c r="U62" s="103" t="s">
        <v>266</v>
      </c>
      <c r="V62" s="103">
        <v>342</v>
      </c>
      <c r="W62">
        <v>26795</v>
      </c>
      <c r="X62">
        <v>31338</v>
      </c>
      <c r="Y62">
        <v>21565</v>
      </c>
      <c r="Z62">
        <v>28018</v>
      </c>
      <c r="AA62">
        <v>17694</v>
      </c>
      <c r="AB62" s="103">
        <v>23010</v>
      </c>
      <c r="AC62" s="103">
        <v>60680</v>
      </c>
      <c r="AD62" s="103">
        <v>23010</v>
      </c>
      <c r="AE62" s="103">
        <v>12940</v>
      </c>
      <c r="AF62" s="102">
        <v>3.1601931151442209</v>
      </c>
      <c r="AG62" s="102">
        <v>4.6817675779914386E-2</v>
      </c>
      <c r="AH62" s="102">
        <v>0.11871624929906863</v>
      </c>
      <c r="AI62" s="102">
        <v>1.0199565080624204</v>
      </c>
      <c r="AJ62" s="102">
        <v>2.1469248464789308</v>
      </c>
      <c r="AK62" s="102">
        <v>0.70059307684943306</v>
      </c>
      <c r="AL62" s="102">
        <v>1.5583597795314359</v>
      </c>
      <c r="AM62" s="102">
        <v>0.78252400946428324</v>
      </c>
      <c r="AN62" s="102">
        <v>0.19395894251678816</v>
      </c>
      <c r="AO62" s="102">
        <v>0.42135908201922945</v>
      </c>
      <c r="AP62" s="102">
        <v>0.12206036899763394</v>
      </c>
      <c r="AQ62" s="102">
        <v>0.38457376533501103</v>
      </c>
      <c r="AR62" s="102">
        <v>1.3376478794261253E-2</v>
      </c>
      <c r="AS62" s="102">
        <v>0.34277226910294462</v>
      </c>
      <c r="AT62" s="102">
        <v>1.2239478096749046</v>
      </c>
      <c r="AU62" s="102">
        <v>2.0700100934119288</v>
      </c>
      <c r="AV62" s="102">
        <v>0.21067954100961472</v>
      </c>
      <c r="AW62" s="102">
        <v>0.80091666780639248</v>
      </c>
      <c r="AX62" s="102">
        <v>0.73737839353365153</v>
      </c>
      <c r="AY62" s="102">
        <v>0.76413135112217412</v>
      </c>
    </row>
    <row r="63" spans="1:51" s="103" customFormat="1">
      <c r="A63" s="103" t="s">
        <v>311</v>
      </c>
      <c r="T63" s="103">
        <f t="shared" si="0"/>
        <v>0</v>
      </c>
      <c r="U63" s="103" t="s">
        <v>268</v>
      </c>
      <c r="V63" s="103">
        <v>1241</v>
      </c>
      <c r="W63"/>
      <c r="X63"/>
      <c r="Y63"/>
      <c r="Z63"/>
      <c r="AA63"/>
      <c r="AB63" s="103">
        <v>0</v>
      </c>
      <c r="AC63" s="103">
        <v>0</v>
      </c>
      <c r="AD63" s="103">
        <v>0</v>
      </c>
      <c r="AE63" s="103">
        <v>0</v>
      </c>
      <c r="AF63" s="102" t="e">
        <v>#N/A</v>
      </c>
      <c r="AG63" s="102" t="e">
        <v>#N/A</v>
      </c>
      <c r="AH63" s="102" t="e">
        <v>#N/A</v>
      </c>
      <c r="AI63" s="102" t="e">
        <v>#N/A</v>
      </c>
      <c r="AJ63" s="102" t="e">
        <v>#N/A</v>
      </c>
      <c r="AK63" s="102" t="e">
        <v>#N/A</v>
      </c>
      <c r="AL63" s="102" t="e">
        <v>#N/A</v>
      </c>
      <c r="AM63" s="102" t="e">
        <v>#N/A</v>
      </c>
      <c r="AN63" s="102" t="e">
        <v>#N/A</v>
      </c>
      <c r="AO63" s="102" t="e">
        <v>#N/A</v>
      </c>
      <c r="AP63" s="102" t="e">
        <v>#N/A</v>
      </c>
      <c r="AQ63" s="102" t="e">
        <v>#N/A</v>
      </c>
      <c r="AR63" s="102" t="e">
        <v>#N/A</v>
      </c>
      <c r="AS63" s="102" t="e">
        <v>#N/A</v>
      </c>
      <c r="AT63" s="102" t="e">
        <v>#N/A</v>
      </c>
      <c r="AU63" s="102" t="e">
        <v>#N/A</v>
      </c>
      <c r="AV63" s="102" t="e">
        <v>#N/A</v>
      </c>
      <c r="AW63" s="102" t="e">
        <v>#N/A</v>
      </c>
      <c r="AX63" s="102" t="e">
        <v>#N/A</v>
      </c>
      <c r="AY63" s="102" t="e">
        <v>#N/A</v>
      </c>
    </row>
    <row r="64" spans="1:51" s="103" customFormat="1">
      <c r="A64" s="103" t="s">
        <v>205</v>
      </c>
      <c r="B64" s="103">
        <v>985</v>
      </c>
      <c r="C64" s="103">
        <v>980</v>
      </c>
      <c r="D64" s="103">
        <v>2.5</v>
      </c>
      <c r="E64" s="103">
        <v>43756</v>
      </c>
      <c r="F64" s="103">
        <v>0</v>
      </c>
      <c r="G64" s="103">
        <v>210</v>
      </c>
      <c r="H64" s="103">
        <v>75</v>
      </c>
      <c r="I64" s="103">
        <v>80</v>
      </c>
      <c r="J64" s="103">
        <v>7.1</v>
      </c>
      <c r="K64" s="103">
        <v>26.2</v>
      </c>
      <c r="L64" s="103">
        <v>57.1</v>
      </c>
      <c r="M64" s="103">
        <v>32.1</v>
      </c>
      <c r="N64" s="103">
        <v>42.2</v>
      </c>
      <c r="O64" s="103">
        <v>55</v>
      </c>
      <c r="P64" s="103">
        <v>10</v>
      </c>
      <c r="Q64" s="103">
        <v>40</v>
      </c>
      <c r="R64" s="103">
        <v>20</v>
      </c>
      <c r="T64" s="103" t="str">
        <f t="shared" si="0"/>
        <v>Chemawawin Cree Nation</v>
      </c>
      <c r="U64" s="103" t="s">
        <v>269</v>
      </c>
      <c r="V64" s="103">
        <v>1377</v>
      </c>
      <c r="W64">
        <v>20248</v>
      </c>
      <c r="X64">
        <v>21610</v>
      </c>
      <c r="Y64">
        <v>18693</v>
      </c>
      <c r="Z64">
        <v>14448</v>
      </c>
      <c r="AA64">
        <v>16224</v>
      </c>
      <c r="AB64" s="103">
        <v>415</v>
      </c>
      <c r="AC64" s="103">
        <v>530</v>
      </c>
      <c r="AD64" s="103">
        <v>100</v>
      </c>
      <c r="AE64" s="103">
        <v>10</v>
      </c>
      <c r="AF64" s="102">
        <v>0.52878892733564009</v>
      </c>
      <c r="AG64" s="102">
        <v>0</v>
      </c>
      <c r="AH64" s="102">
        <v>0.52878892733564009</v>
      </c>
      <c r="AI64" s="102">
        <v>1.5863667820069205</v>
      </c>
      <c r="AJ64" s="102">
        <v>0</v>
      </c>
      <c r="AK64" s="102">
        <v>0</v>
      </c>
      <c r="AL64" s="102">
        <v>1.0575778546712802</v>
      </c>
      <c r="AM64" s="102">
        <v>0.52878892733564009</v>
      </c>
      <c r="AN64" s="102">
        <v>0</v>
      </c>
      <c r="AO64" s="102">
        <v>0</v>
      </c>
      <c r="AP64" s="102">
        <v>0</v>
      </c>
      <c r="AQ64" s="102">
        <v>0</v>
      </c>
      <c r="AR64" s="102">
        <v>0</v>
      </c>
      <c r="AS64" s="102">
        <v>1.0575778546712802</v>
      </c>
      <c r="AT64" s="102">
        <v>2.3795501730103807</v>
      </c>
      <c r="AU64" s="102">
        <v>1.5863667820069205</v>
      </c>
      <c r="AV64" s="102">
        <v>0</v>
      </c>
      <c r="AW64" s="102">
        <v>0.52878892733564009</v>
      </c>
      <c r="AX64" s="102">
        <v>0</v>
      </c>
      <c r="AY64" s="102">
        <v>4.2303114186851207</v>
      </c>
    </row>
    <row r="65" spans="1:51">
      <c r="A65" s="102" t="s">
        <v>312</v>
      </c>
      <c r="B65" s="102">
        <v>975</v>
      </c>
      <c r="C65" s="102">
        <v>975</v>
      </c>
      <c r="D65" s="102">
        <v>1.5</v>
      </c>
      <c r="E65" s="102">
        <v>79708</v>
      </c>
      <c r="F65" s="102">
        <v>10.6</v>
      </c>
      <c r="G65" s="102">
        <v>395</v>
      </c>
      <c r="H65" s="102">
        <v>140</v>
      </c>
      <c r="I65" s="102">
        <v>65</v>
      </c>
      <c r="J65" s="102">
        <v>38</v>
      </c>
      <c r="K65" s="102">
        <v>62</v>
      </c>
      <c r="L65" s="102">
        <v>80.099999999999994</v>
      </c>
      <c r="M65" s="102">
        <v>67.8</v>
      </c>
      <c r="N65" s="102">
        <v>14.5</v>
      </c>
      <c r="O65" s="102">
        <v>135</v>
      </c>
      <c r="P65" s="102">
        <v>125</v>
      </c>
      <c r="Q65" s="102">
        <v>70</v>
      </c>
      <c r="R65" s="102">
        <v>95</v>
      </c>
      <c r="T65" s="102">
        <f t="shared" si="0"/>
        <v>0</v>
      </c>
      <c r="U65" s="102" t="s">
        <v>270</v>
      </c>
      <c r="V65" s="103">
        <v>658</v>
      </c>
      <c r="W65">
        <v>35142</v>
      </c>
      <c r="X65">
        <v>38871</v>
      </c>
      <c r="Y65">
        <v>30940</v>
      </c>
      <c r="Z65">
        <v>38248</v>
      </c>
      <c r="AA65">
        <v>22934</v>
      </c>
      <c r="AB65" s="102">
        <v>250</v>
      </c>
      <c r="AC65" s="102">
        <v>660</v>
      </c>
      <c r="AD65" s="102">
        <v>230</v>
      </c>
      <c r="AE65" s="102">
        <v>60</v>
      </c>
      <c r="AF65" s="102">
        <v>0</v>
      </c>
      <c r="AG65" s="102">
        <v>0</v>
      </c>
      <c r="AH65" s="102">
        <v>0</v>
      </c>
      <c r="AI65" s="102">
        <v>0.28925206281607668</v>
      </c>
      <c r="AJ65" s="102">
        <v>0.433878094224115</v>
      </c>
      <c r="AK65" s="102">
        <v>0.433878094224115</v>
      </c>
      <c r="AL65" s="102">
        <v>2.6032685653446901</v>
      </c>
      <c r="AM65" s="102">
        <v>3.0371466595688048</v>
      </c>
      <c r="AN65" s="102">
        <v>0</v>
      </c>
      <c r="AO65" s="102">
        <v>0</v>
      </c>
      <c r="AP65" s="102">
        <v>0.28925206281607668</v>
      </c>
      <c r="AQ65" s="102">
        <v>0</v>
      </c>
      <c r="AR65" s="102">
        <v>0</v>
      </c>
      <c r="AS65" s="102">
        <v>0.72313015704019168</v>
      </c>
      <c r="AT65" s="102">
        <v>1.0123822198562684</v>
      </c>
      <c r="AU65" s="102">
        <v>2.7478945967527282</v>
      </c>
      <c r="AV65" s="102">
        <v>0.433878094224115</v>
      </c>
      <c r="AW65" s="102">
        <v>1.73551237689646</v>
      </c>
      <c r="AX65" s="102">
        <v>0.433878094224115</v>
      </c>
      <c r="AY65" s="102">
        <v>1.73551237689646</v>
      </c>
    </row>
    <row r="66" spans="1:51" s="103" customFormat="1">
      <c r="A66" s="103" t="s">
        <v>710</v>
      </c>
      <c r="B66" s="103">
        <v>330</v>
      </c>
      <c r="C66" s="103">
        <v>330</v>
      </c>
      <c r="D66" s="103">
        <v>1.6</v>
      </c>
      <c r="E66" s="103">
        <v>36018</v>
      </c>
      <c r="F66" s="103">
        <v>0</v>
      </c>
      <c r="G66" s="103">
        <v>120</v>
      </c>
      <c r="H66" s="103">
        <v>45</v>
      </c>
      <c r="I66" s="103">
        <v>20</v>
      </c>
      <c r="J66" s="103">
        <v>0</v>
      </c>
      <c r="K66" s="103">
        <v>16.7</v>
      </c>
      <c r="L66" s="103">
        <v>46</v>
      </c>
      <c r="M66" s="103">
        <v>32</v>
      </c>
      <c r="N66" s="103">
        <v>30.4</v>
      </c>
      <c r="O66" s="103">
        <v>20</v>
      </c>
      <c r="P66" s="103">
        <v>15</v>
      </c>
      <c r="Q66" s="103">
        <v>15</v>
      </c>
      <c r="R66" s="103">
        <v>20</v>
      </c>
      <c r="T66" s="103">
        <f t="shared" si="0"/>
        <v>0</v>
      </c>
      <c r="U66" s="103" t="s">
        <v>261</v>
      </c>
      <c r="V66" s="103">
        <v>3027</v>
      </c>
      <c r="W66">
        <v>15545</v>
      </c>
      <c r="X66">
        <v>13597</v>
      </c>
      <c r="Y66">
        <v>17740</v>
      </c>
      <c r="Z66">
        <v>8160</v>
      </c>
      <c r="AA66">
        <v>12875</v>
      </c>
      <c r="AB66" s="103">
        <v>90</v>
      </c>
      <c r="AC66" s="103">
        <v>235</v>
      </c>
      <c r="AD66" s="103">
        <v>90</v>
      </c>
      <c r="AE66" s="103">
        <v>30</v>
      </c>
      <c r="AF66" s="102">
        <v>0</v>
      </c>
      <c r="AG66" s="102">
        <v>0</v>
      </c>
      <c r="AH66" s="102">
        <v>0</v>
      </c>
      <c r="AI66" s="102">
        <v>1.4714126673687378</v>
      </c>
      <c r="AJ66" s="102">
        <v>0</v>
      </c>
      <c r="AK66" s="102">
        <v>0</v>
      </c>
      <c r="AL66" s="102">
        <v>1.4714126673687378</v>
      </c>
      <c r="AM66" s="102">
        <v>0</v>
      </c>
      <c r="AN66" s="102">
        <v>0</v>
      </c>
      <c r="AO66" s="102">
        <v>0</v>
      </c>
      <c r="AP66" s="102">
        <v>0</v>
      </c>
      <c r="AQ66" s="102">
        <v>0</v>
      </c>
      <c r="AR66" s="102">
        <v>0</v>
      </c>
      <c r="AS66" s="102">
        <v>1.4714126673687378</v>
      </c>
      <c r="AT66" s="102">
        <v>3.6785316684218445</v>
      </c>
      <c r="AU66" s="102">
        <v>2.2071190010531065</v>
      </c>
      <c r="AV66" s="102">
        <v>0</v>
      </c>
      <c r="AW66" s="102">
        <v>1.4714126673687378</v>
      </c>
      <c r="AX66" s="102">
        <v>0</v>
      </c>
      <c r="AY66" s="102">
        <v>4.4142380021062131</v>
      </c>
    </row>
    <row r="67" spans="1:51" s="103" customFormat="1">
      <c r="A67" s="103" t="s">
        <v>730</v>
      </c>
      <c r="B67" s="103">
        <v>975</v>
      </c>
      <c r="C67" s="103">
        <v>975</v>
      </c>
      <c r="D67" s="103">
        <v>1.5</v>
      </c>
      <c r="E67" s="103">
        <v>79708</v>
      </c>
      <c r="F67" s="103">
        <v>12.5</v>
      </c>
      <c r="G67" s="103">
        <v>395</v>
      </c>
      <c r="H67" s="103">
        <v>135</v>
      </c>
      <c r="I67" s="103">
        <v>65</v>
      </c>
      <c r="J67" s="103">
        <v>39.200000000000003</v>
      </c>
      <c r="K67" s="103">
        <v>60.8</v>
      </c>
      <c r="L67" s="103">
        <v>79.599999999999994</v>
      </c>
      <c r="M67" s="103">
        <v>67.3</v>
      </c>
      <c r="N67" s="103">
        <v>14.5</v>
      </c>
      <c r="O67" s="103">
        <v>125</v>
      </c>
      <c r="P67" s="103">
        <v>125</v>
      </c>
      <c r="Q67" s="103">
        <v>70</v>
      </c>
      <c r="R67" s="103">
        <v>95</v>
      </c>
      <c r="T67" s="103">
        <f t="shared" ref="T67:T131" si="1">IFERROR(VLOOKUP(A67,$U$12:$U$74,1,0),0)</f>
        <v>0</v>
      </c>
      <c r="U67" s="105" t="s">
        <v>272</v>
      </c>
      <c r="V67" s="103">
        <v>691</v>
      </c>
      <c r="W67">
        <v>35142</v>
      </c>
      <c r="X67">
        <v>38871</v>
      </c>
      <c r="Y67">
        <v>30940</v>
      </c>
      <c r="Z67">
        <v>38248</v>
      </c>
      <c r="AA67">
        <v>22934</v>
      </c>
      <c r="AB67" s="103">
        <v>245</v>
      </c>
      <c r="AC67" s="103">
        <v>660</v>
      </c>
      <c r="AD67" s="103">
        <v>235</v>
      </c>
      <c r="AE67" s="103">
        <v>55</v>
      </c>
      <c r="AF67" s="102">
        <v>0</v>
      </c>
      <c r="AG67" s="102">
        <v>0</v>
      </c>
      <c r="AH67" s="102">
        <v>0</v>
      </c>
      <c r="AI67" s="102">
        <v>0.28925206281607668</v>
      </c>
      <c r="AJ67" s="102">
        <v>0.433878094224115</v>
      </c>
      <c r="AK67" s="102">
        <v>0.57850412563215337</v>
      </c>
      <c r="AL67" s="102">
        <v>2.7478945967527282</v>
      </c>
      <c r="AM67" s="102">
        <v>3.0371466595688048</v>
      </c>
      <c r="AN67" s="102">
        <v>0</v>
      </c>
      <c r="AO67" s="102">
        <v>0</v>
      </c>
      <c r="AP67" s="102">
        <v>0.433878094224115</v>
      </c>
      <c r="AQ67" s="102">
        <v>0.28925206281607668</v>
      </c>
      <c r="AR67" s="102">
        <v>0</v>
      </c>
      <c r="AS67" s="102">
        <v>0.72313015704019168</v>
      </c>
      <c r="AT67" s="102">
        <v>1.0123822198562684</v>
      </c>
      <c r="AU67" s="102">
        <v>2.8925206281607667</v>
      </c>
      <c r="AV67" s="102">
        <v>0.57850412563215337</v>
      </c>
      <c r="AW67" s="102">
        <v>1.73551237689646</v>
      </c>
      <c r="AX67" s="102">
        <v>0.57850412563215337</v>
      </c>
      <c r="AY67" s="102">
        <v>1.73551237689646</v>
      </c>
    </row>
    <row r="68" spans="1:51">
      <c r="A68" s="102" t="s">
        <v>674</v>
      </c>
      <c r="B68" s="102">
        <v>495</v>
      </c>
      <c r="C68" s="102">
        <v>495</v>
      </c>
      <c r="D68" s="102">
        <v>0.9</v>
      </c>
      <c r="E68" s="102">
        <v>70809</v>
      </c>
      <c r="F68" s="102">
        <v>6.7</v>
      </c>
      <c r="G68" s="102">
        <v>220</v>
      </c>
      <c r="H68" s="102">
        <v>80</v>
      </c>
      <c r="I68" s="102">
        <v>20</v>
      </c>
      <c r="J68" s="102">
        <v>93.2</v>
      </c>
      <c r="K68" s="102">
        <v>4.5</v>
      </c>
      <c r="L68" s="102">
        <v>67.400000000000006</v>
      </c>
      <c r="M68" s="102">
        <v>66.3</v>
      </c>
      <c r="N68" s="102">
        <v>3.2</v>
      </c>
      <c r="O68" s="102">
        <v>100</v>
      </c>
      <c r="P68" s="102">
        <v>30</v>
      </c>
      <c r="Q68" s="102">
        <v>65</v>
      </c>
      <c r="R68" s="102">
        <v>120</v>
      </c>
      <c r="T68" s="102">
        <f t="shared" si="1"/>
        <v>0</v>
      </c>
      <c r="U68" s="102" t="s">
        <v>273</v>
      </c>
      <c r="V68" s="103">
        <v>2169</v>
      </c>
      <c r="W68">
        <v>24804</v>
      </c>
      <c r="X68">
        <v>31056</v>
      </c>
      <c r="Y68">
        <v>17558</v>
      </c>
      <c r="Z68">
        <v>33737</v>
      </c>
      <c r="AA68">
        <v>16226</v>
      </c>
      <c r="AB68" s="102">
        <v>20</v>
      </c>
      <c r="AC68" s="102">
        <v>365</v>
      </c>
      <c r="AD68" s="102">
        <v>195</v>
      </c>
      <c r="AE68" s="102">
        <v>100</v>
      </c>
      <c r="AF68" s="102">
        <v>4.9126197120214314</v>
      </c>
      <c r="AG68" s="102">
        <v>0</v>
      </c>
      <c r="AH68" s="102">
        <v>0</v>
      </c>
      <c r="AI68" s="102">
        <v>0.81876995200357183</v>
      </c>
      <c r="AJ68" s="102">
        <v>0</v>
      </c>
      <c r="AK68" s="102">
        <v>0.81876995200357183</v>
      </c>
      <c r="AL68" s="102">
        <v>1.6375399040071437</v>
      </c>
      <c r="AM68" s="102">
        <v>1.0916932693380959</v>
      </c>
      <c r="AN68" s="102">
        <v>0</v>
      </c>
      <c r="AO68" s="102">
        <v>0.54584663466904793</v>
      </c>
      <c r="AP68" s="102">
        <v>0.54584663466904793</v>
      </c>
      <c r="AQ68" s="102">
        <v>0.54584663466904793</v>
      </c>
      <c r="AR68" s="102">
        <v>0</v>
      </c>
      <c r="AS68" s="102">
        <v>0.54584663466904793</v>
      </c>
      <c r="AT68" s="102">
        <v>0.81876995200357183</v>
      </c>
      <c r="AU68" s="102">
        <v>3.5480031253488113</v>
      </c>
      <c r="AV68" s="102">
        <v>0</v>
      </c>
      <c r="AW68" s="102">
        <v>0.54584663466904793</v>
      </c>
      <c r="AX68" s="102">
        <v>1.3646165866726196</v>
      </c>
      <c r="AY68" s="102">
        <v>0.54584663466904793</v>
      </c>
    </row>
    <row r="69" spans="1:51" s="103" customFormat="1">
      <c r="A69" s="103" t="s">
        <v>313</v>
      </c>
      <c r="T69" s="103">
        <f t="shared" si="1"/>
        <v>0</v>
      </c>
      <c r="U69" s="103" t="s">
        <v>275</v>
      </c>
      <c r="V69" s="103">
        <v>577</v>
      </c>
      <c r="W69"/>
      <c r="X69"/>
      <c r="Y69"/>
      <c r="Z69"/>
      <c r="AA69"/>
      <c r="AB69" s="103">
        <v>0</v>
      </c>
      <c r="AC69" s="103">
        <v>0</v>
      </c>
      <c r="AD69" s="103">
        <v>0</v>
      </c>
      <c r="AE69" s="103">
        <v>0</v>
      </c>
      <c r="AF69" s="102" t="e">
        <v>#N/A</v>
      </c>
      <c r="AG69" s="102" t="e">
        <v>#N/A</v>
      </c>
      <c r="AH69" s="102" t="e">
        <v>#N/A</v>
      </c>
      <c r="AI69" s="102" t="e">
        <v>#N/A</v>
      </c>
      <c r="AJ69" s="102" t="e">
        <v>#N/A</v>
      </c>
      <c r="AK69" s="102" t="e">
        <v>#N/A</v>
      </c>
      <c r="AL69" s="102" t="e">
        <v>#N/A</v>
      </c>
      <c r="AM69" s="102" t="e">
        <v>#N/A</v>
      </c>
      <c r="AN69" s="102" t="e">
        <v>#N/A</v>
      </c>
      <c r="AO69" s="102" t="e">
        <v>#N/A</v>
      </c>
      <c r="AP69" s="102" t="e">
        <v>#N/A</v>
      </c>
      <c r="AQ69" s="102" t="e">
        <v>#N/A</v>
      </c>
      <c r="AR69" s="102" t="e">
        <v>#N/A</v>
      </c>
      <c r="AS69" s="102" t="e">
        <v>#N/A</v>
      </c>
      <c r="AT69" s="102" t="e">
        <v>#N/A</v>
      </c>
      <c r="AU69" s="102" t="e">
        <v>#N/A</v>
      </c>
      <c r="AV69" s="102" t="e">
        <v>#N/A</v>
      </c>
      <c r="AW69" s="102" t="e">
        <v>#N/A</v>
      </c>
      <c r="AX69" s="102" t="e">
        <v>#N/A</v>
      </c>
      <c r="AY69" s="102" t="e">
        <v>#N/A</v>
      </c>
    </row>
    <row r="70" spans="1:51" s="103" customFormat="1">
      <c r="A70" s="103" t="s">
        <v>688</v>
      </c>
      <c r="B70" s="103">
        <v>1315</v>
      </c>
      <c r="C70" s="103">
        <v>1320</v>
      </c>
      <c r="D70" s="103">
        <v>1.1000000000000001</v>
      </c>
      <c r="E70" s="103">
        <v>53874</v>
      </c>
      <c r="F70" s="103">
        <v>13.5</v>
      </c>
      <c r="G70" s="103">
        <v>550</v>
      </c>
      <c r="H70" s="103">
        <v>200</v>
      </c>
      <c r="I70" s="103">
        <v>90</v>
      </c>
      <c r="J70" s="103">
        <v>81.8</v>
      </c>
      <c r="K70" s="103">
        <v>18.2</v>
      </c>
      <c r="L70" s="103">
        <v>70.099999999999994</v>
      </c>
      <c r="M70" s="103">
        <v>65.900000000000006</v>
      </c>
      <c r="N70" s="103">
        <v>6.8</v>
      </c>
      <c r="O70" s="103">
        <v>205</v>
      </c>
      <c r="P70" s="103">
        <v>140</v>
      </c>
      <c r="Q70" s="103">
        <v>195</v>
      </c>
      <c r="R70" s="103">
        <v>60</v>
      </c>
      <c r="T70" s="103">
        <f t="shared" si="1"/>
        <v>0</v>
      </c>
      <c r="U70" s="103" t="s">
        <v>276</v>
      </c>
      <c r="V70" s="103">
        <v>125</v>
      </c>
      <c r="W70">
        <v>25131</v>
      </c>
      <c r="X70">
        <v>28988</v>
      </c>
      <c r="Y70">
        <v>21012</v>
      </c>
      <c r="Z70">
        <v>20947</v>
      </c>
      <c r="AA70">
        <v>16340</v>
      </c>
      <c r="AB70" s="103">
        <v>250</v>
      </c>
      <c r="AC70" s="103">
        <v>855</v>
      </c>
      <c r="AD70" s="103">
        <v>395</v>
      </c>
      <c r="AE70" s="103">
        <v>200</v>
      </c>
      <c r="AF70" s="102">
        <v>2.9726512671841392</v>
      </c>
      <c r="AG70" s="102">
        <v>0</v>
      </c>
      <c r="AH70" s="102">
        <v>0.91466192836435056</v>
      </c>
      <c r="AI70" s="102">
        <v>3.5443149724118581</v>
      </c>
      <c r="AJ70" s="102">
        <v>0</v>
      </c>
      <c r="AK70" s="102">
        <v>0</v>
      </c>
      <c r="AL70" s="102">
        <v>1.3719928925465259</v>
      </c>
      <c r="AM70" s="102">
        <v>0</v>
      </c>
      <c r="AN70" s="102">
        <v>0.45733096418217528</v>
      </c>
      <c r="AO70" s="102">
        <v>0.22866548209108764</v>
      </c>
      <c r="AP70" s="102">
        <v>0</v>
      </c>
      <c r="AQ70" s="102">
        <v>0.22866548209108764</v>
      </c>
      <c r="AR70" s="102">
        <v>0</v>
      </c>
      <c r="AS70" s="102">
        <v>0.34299822313663147</v>
      </c>
      <c r="AT70" s="102">
        <v>1.3719928925465259</v>
      </c>
      <c r="AU70" s="102">
        <v>1.943656597774245</v>
      </c>
      <c r="AV70" s="102">
        <v>0.68599644627326295</v>
      </c>
      <c r="AW70" s="102">
        <v>1.3719928925465259</v>
      </c>
      <c r="AX70" s="102">
        <v>0.68599644627326295</v>
      </c>
      <c r="AY70" s="102">
        <v>0.57166370522771914</v>
      </c>
    </row>
    <row r="71" spans="1:51" s="103" customFormat="1">
      <c r="A71" s="103" t="s">
        <v>315</v>
      </c>
      <c r="B71" s="103">
        <v>334</v>
      </c>
      <c r="T71" s="103">
        <f t="shared" si="1"/>
        <v>0</v>
      </c>
      <c r="U71" s="103" t="s">
        <v>277</v>
      </c>
      <c r="V71" s="103">
        <v>1486</v>
      </c>
      <c r="W71"/>
      <c r="X71"/>
      <c r="Y71"/>
      <c r="Z71"/>
      <c r="AA71"/>
      <c r="AB71" s="103">
        <v>0</v>
      </c>
      <c r="AC71" s="103">
        <v>0</v>
      </c>
      <c r="AD71" s="103">
        <v>0</v>
      </c>
      <c r="AE71" s="103">
        <v>0</v>
      </c>
      <c r="AF71" s="102" t="e">
        <v>#N/A</v>
      </c>
      <c r="AG71" s="102" t="e">
        <v>#N/A</v>
      </c>
      <c r="AH71" s="102" t="e">
        <v>#N/A</v>
      </c>
      <c r="AI71" s="102" t="e">
        <v>#N/A</v>
      </c>
      <c r="AJ71" s="102" t="e">
        <v>#N/A</v>
      </c>
      <c r="AK71" s="102" t="e">
        <v>#N/A</v>
      </c>
      <c r="AL71" s="102" t="e">
        <v>#N/A</v>
      </c>
      <c r="AM71" s="102" t="e">
        <v>#N/A</v>
      </c>
      <c r="AN71" s="102" t="e">
        <v>#N/A</v>
      </c>
      <c r="AO71" s="102" t="e">
        <v>#N/A</v>
      </c>
      <c r="AP71" s="102" t="e">
        <v>#N/A</v>
      </c>
      <c r="AQ71" s="102" t="e">
        <v>#N/A</v>
      </c>
      <c r="AR71" s="102" t="e">
        <v>#N/A</v>
      </c>
      <c r="AS71" s="102" t="e">
        <v>#N/A</v>
      </c>
      <c r="AT71" s="102" t="e">
        <v>#N/A</v>
      </c>
      <c r="AU71" s="102" t="e">
        <v>#N/A</v>
      </c>
      <c r="AV71" s="102" t="e">
        <v>#N/A</v>
      </c>
      <c r="AW71" s="102" t="e">
        <v>#N/A</v>
      </c>
      <c r="AX71" s="102" t="e">
        <v>#N/A</v>
      </c>
      <c r="AY71" s="102" t="e">
        <v>#N/A</v>
      </c>
    </row>
    <row r="72" spans="1:51">
      <c r="A72" s="102" t="s">
        <v>636</v>
      </c>
      <c r="B72" s="102">
        <v>4055</v>
      </c>
      <c r="C72" s="102">
        <v>3980</v>
      </c>
      <c r="D72" s="102">
        <v>1.1000000000000001</v>
      </c>
      <c r="E72" s="102">
        <v>72858</v>
      </c>
      <c r="F72" s="102">
        <v>6.1</v>
      </c>
      <c r="G72" s="102">
        <v>1460</v>
      </c>
      <c r="H72" s="102">
        <v>515</v>
      </c>
      <c r="I72" s="102">
        <v>145</v>
      </c>
      <c r="J72" s="102">
        <v>65.099999999999994</v>
      </c>
      <c r="K72" s="102">
        <v>34.9</v>
      </c>
      <c r="L72" s="102">
        <v>78.2</v>
      </c>
      <c r="M72" s="102">
        <v>75.8</v>
      </c>
      <c r="N72" s="102">
        <v>3</v>
      </c>
      <c r="O72" s="102">
        <v>1070</v>
      </c>
      <c r="P72" s="102">
        <v>435</v>
      </c>
      <c r="Q72" s="102">
        <v>585</v>
      </c>
      <c r="R72" s="102">
        <v>345</v>
      </c>
      <c r="T72" s="102">
        <f t="shared" si="1"/>
        <v>0</v>
      </c>
      <c r="U72" s="102" t="s">
        <v>279</v>
      </c>
      <c r="V72" s="103">
        <v>1337</v>
      </c>
      <c r="W72">
        <v>32593</v>
      </c>
      <c r="X72">
        <v>40649</v>
      </c>
      <c r="Y72">
        <v>23119</v>
      </c>
      <c r="Z72">
        <v>44164</v>
      </c>
      <c r="AA72">
        <v>19686</v>
      </c>
      <c r="AB72" s="102">
        <v>900</v>
      </c>
      <c r="AC72" s="102">
        <v>2815</v>
      </c>
      <c r="AD72" s="102">
        <v>925</v>
      </c>
      <c r="AE72" s="102">
        <v>320</v>
      </c>
      <c r="AF72" s="102">
        <v>1.1646201476542033</v>
      </c>
      <c r="AG72" s="102">
        <v>0.10276060126360619</v>
      </c>
      <c r="AH72" s="102">
        <v>0.17126766877267696</v>
      </c>
      <c r="AI72" s="102">
        <v>0.34253533754535392</v>
      </c>
      <c r="AJ72" s="102">
        <v>1.1303666138996682</v>
      </c>
      <c r="AK72" s="102">
        <v>0.51380300631803089</v>
      </c>
      <c r="AL72" s="102">
        <v>1.301634282672345</v>
      </c>
      <c r="AM72" s="102">
        <v>1.1988736814087388</v>
      </c>
      <c r="AN72" s="102">
        <v>0.44529593880896007</v>
      </c>
      <c r="AO72" s="102">
        <v>0.23977473628174775</v>
      </c>
      <c r="AP72" s="102">
        <v>0.23977473628174775</v>
      </c>
      <c r="AQ72" s="102">
        <v>0.30828180379081854</v>
      </c>
      <c r="AR72" s="102">
        <v>0</v>
      </c>
      <c r="AS72" s="102">
        <v>0.30828180379081854</v>
      </c>
      <c r="AT72" s="102">
        <v>1.301634282672345</v>
      </c>
      <c r="AU72" s="102">
        <v>1.644169620217699</v>
      </c>
      <c r="AV72" s="102">
        <v>0.20552120252721237</v>
      </c>
      <c r="AW72" s="102">
        <v>0.85633834386338481</v>
      </c>
      <c r="AX72" s="102">
        <v>0.58231007382710165</v>
      </c>
      <c r="AY72" s="102">
        <v>4.6927341243713494</v>
      </c>
    </row>
    <row r="73" spans="1:51" s="103" customFormat="1">
      <c r="A73" s="103" t="s">
        <v>314</v>
      </c>
      <c r="T73" s="103">
        <f t="shared" si="1"/>
        <v>0</v>
      </c>
      <c r="U73" s="103" t="s">
        <v>551</v>
      </c>
      <c r="V73" s="103">
        <v>179</v>
      </c>
      <c r="W73"/>
      <c r="X73"/>
      <c r="Y73"/>
      <c r="Z73"/>
      <c r="AA73"/>
      <c r="AB73" s="103">
        <v>0</v>
      </c>
      <c r="AC73" s="103">
        <v>0</v>
      </c>
      <c r="AD73" s="103">
        <v>0</v>
      </c>
      <c r="AE73" s="103">
        <v>0</v>
      </c>
      <c r="AF73" s="102" t="e">
        <v>#N/A</v>
      </c>
      <c r="AG73" s="102" t="e">
        <v>#N/A</v>
      </c>
      <c r="AH73" s="102" t="e">
        <v>#N/A</v>
      </c>
      <c r="AI73" s="102" t="e">
        <v>#N/A</v>
      </c>
      <c r="AJ73" s="102" t="e">
        <v>#N/A</v>
      </c>
      <c r="AK73" s="102" t="e">
        <v>#N/A</v>
      </c>
      <c r="AL73" s="102" t="e">
        <v>#N/A</v>
      </c>
      <c r="AM73" s="102" t="e">
        <v>#N/A</v>
      </c>
      <c r="AN73" s="102" t="e">
        <v>#N/A</v>
      </c>
      <c r="AO73" s="102" t="e">
        <v>#N/A</v>
      </c>
      <c r="AP73" s="102" t="e">
        <v>#N/A</v>
      </c>
      <c r="AQ73" s="102" t="e">
        <v>#N/A</v>
      </c>
      <c r="AR73" s="102" t="e">
        <v>#N/A</v>
      </c>
      <c r="AS73" s="102" t="e">
        <v>#N/A</v>
      </c>
      <c r="AT73" s="102" t="e">
        <v>#N/A</v>
      </c>
      <c r="AU73" s="102" t="e">
        <v>#N/A</v>
      </c>
      <c r="AV73" s="102" t="e">
        <v>#N/A</v>
      </c>
      <c r="AW73" s="102" t="e">
        <v>#N/A</v>
      </c>
      <c r="AX73" s="102" t="e">
        <v>#N/A</v>
      </c>
      <c r="AY73" s="102" t="e">
        <v>#N/A</v>
      </c>
    </row>
    <row r="74" spans="1:51" s="103" customFormat="1">
      <c r="A74" s="103" t="s">
        <v>316</v>
      </c>
      <c r="T74" s="103">
        <f t="shared" si="1"/>
        <v>0</v>
      </c>
      <c r="U74" s="103" t="s">
        <v>591</v>
      </c>
      <c r="V74" s="103">
        <v>452</v>
      </c>
      <c r="W74"/>
      <c r="X74"/>
      <c r="Y74"/>
      <c r="Z74"/>
      <c r="AA74"/>
      <c r="AB74" s="103">
        <v>0</v>
      </c>
      <c r="AC74" s="103">
        <v>0</v>
      </c>
      <c r="AD74" s="103">
        <v>0</v>
      </c>
      <c r="AE74" s="103">
        <v>0</v>
      </c>
      <c r="AF74" s="102" t="e">
        <v>#N/A</v>
      </c>
      <c r="AG74" s="102" t="e">
        <v>#N/A</v>
      </c>
      <c r="AH74" s="102" t="e">
        <v>#N/A</v>
      </c>
      <c r="AI74" s="102" t="e">
        <v>#N/A</v>
      </c>
      <c r="AJ74" s="102" t="e">
        <v>#N/A</v>
      </c>
      <c r="AK74" s="102" t="e">
        <v>#N/A</v>
      </c>
      <c r="AL74" s="102" t="e">
        <v>#N/A</v>
      </c>
      <c r="AM74" s="102" t="e">
        <v>#N/A</v>
      </c>
      <c r="AN74" s="102" t="e">
        <v>#N/A</v>
      </c>
      <c r="AO74" s="102" t="e">
        <v>#N/A</v>
      </c>
      <c r="AP74" s="102" t="e">
        <v>#N/A</v>
      </c>
      <c r="AQ74" s="102" t="e">
        <v>#N/A</v>
      </c>
      <c r="AR74" s="102" t="e">
        <v>#N/A</v>
      </c>
      <c r="AS74" s="102" t="e">
        <v>#N/A</v>
      </c>
      <c r="AT74" s="102" t="e">
        <v>#N/A</v>
      </c>
      <c r="AU74" s="102" t="e">
        <v>#N/A</v>
      </c>
      <c r="AV74" s="102" t="e">
        <v>#N/A</v>
      </c>
      <c r="AW74" s="102" t="e">
        <v>#N/A</v>
      </c>
      <c r="AX74" s="102" t="e">
        <v>#N/A</v>
      </c>
      <c r="AY74" s="102" t="e">
        <v>#N/A</v>
      </c>
    </row>
    <row r="75" spans="1:51">
      <c r="A75" s="102" t="s">
        <v>206</v>
      </c>
      <c r="B75" s="102">
        <v>162</v>
      </c>
      <c r="T75" s="102">
        <f t="shared" si="1"/>
        <v>0</v>
      </c>
      <c r="W75"/>
      <c r="X75"/>
      <c r="Y75"/>
      <c r="Z75"/>
      <c r="AA75"/>
      <c r="AB75" s="102">
        <v>0</v>
      </c>
      <c r="AC75" s="102">
        <v>0</v>
      </c>
      <c r="AD75" s="102">
        <v>0</v>
      </c>
      <c r="AE75" s="102">
        <v>0</v>
      </c>
      <c r="AF75" s="102" t="e">
        <v>#N/A</v>
      </c>
      <c r="AG75" s="102" t="e">
        <v>#N/A</v>
      </c>
      <c r="AH75" s="102" t="e">
        <v>#N/A</v>
      </c>
      <c r="AI75" s="102" t="e">
        <v>#N/A</v>
      </c>
      <c r="AJ75" s="102" t="e">
        <v>#N/A</v>
      </c>
      <c r="AK75" s="102" t="e">
        <v>#N/A</v>
      </c>
      <c r="AL75" s="102" t="e">
        <v>#N/A</v>
      </c>
      <c r="AM75" s="102" t="e">
        <v>#N/A</v>
      </c>
      <c r="AN75" s="102" t="e">
        <v>#N/A</v>
      </c>
      <c r="AO75" s="102" t="e">
        <v>#N/A</v>
      </c>
      <c r="AP75" s="102" t="e">
        <v>#N/A</v>
      </c>
      <c r="AQ75" s="102" t="e">
        <v>#N/A</v>
      </c>
      <c r="AR75" s="102" t="e">
        <v>#N/A</v>
      </c>
      <c r="AS75" s="102" t="e">
        <v>#N/A</v>
      </c>
      <c r="AT75" s="102" t="e">
        <v>#N/A</v>
      </c>
      <c r="AU75" s="102" t="e">
        <v>#N/A</v>
      </c>
      <c r="AV75" s="102" t="e">
        <v>#N/A</v>
      </c>
      <c r="AW75" s="102" t="e">
        <v>#N/A</v>
      </c>
      <c r="AX75" s="102" t="e">
        <v>#N/A</v>
      </c>
      <c r="AY75" s="102" t="e">
        <v>#N/A</v>
      </c>
    </row>
    <row r="76" spans="1:51">
      <c r="A76" s="102" t="s">
        <v>317</v>
      </c>
      <c r="B76" s="102">
        <v>406</v>
      </c>
      <c r="T76" s="102">
        <f t="shared" si="1"/>
        <v>0</v>
      </c>
      <c r="W76">
        <v>18973</v>
      </c>
      <c r="X76">
        <v>17945</v>
      </c>
      <c r="Y76">
        <v>20259</v>
      </c>
      <c r="Z76">
        <v>5488</v>
      </c>
      <c r="AA76">
        <v>10133</v>
      </c>
      <c r="AB76" s="102">
        <v>515</v>
      </c>
      <c r="AC76" s="102">
        <v>985</v>
      </c>
      <c r="AD76" s="102">
        <v>205</v>
      </c>
      <c r="AE76" s="102">
        <v>75</v>
      </c>
      <c r="AF76" s="102" t="e">
        <v>#N/A</v>
      </c>
      <c r="AG76" s="102" t="e">
        <v>#N/A</v>
      </c>
      <c r="AH76" s="102" t="e">
        <v>#N/A</v>
      </c>
      <c r="AI76" s="102" t="e">
        <v>#N/A</v>
      </c>
      <c r="AJ76" s="102" t="e">
        <v>#N/A</v>
      </c>
      <c r="AK76" s="102" t="e">
        <v>#N/A</v>
      </c>
      <c r="AL76" s="102" t="e">
        <v>#N/A</v>
      </c>
      <c r="AM76" s="102" t="e">
        <v>#N/A</v>
      </c>
      <c r="AN76" s="102" t="e">
        <v>#N/A</v>
      </c>
      <c r="AO76" s="102" t="e">
        <v>#N/A</v>
      </c>
      <c r="AP76" s="102" t="e">
        <v>#N/A</v>
      </c>
      <c r="AQ76" s="102" t="e">
        <v>#N/A</v>
      </c>
      <c r="AR76" s="102" t="e">
        <v>#N/A</v>
      </c>
      <c r="AS76" s="102" t="e">
        <v>#N/A</v>
      </c>
      <c r="AT76" s="102" t="e">
        <v>#N/A</v>
      </c>
      <c r="AU76" s="102" t="e">
        <v>#N/A</v>
      </c>
      <c r="AV76" s="102" t="e">
        <v>#N/A</v>
      </c>
      <c r="AW76" s="102" t="e">
        <v>#N/A</v>
      </c>
      <c r="AX76" s="102" t="e">
        <v>#N/A</v>
      </c>
      <c r="AY76" s="102" t="e">
        <v>#N/A</v>
      </c>
    </row>
    <row r="77" spans="1:51">
      <c r="A77" t="s">
        <v>207</v>
      </c>
      <c r="B77">
        <f>SUM(B78:B80)</f>
        <v>3835</v>
      </c>
      <c r="C77">
        <f>SUM(C78:C80)</f>
        <v>3840</v>
      </c>
      <c r="D77" s="116">
        <f>(D78*$B78+D79*$B79+D80*$B80)/$B77</f>
        <v>2.3748370273794004</v>
      </c>
      <c r="E77" s="117">
        <f>(E78*$B78+E79*$B79+E80*$B80)/$B77</f>
        <v>42381.719687092569</v>
      </c>
      <c r="F77" s="116">
        <f>(F78*$B78+F79*$B79+F80*$B80)/$B77</f>
        <v>0</v>
      </c>
      <c r="G77">
        <f>SUM(G78:G80)</f>
        <v>795</v>
      </c>
      <c r="H77">
        <f>SUM(H78:H80)</f>
        <v>185</v>
      </c>
      <c r="I77">
        <f>SUM(I78:I80)</f>
        <v>470</v>
      </c>
      <c r="J77" s="116">
        <f>(J78*$B78+J79*$B79+J80*$B80)/$B77</f>
        <v>7.6140808344198172</v>
      </c>
      <c r="K77" s="116">
        <f>(K78*$B78+K79*$B79+K80*$B80)/$B77</f>
        <v>6.153063885267275</v>
      </c>
      <c r="L77" s="116">
        <f>(L78*$B78+L79*$B79+L80*$B80)/$B77</f>
        <v>42.790091264667538</v>
      </c>
      <c r="M77" s="116">
        <f>(M78*$B78+M79*$B79+M80*$B80)/$B77</f>
        <v>30.717209908735331</v>
      </c>
      <c r="N77" s="116">
        <f>(N78*$B78+N79*$B79+N80*$B80)/$B77</f>
        <v>28.704563233376792</v>
      </c>
      <c r="O77">
        <f>SUM(O78:O80)</f>
        <v>345</v>
      </c>
      <c r="P77">
        <f>SUM(P78:P80)</f>
        <v>95</v>
      </c>
      <c r="Q77">
        <f>SUM(Q78:Q80)</f>
        <v>180</v>
      </c>
      <c r="R77">
        <f>SUM(R78:R80)</f>
        <v>205</v>
      </c>
      <c r="S77"/>
      <c r="T77" t="str">
        <f t="shared" si="1"/>
        <v>Cross Lake First Nation</v>
      </c>
      <c r="U77"/>
      <c r="V77"/>
      <c r="W77">
        <v>18286.198174706649</v>
      </c>
      <c r="X77">
        <v>17325.705345501956</v>
      </c>
      <c r="Y77">
        <v>19355.306388526729</v>
      </c>
      <c r="Z77">
        <v>5531.0977835723597</v>
      </c>
      <c r="AA77">
        <v>11530.996088657106</v>
      </c>
      <c r="AB77" s="102">
        <v>1430</v>
      </c>
      <c r="AC77" s="102">
        <v>2275</v>
      </c>
      <c r="AD77" s="102">
        <v>475</v>
      </c>
      <c r="AE77" s="102">
        <v>170</v>
      </c>
      <c r="AF77" s="102">
        <v>0.16270428533404313</v>
      </c>
      <c r="AG77" s="102">
        <v>0</v>
      </c>
      <c r="AH77" s="102">
        <v>0.65081714133617252</v>
      </c>
      <c r="AI77" s="102">
        <v>1.1389299973383018</v>
      </c>
      <c r="AJ77" s="102">
        <v>0</v>
      </c>
      <c r="AK77" s="102">
        <v>0</v>
      </c>
      <c r="AL77" s="102">
        <v>1.301634282672345</v>
      </c>
      <c r="AM77" s="102">
        <v>0.48811285600212939</v>
      </c>
      <c r="AN77" s="102">
        <v>0.16270428533404313</v>
      </c>
      <c r="AO77" s="102">
        <v>0</v>
      </c>
      <c r="AP77" s="102">
        <v>0</v>
      </c>
      <c r="AQ77" s="102">
        <v>0</v>
      </c>
      <c r="AR77" s="102">
        <v>0</v>
      </c>
      <c r="AS77" s="102">
        <v>0.16270428533404313</v>
      </c>
      <c r="AT77" s="102">
        <v>3.3354378493478838</v>
      </c>
      <c r="AU77" s="102">
        <v>3.0100292786797977</v>
      </c>
      <c r="AV77" s="102">
        <v>0.16270428533404313</v>
      </c>
      <c r="AW77" s="102">
        <v>0.73216928400319403</v>
      </c>
      <c r="AX77" s="102">
        <v>0.32540857066808626</v>
      </c>
      <c r="AY77" s="102">
        <v>2.2778599946766036</v>
      </c>
    </row>
    <row r="78" spans="1:51" s="103" customFormat="1">
      <c r="A78" s="103" t="s">
        <v>207</v>
      </c>
      <c r="B78" s="103">
        <v>1570</v>
      </c>
      <c r="C78" s="103">
        <v>1575</v>
      </c>
      <c r="D78" s="103">
        <v>2.2999999999999998</v>
      </c>
      <c r="E78" s="103">
        <v>42887</v>
      </c>
      <c r="F78" s="103">
        <v>0</v>
      </c>
      <c r="G78" s="103">
        <v>350</v>
      </c>
      <c r="H78" s="103">
        <v>85</v>
      </c>
      <c r="I78" s="103">
        <v>215</v>
      </c>
      <c r="J78" s="103">
        <v>8.6</v>
      </c>
      <c r="K78" s="103">
        <v>7.1</v>
      </c>
      <c r="L78" s="103">
        <v>48.1</v>
      </c>
      <c r="M78" s="103">
        <v>33.5</v>
      </c>
      <c r="N78" s="103">
        <v>32.4</v>
      </c>
      <c r="O78" s="103">
        <v>155</v>
      </c>
      <c r="P78" s="103">
        <v>45</v>
      </c>
      <c r="Q78" s="103">
        <v>75</v>
      </c>
      <c r="R78" s="103">
        <v>125</v>
      </c>
      <c r="T78" s="103" t="str">
        <f t="shared" si="1"/>
        <v>Cross Lake First Nation</v>
      </c>
      <c r="W78">
        <v>18973</v>
      </c>
      <c r="X78">
        <v>17945</v>
      </c>
      <c r="Y78">
        <v>20259</v>
      </c>
      <c r="Z78">
        <v>5488</v>
      </c>
      <c r="AA78">
        <v>10133</v>
      </c>
      <c r="AB78" s="103">
        <v>515</v>
      </c>
      <c r="AC78" s="103">
        <v>985</v>
      </c>
      <c r="AD78" s="103">
        <v>205</v>
      </c>
      <c r="AE78" s="103">
        <v>75</v>
      </c>
      <c r="AF78" s="102">
        <v>0.16270428533404313</v>
      </c>
      <c r="AG78" s="102">
        <v>0</v>
      </c>
      <c r="AH78" s="102">
        <v>0.65081714133617252</v>
      </c>
      <c r="AI78" s="102">
        <v>1.1389299973383018</v>
      </c>
      <c r="AJ78" s="102">
        <v>0</v>
      </c>
      <c r="AK78" s="102">
        <v>0</v>
      </c>
      <c r="AL78" s="102">
        <v>1.301634282672345</v>
      </c>
      <c r="AM78" s="102">
        <v>0.48811285600212939</v>
      </c>
      <c r="AN78" s="102">
        <v>0.16270428533404313</v>
      </c>
      <c r="AO78" s="102">
        <v>0</v>
      </c>
      <c r="AP78" s="102">
        <v>0</v>
      </c>
      <c r="AQ78" s="102">
        <v>0</v>
      </c>
      <c r="AR78" s="102">
        <v>0</v>
      </c>
      <c r="AS78" s="102">
        <v>0.16270428533404313</v>
      </c>
      <c r="AT78" s="102">
        <v>3.3354378493478838</v>
      </c>
      <c r="AU78" s="102">
        <v>3.0100292786797977</v>
      </c>
      <c r="AV78" s="102">
        <v>0.16270428533404313</v>
      </c>
      <c r="AW78" s="102">
        <v>0.73216928400319403</v>
      </c>
      <c r="AX78" s="102">
        <v>0.32540857066808626</v>
      </c>
      <c r="AY78" s="102">
        <v>2.2778599946766036</v>
      </c>
    </row>
    <row r="79" spans="1:51" s="103" customFormat="1">
      <c r="A79" s="103" t="s">
        <v>207</v>
      </c>
      <c r="B79" s="103">
        <v>1660</v>
      </c>
      <c r="C79" s="103">
        <v>1660</v>
      </c>
      <c r="D79" s="103">
        <v>2.4</v>
      </c>
      <c r="E79" s="103">
        <v>38917</v>
      </c>
      <c r="F79" s="103">
        <v>0</v>
      </c>
      <c r="G79" s="103">
        <v>335</v>
      </c>
      <c r="H79" s="103">
        <v>75</v>
      </c>
      <c r="I79" s="103">
        <v>190</v>
      </c>
      <c r="J79" s="103">
        <v>4.5</v>
      </c>
      <c r="K79" s="103">
        <v>7.5</v>
      </c>
      <c r="L79" s="103">
        <v>37.4</v>
      </c>
      <c r="M79" s="103">
        <v>27.8</v>
      </c>
      <c r="N79" s="103">
        <v>24.3</v>
      </c>
      <c r="O79" s="103">
        <v>130</v>
      </c>
      <c r="P79" s="103">
        <v>30</v>
      </c>
      <c r="Q79" s="103">
        <v>65</v>
      </c>
      <c r="R79" s="103">
        <v>55</v>
      </c>
      <c r="T79" s="103" t="str">
        <f t="shared" si="1"/>
        <v>Cross Lake First Nation</v>
      </c>
      <c r="W79">
        <v>17808</v>
      </c>
      <c r="X79">
        <v>16632</v>
      </c>
      <c r="Y79">
        <v>18988</v>
      </c>
      <c r="Z79">
        <v>5296</v>
      </c>
      <c r="AA79">
        <v>12000</v>
      </c>
      <c r="AB79" s="103">
        <v>670</v>
      </c>
      <c r="AC79" s="103">
        <v>930</v>
      </c>
      <c r="AD79" s="103">
        <v>190</v>
      </c>
      <c r="AE79" s="103">
        <v>65</v>
      </c>
      <c r="AF79" s="102">
        <v>0.16270428533404313</v>
      </c>
      <c r="AG79" s="102">
        <v>0</v>
      </c>
      <c r="AH79" s="102">
        <v>0.65081714133617252</v>
      </c>
      <c r="AI79" s="102">
        <v>1.1389299973383018</v>
      </c>
      <c r="AJ79" s="102">
        <v>0</v>
      </c>
      <c r="AK79" s="102">
        <v>0</v>
      </c>
      <c r="AL79" s="102">
        <v>1.301634282672345</v>
      </c>
      <c r="AM79" s="102">
        <v>0.48811285600212939</v>
      </c>
      <c r="AN79" s="102">
        <v>0.16270428533404313</v>
      </c>
      <c r="AO79" s="102">
        <v>0</v>
      </c>
      <c r="AP79" s="102">
        <v>0</v>
      </c>
      <c r="AQ79" s="102">
        <v>0</v>
      </c>
      <c r="AR79" s="102">
        <v>0</v>
      </c>
      <c r="AS79" s="102">
        <v>0.16270428533404313</v>
      </c>
      <c r="AT79" s="102">
        <v>3.3354378493478838</v>
      </c>
      <c r="AU79" s="102">
        <v>3.0100292786797977</v>
      </c>
      <c r="AV79" s="102">
        <v>0.16270428533404313</v>
      </c>
      <c r="AW79" s="102">
        <v>0.73216928400319403</v>
      </c>
      <c r="AX79" s="102">
        <v>0.32540857066808626</v>
      </c>
      <c r="AY79" s="102">
        <v>2.2778599946766036</v>
      </c>
    </row>
    <row r="80" spans="1:51" s="103" customFormat="1">
      <c r="A80" s="103" t="s">
        <v>207</v>
      </c>
      <c r="B80" s="103">
        <v>605</v>
      </c>
      <c r="C80" s="103">
        <v>605</v>
      </c>
      <c r="D80" s="103">
        <v>2.5</v>
      </c>
      <c r="E80" s="103">
        <v>50577</v>
      </c>
      <c r="F80" s="103">
        <v>0</v>
      </c>
      <c r="G80" s="103">
        <v>110</v>
      </c>
      <c r="H80" s="103">
        <v>25</v>
      </c>
      <c r="I80" s="103">
        <v>65</v>
      </c>
      <c r="J80" s="103">
        <v>13.6</v>
      </c>
      <c r="K80" s="103">
        <v>0</v>
      </c>
      <c r="L80" s="103">
        <v>43.8</v>
      </c>
      <c r="M80" s="103">
        <v>31.5</v>
      </c>
      <c r="N80" s="103">
        <v>31.2</v>
      </c>
      <c r="O80" s="103">
        <v>60</v>
      </c>
      <c r="P80" s="103">
        <v>20</v>
      </c>
      <c r="Q80" s="103">
        <v>40</v>
      </c>
      <c r="R80" s="103">
        <v>25</v>
      </c>
      <c r="T80" s="103" t="str">
        <f t="shared" si="1"/>
        <v>Cross Lake First Nation</v>
      </c>
      <c r="W80">
        <v>17816</v>
      </c>
      <c r="X80">
        <v>17622</v>
      </c>
      <c r="Y80">
        <v>18018</v>
      </c>
      <c r="Z80">
        <v>6288</v>
      </c>
      <c r="AA80">
        <v>13872</v>
      </c>
      <c r="AB80" s="103">
        <v>245</v>
      </c>
      <c r="AC80" s="103">
        <v>360</v>
      </c>
      <c r="AD80" s="103">
        <v>80</v>
      </c>
      <c r="AE80" s="103">
        <v>30</v>
      </c>
      <c r="AF80" s="102">
        <v>0.16270428533404313</v>
      </c>
      <c r="AG80" s="102">
        <v>0</v>
      </c>
      <c r="AH80" s="102">
        <v>0.65081714133617252</v>
      </c>
      <c r="AI80" s="102">
        <v>1.1389299973383018</v>
      </c>
      <c r="AJ80" s="102">
        <v>0</v>
      </c>
      <c r="AK80" s="102">
        <v>0</v>
      </c>
      <c r="AL80" s="102">
        <v>1.301634282672345</v>
      </c>
      <c r="AM80" s="102">
        <v>0.48811285600212939</v>
      </c>
      <c r="AN80" s="102">
        <v>0.16270428533404313</v>
      </c>
      <c r="AO80" s="102">
        <v>0</v>
      </c>
      <c r="AP80" s="102">
        <v>0</v>
      </c>
      <c r="AQ80" s="102">
        <v>0</v>
      </c>
      <c r="AR80" s="102">
        <v>0</v>
      </c>
      <c r="AS80" s="102">
        <v>0.16270428533404313</v>
      </c>
      <c r="AT80" s="102">
        <v>3.3354378493478838</v>
      </c>
      <c r="AU80" s="102">
        <v>3.0100292786797977</v>
      </c>
      <c r="AV80" s="102">
        <v>0.16270428533404313</v>
      </c>
      <c r="AW80" s="102">
        <v>0.73216928400319403</v>
      </c>
      <c r="AX80" s="102">
        <v>0.32540857066808626</v>
      </c>
      <c r="AY80" s="102">
        <v>2.2778599946766036</v>
      </c>
    </row>
    <row r="81" spans="1:51">
      <c r="A81" s="102" t="s">
        <v>318</v>
      </c>
      <c r="B81" s="102">
        <v>395</v>
      </c>
      <c r="C81" s="102">
        <v>400</v>
      </c>
      <c r="D81" s="102">
        <v>0.6</v>
      </c>
      <c r="E81" s="102">
        <v>54760</v>
      </c>
      <c r="F81" s="102">
        <v>8</v>
      </c>
      <c r="G81" s="102">
        <v>195</v>
      </c>
      <c r="H81" s="102">
        <v>60</v>
      </c>
      <c r="I81" s="102">
        <v>10</v>
      </c>
      <c r="J81" s="102">
        <v>79.5</v>
      </c>
      <c r="K81" s="102">
        <v>20.5</v>
      </c>
      <c r="L81" s="102">
        <v>54.5</v>
      </c>
      <c r="M81" s="102">
        <v>54.5</v>
      </c>
      <c r="N81" s="102">
        <v>0</v>
      </c>
      <c r="O81" s="102">
        <v>55</v>
      </c>
      <c r="P81" s="102">
        <v>25</v>
      </c>
      <c r="Q81" s="102">
        <v>95</v>
      </c>
      <c r="R81" s="102">
        <v>40</v>
      </c>
      <c r="T81" s="102">
        <f t="shared" si="1"/>
        <v>0</v>
      </c>
      <c r="W81">
        <v>27473</v>
      </c>
      <c r="X81">
        <v>31509</v>
      </c>
      <c r="Y81">
        <v>22411</v>
      </c>
      <c r="Z81">
        <v>26671</v>
      </c>
      <c r="AA81">
        <v>18022</v>
      </c>
      <c r="AB81" s="102">
        <v>65</v>
      </c>
      <c r="AC81" s="102">
        <v>200</v>
      </c>
      <c r="AD81" s="102">
        <v>100</v>
      </c>
      <c r="AE81" s="102">
        <v>125</v>
      </c>
      <c r="AF81" s="102">
        <v>2.8202076124567474</v>
      </c>
      <c r="AG81" s="102">
        <v>0.94006920415224904</v>
      </c>
      <c r="AH81" s="102">
        <v>0</v>
      </c>
      <c r="AI81" s="102">
        <v>0</v>
      </c>
      <c r="AJ81" s="102">
        <v>1.4101038062283737</v>
      </c>
      <c r="AK81" s="102">
        <v>0.94006920415224904</v>
      </c>
      <c r="AL81" s="102">
        <v>0</v>
      </c>
      <c r="AM81" s="102">
        <v>0</v>
      </c>
      <c r="AN81" s="102">
        <v>0</v>
      </c>
      <c r="AO81" s="102">
        <v>1.8801384083044981</v>
      </c>
      <c r="AP81" s="102">
        <v>0</v>
      </c>
      <c r="AQ81" s="102">
        <v>0</v>
      </c>
      <c r="AR81" s="102">
        <v>0</v>
      </c>
      <c r="AS81" s="102">
        <v>0</v>
      </c>
      <c r="AT81" s="102">
        <v>2.3501730103806229</v>
      </c>
      <c r="AU81" s="102">
        <v>4.2303114186851207</v>
      </c>
      <c r="AV81" s="102">
        <v>0</v>
      </c>
      <c r="AW81" s="102">
        <v>0</v>
      </c>
      <c r="AX81" s="102">
        <v>0.94006920415224904</v>
      </c>
      <c r="AY81" s="102">
        <v>0</v>
      </c>
    </row>
    <row r="82" spans="1:51" s="103" customFormat="1">
      <c r="A82" s="103" t="s">
        <v>319</v>
      </c>
      <c r="T82" s="103">
        <f t="shared" si="1"/>
        <v>0</v>
      </c>
      <c r="W82"/>
      <c r="X82"/>
      <c r="Y82"/>
      <c r="Z82"/>
      <c r="AA82"/>
      <c r="AB82" s="103">
        <v>0</v>
      </c>
      <c r="AC82" s="103">
        <v>0</v>
      </c>
      <c r="AD82" s="103">
        <v>0</v>
      </c>
      <c r="AE82" s="103">
        <v>0</v>
      </c>
      <c r="AF82" s="102" t="e">
        <v>#N/A</v>
      </c>
      <c r="AG82" s="102" t="e">
        <v>#N/A</v>
      </c>
      <c r="AH82" s="102" t="e">
        <v>#N/A</v>
      </c>
      <c r="AI82" s="102" t="e">
        <v>#N/A</v>
      </c>
      <c r="AJ82" s="102" t="e">
        <v>#N/A</v>
      </c>
      <c r="AK82" s="102" t="e">
        <v>#N/A</v>
      </c>
      <c r="AL82" s="102" t="e">
        <v>#N/A</v>
      </c>
      <c r="AM82" s="102" t="e">
        <v>#N/A</v>
      </c>
      <c r="AN82" s="102" t="e">
        <v>#N/A</v>
      </c>
      <c r="AO82" s="102" t="e">
        <v>#N/A</v>
      </c>
      <c r="AP82" s="102" t="e">
        <v>#N/A</v>
      </c>
      <c r="AQ82" s="102" t="e">
        <v>#N/A</v>
      </c>
      <c r="AR82" s="102" t="e">
        <v>#N/A</v>
      </c>
      <c r="AS82" s="102" t="e">
        <v>#N/A</v>
      </c>
      <c r="AT82" s="102" t="e">
        <v>#N/A</v>
      </c>
      <c r="AU82" s="102" t="e">
        <v>#N/A</v>
      </c>
      <c r="AV82" s="102" t="e">
        <v>#N/A</v>
      </c>
      <c r="AW82" s="102" t="e">
        <v>#N/A</v>
      </c>
      <c r="AX82" s="102" t="e">
        <v>#N/A</v>
      </c>
      <c r="AY82" s="102" t="e">
        <v>#N/A</v>
      </c>
    </row>
    <row r="83" spans="1:51" s="103" customFormat="1">
      <c r="A83" s="103" t="s">
        <v>208</v>
      </c>
      <c r="B83" s="103">
        <v>65</v>
      </c>
      <c r="C83" s="103">
        <v>65</v>
      </c>
      <c r="D83" s="103">
        <v>2</v>
      </c>
      <c r="E83" s="103">
        <v>0</v>
      </c>
      <c r="F83" s="103">
        <v>0</v>
      </c>
      <c r="G83" s="103">
        <v>25</v>
      </c>
      <c r="H83" s="103">
        <v>10</v>
      </c>
      <c r="I83" s="103">
        <v>20</v>
      </c>
      <c r="J83" s="103">
        <v>0</v>
      </c>
      <c r="K83" s="103">
        <v>0</v>
      </c>
      <c r="L83" s="103">
        <v>20</v>
      </c>
      <c r="M83" s="103">
        <v>20</v>
      </c>
      <c r="N83" s="103">
        <v>0</v>
      </c>
      <c r="O83" s="103">
        <v>0</v>
      </c>
      <c r="P83" s="103">
        <v>0</v>
      </c>
      <c r="Q83" s="103">
        <v>0</v>
      </c>
      <c r="R83" s="103">
        <v>0</v>
      </c>
      <c r="T83" s="103" t="str">
        <f t="shared" si="1"/>
        <v>Dakota Plains First Nation</v>
      </c>
      <c r="W83">
        <v>0</v>
      </c>
      <c r="X83">
        <v>0</v>
      </c>
      <c r="Y83">
        <v>0</v>
      </c>
      <c r="Z83">
        <v>0</v>
      </c>
      <c r="AA83">
        <v>0</v>
      </c>
      <c r="AB83" s="103">
        <v>0</v>
      </c>
      <c r="AC83" s="103">
        <v>50</v>
      </c>
      <c r="AD83" s="103">
        <v>20</v>
      </c>
      <c r="AE83" s="103">
        <v>20</v>
      </c>
      <c r="AF83" s="102">
        <v>0</v>
      </c>
      <c r="AG83" s="102">
        <v>0</v>
      </c>
      <c r="AH83" s="102">
        <v>0</v>
      </c>
      <c r="AI83" s="102">
        <v>0</v>
      </c>
      <c r="AJ83" s="102">
        <v>0</v>
      </c>
      <c r="AK83" s="102">
        <v>0</v>
      </c>
      <c r="AL83" s="102">
        <v>0</v>
      </c>
      <c r="AM83" s="102">
        <v>0</v>
      </c>
      <c r="AN83" s="102">
        <v>0</v>
      </c>
      <c r="AO83" s="102">
        <v>0</v>
      </c>
      <c r="AP83" s="102">
        <v>0</v>
      </c>
      <c r="AQ83" s="102">
        <v>0</v>
      </c>
      <c r="AR83" s="102">
        <v>0</v>
      </c>
      <c r="AS83" s="102">
        <v>0</v>
      </c>
      <c r="AT83" s="102">
        <v>0</v>
      </c>
      <c r="AU83" s="102">
        <v>0</v>
      </c>
      <c r="AV83" s="102">
        <v>0</v>
      </c>
      <c r="AW83" s="102">
        <v>0</v>
      </c>
      <c r="AX83" s="102">
        <v>0</v>
      </c>
      <c r="AY83" s="102">
        <v>16.921245674740483</v>
      </c>
    </row>
    <row r="84" spans="1:51" s="103" customFormat="1">
      <c r="A84" s="103" t="s">
        <v>209</v>
      </c>
      <c r="B84" s="103">
        <v>155</v>
      </c>
      <c r="C84" s="103">
        <v>155</v>
      </c>
      <c r="D84" s="103">
        <v>1.9</v>
      </c>
      <c r="E84" s="103">
        <v>0</v>
      </c>
      <c r="F84" s="103">
        <v>0</v>
      </c>
      <c r="G84" s="103">
        <v>40</v>
      </c>
      <c r="H84" s="103">
        <v>15</v>
      </c>
      <c r="I84" s="103">
        <v>20</v>
      </c>
      <c r="J84" s="103">
        <v>25</v>
      </c>
      <c r="K84" s="103">
        <v>0</v>
      </c>
      <c r="L84" s="103">
        <v>33.299999999999997</v>
      </c>
      <c r="M84" s="103">
        <v>33.299999999999997</v>
      </c>
      <c r="N84" s="103">
        <v>0</v>
      </c>
      <c r="O84" s="103">
        <v>10</v>
      </c>
      <c r="P84" s="103">
        <v>0</v>
      </c>
      <c r="Q84" s="103">
        <v>10</v>
      </c>
      <c r="R84" s="103">
        <v>10</v>
      </c>
      <c r="T84" s="103" t="str">
        <f t="shared" si="1"/>
        <v>Dakota Tipi First Nation</v>
      </c>
      <c r="W84">
        <v>0</v>
      </c>
      <c r="X84">
        <v>0</v>
      </c>
      <c r="Y84">
        <v>0</v>
      </c>
      <c r="Z84">
        <v>0</v>
      </c>
      <c r="AA84">
        <v>0</v>
      </c>
      <c r="AB84" s="103">
        <v>50</v>
      </c>
      <c r="AC84" s="103">
        <v>125</v>
      </c>
      <c r="AD84" s="103">
        <v>40</v>
      </c>
      <c r="AE84" s="103">
        <v>0</v>
      </c>
      <c r="AF84" s="102">
        <v>0</v>
      </c>
      <c r="AG84" s="102">
        <v>0</v>
      </c>
      <c r="AH84" s="102">
        <v>0</v>
      </c>
      <c r="AI84" s="102">
        <v>0</v>
      </c>
      <c r="AJ84" s="102">
        <v>0</v>
      </c>
      <c r="AK84" s="102">
        <v>0</v>
      </c>
      <c r="AL84" s="102">
        <v>0</v>
      </c>
      <c r="AM84" s="102">
        <v>0</v>
      </c>
      <c r="AN84" s="102">
        <v>0</v>
      </c>
      <c r="AO84" s="102">
        <v>0</v>
      </c>
      <c r="AP84" s="102">
        <v>0</v>
      </c>
      <c r="AQ84" s="102">
        <v>0</v>
      </c>
      <c r="AR84" s="102">
        <v>0</v>
      </c>
      <c r="AS84" s="102">
        <v>0</v>
      </c>
      <c r="AT84" s="102">
        <v>0</v>
      </c>
      <c r="AU84" s="102">
        <v>0</v>
      </c>
      <c r="AV84" s="102">
        <v>4.8346416213544234</v>
      </c>
      <c r="AW84" s="102">
        <v>0</v>
      </c>
      <c r="AX84" s="102">
        <v>0</v>
      </c>
      <c r="AY84" s="102">
        <v>7.251962432031636</v>
      </c>
    </row>
    <row r="85" spans="1:51" s="103" customFormat="1">
      <c r="A85" s="103" t="s">
        <v>210</v>
      </c>
      <c r="B85" s="103">
        <v>45</v>
      </c>
      <c r="T85" s="103">
        <f t="shared" si="1"/>
        <v>0</v>
      </c>
      <c r="W85"/>
      <c r="X85"/>
      <c r="Y85"/>
      <c r="Z85"/>
      <c r="AA85"/>
      <c r="AB85" s="103">
        <v>0</v>
      </c>
      <c r="AC85" s="103">
        <v>0</v>
      </c>
      <c r="AD85" s="103">
        <v>0</v>
      </c>
      <c r="AE85" s="103">
        <v>0</v>
      </c>
      <c r="AF85" s="102" t="e">
        <v>#N/A</v>
      </c>
      <c r="AG85" s="102" t="e">
        <v>#N/A</v>
      </c>
      <c r="AH85" s="102" t="e">
        <v>#N/A</v>
      </c>
      <c r="AI85" s="102" t="e">
        <v>#N/A</v>
      </c>
      <c r="AJ85" s="102" t="e">
        <v>#N/A</v>
      </c>
      <c r="AK85" s="102" t="e">
        <v>#N/A</v>
      </c>
      <c r="AL85" s="102" t="e">
        <v>#N/A</v>
      </c>
      <c r="AM85" s="102" t="e">
        <v>#N/A</v>
      </c>
      <c r="AN85" s="102" t="e">
        <v>#N/A</v>
      </c>
      <c r="AO85" s="102" t="e">
        <v>#N/A</v>
      </c>
      <c r="AP85" s="102" t="e">
        <v>#N/A</v>
      </c>
      <c r="AQ85" s="102" t="e">
        <v>#N/A</v>
      </c>
      <c r="AR85" s="102" t="e">
        <v>#N/A</v>
      </c>
      <c r="AS85" s="102" t="e">
        <v>#N/A</v>
      </c>
      <c r="AT85" s="102" t="e">
        <v>#N/A</v>
      </c>
      <c r="AU85" s="102" t="e">
        <v>#N/A</v>
      </c>
      <c r="AV85" s="102" t="e">
        <v>#N/A</v>
      </c>
      <c r="AW85" s="102" t="e">
        <v>#N/A</v>
      </c>
      <c r="AX85" s="102" t="e">
        <v>#N/A</v>
      </c>
      <c r="AY85" s="102" t="e">
        <v>#N/A</v>
      </c>
    </row>
    <row r="86" spans="1:51">
      <c r="A86" s="102" t="s">
        <v>639</v>
      </c>
      <c r="B86" s="102">
        <v>865</v>
      </c>
      <c r="C86" s="102">
        <v>775</v>
      </c>
      <c r="D86" s="102">
        <v>1.1000000000000001</v>
      </c>
      <c r="E86" s="102">
        <v>47113</v>
      </c>
      <c r="F86" s="102">
        <v>12.5</v>
      </c>
      <c r="G86" s="102">
        <v>295</v>
      </c>
      <c r="H86" s="102">
        <v>105</v>
      </c>
      <c r="I86" s="102">
        <v>85</v>
      </c>
      <c r="J86" s="102">
        <v>86.4</v>
      </c>
      <c r="K86" s="102">
        <v>11.9</v>
      </c>
      <c r="L86" s="102">
        <v>82.5</v>
      </c>
      <c r="M86" s="102">
        <v>82.5</v>
      </c>
      <c r="N86" s="102">
        <v>0</v>
      </c>
      <c r="O86" s="102">
        <v>145</v>
      </c>
      <c r="P86" s="102">
        <v>75</v>
      </c>
      <c r="Q86" s="102">
        <v>130</v>
      </c>
      <c r="R86" s="102">
        <v>75</v>
      </c>
      <c r="T86" s="102">
        <f t="shared" si="1"/>
        <v>0</v>
      </c>
      <c r="W86">
        <v>15606</v>
      </c>
      <c r="X86">
        <v>19685</v>
      </c>
      <c r="Y86">
        <v>11112</v>
      </c>
      <c r="Z86">
        <v>26786</v>
      </c>
      <c r="AA86">
        <v>13137</v>
      </c>
      <c r="AB86" s="102">
        <v>185</v>
      </c>
      <c r="AC86" s="102">
        <v>575</v>
      </c>
      <c r="AD86" s="102">
        <v>300</v>
      </c>
      <c r="AE86" s="102">
        <v>105</v>
      </c>
      <c r="AF86" s="102">
        <v>6.2893125516734552</v>
      </c>
      <c r="AG86" s="102">
        <v>0.29949107388921209</v>
      </c>
      <c r="AH86" s="102">
        <v>0</v>
      </c>
      <c r="AI86" s="102">
        <v>0.59898214777842418</v>
      </c>
      <c r="AJ86" s="102">
        <v>0.74872768472303031</v>
      </c>
      <c r="AK86" s="102">
        <v>1.4974553694460606</v>
      </c>
      <c r="AL86" s="102">
        <v>0.74872768472303031</v>
      </c>
      <c r="AM86" s="102">
        <v>0.89847322166763632</v>
      </c>
      <c r="AN86" s="102">
        <v>0.29949107388921209</v>
      </c>
      <c r="AO86" s="102">
        <v>0.44923661083381816</v>
      </c>
      <c r="AP86" s="102">
        <v>0</v>
      </c>
      <c r="AQ86" s="102">
        <v>0.29949107388921209</v>
      </c>
      <c r="AR86" s="102">
        <v>0</v>
      </c>
      <c r="AS86" s="102">
        <v>0</v>
      </c>
      <c r="AT86" s="102">
        <v>0.89847322166763632</v>
      </c>
      <c r="AU86" s="102">
        <v>0.89847322166763632</v>
      </c>
      <c r="AV86" s="102">
        <v>0</v>
      </c>
      <c r="AW86" s="102">
        <v>0.59898214777842418</v>
      </c>
      <c r="AX86" s="102">
        <v>1.4974553694460606</v>
      </c>
      <c r="AY86" s="102">
        <v>0.59898214777842418</v>
      </c>
    </row>
    <row r="87" spans="1:51">
      <c r="A87" s="102" t="s">
        <v>320</v>
      </c>
      <c r="B87" s="102">
        <v>7740</v>
      </c>
      <c r="C87" s="102">
        <v>7710</v>
      </c>
      <c r="D87" s="102">
        <v>1</v>
      </c>
      <c r="E87" s="102">
        <v>58678</v>
      </c>
      <c r="F87" s="102">
        <v>11.5</v>
      </c>
      <c r="G87" s="102">
        <v>3645</v>
      </c>
      <c r="H87" s="102">
        <v>1220</v>
      </c>
      <c r="I87" s="102">
        <v>315</v>
      </c>
      <c r="J87" s="102">
        <v>69.400000000000006</v>
      </c>
      <c r="K87" s="102">
        <v>30.5</v>
      </c>
      <c r="L87" s="102">
        <v>55.1</v>
      </c>
      <c r="M87" s="102">
        <v>51.1</v>
      </c>
      <c r="N87" s="102">
        <v>7.1</v>
      </c>
      <c r="O87" s="102">
        <v>1465</v>
      </c>
      <c r="P87" s="102">
        <v>635</v>
      </c>
      <c r="Q87" s="102">
        <v>1015</v>
      </c>
      <c r="R87" s="102">
        <v>990</v>
      </c>
      <c r="T87" s="102">
        <f t="shared" si="1"/>
        <v>0</v>
      </c>
      <c r="W87">
        <v>26561</v>
      </c>
      <c r="X87">
        <v>30979</v>
      </c>
      <c r="Y87">
        <v>21843</v>
      </c>
      <c r="Z87">
        <v>28133</v>
      </c>
      <c r="AA87">
        <v>18599</v>
      </c>
      <c r="AB87" s="102">
        <v>1340</v>
      </c>
      <c r="AC87" s="102">
        <v>4445</v>
      </c>
      <c r="AD87" s="102">
        <v>1915</v>
      </c>
      <c r="AE87" s="102">
        <v>1920</v>
      </c>
      <c r="AF87" s="102">
        <v>0.52954111642146606</v>
      </c>
      <c r="AG87" s="102">
        <v>0.16849035522501193</v>
      </c>
      <c r="AH87" s="102">
        <v>9.6280202985721111E-2</v>
      </c>
      <c r="AI87" s="102">
        <v>0.86652182687148993</v>
      </c>
      <c r="AJ87" s="102">
        <v>0.21663045671787248</v>
      </c>
      <c r="AK87" s="102">
        <v>0.69803147164647794</v>
      </c>
      <c r="AL87" s="102">
        <v>2.7439857850930518</v>
      </c>
      <c r="AM87" s="102">
        <v>0.84245177612505961</v>
      </c>
      <c r="AN87" s="102">
        <v>0.33698071045002387</v>
      </c>
      <c r="AO87" s="102">
        <v>0.48140101492860554</v>
      </c>
      <c r="AP87" s="102">
        <v>7.2210152239290837E-2</v>
      </c>
      <c r="AQ87" s="102">
        <v>0.45733096418217528</v>
      </c>
      <c r="AR87" s="102">
        <v>0</v>
      </c>
      <c r="AS87" s="102">
        <v>0.14442030447858167</v>
      </c>
      <c r="AT87" s="102">
        <v>1.3960629432929559</v>
      </c>
      <c r="AU87" s="102">
        <v>3.4420172567395295</v>
      </c>
      <c r="AV87" s="102">
        <v>0.19256040597144222</v>
      </c>
      <c r="AW87" s="102">
        <v>1.3960629432929559</v>
      </c>
      <c r="AX87" s="102">
        <v>0.93873197911078088</v>
      </c>
      <c r="AY87" s="102">
        <v>1.5164131970251074</v>
      </c>
    </row>
    <row r="88" spans="1:51" s="103" customFormat="1">
      <c r="A88" s="103" t="s">
        <v>731</v>
      </c>
      <c r="B88" s="103">
        <v>2325</v>
      </c>
      <c r="C88" s="103">
        <v>2330</v>
      </c>
      <c r="D88" s="103">
        <v>1</v>
      </c>
      <c r="E88" s="103">
        <v>66881</v>
      </c>
      <c r="F88" s="103">
        <v>1.4</v>
      </c>
      <c r="G88" s="103">
        <v>925</v>
      </c>
      <c r="H88" s="103">
        <v>365</v>
      </c>
      <c r="I88" s="103">
        <v>105</v>
      </c>
      <c r="J88" s="103">
        <v>93</v>
      </c>
      <c r="K88" s="103">
        <v>7</v>
      </c>
      <c r="L88" s="103">
        <v>77.400000000000006</v>
      </c>
      <c r="M88" s="103">
        <v>75.5</v>
      </c>
      <c r="N88" s="103">
        <v>2.7</v>
      </c>
      <c r="O88" s="103">
        <v>510</v>
      </c>
      <c r="P88" s="103">
        <v>210</v>
      </c>
      <c r="Q88" s="103">
        <v>370</v>
      </c>
      <c r="R88" s="103">
        <v>260</v>
      </c>
      <c r="T88" s="103">
        <f t="shared" si="1"/>
        <v>0</v>
      </c>
      <c r="W88">
        <v>25731</v>
      </c>
      <c r="X88">
        <v>24907</v>
      </c>
      <c r="Y88">
        <v>26835</v>
      </c>
      <c r="Z88">
        <v>22888</v>
      </c>
      <c r="AA88">
        <v>21817</v>
      </c>
      <c r="AB88" s="103">
        <v>420</v>
      </c>
      <c r="AC88" s="103">
        <v>1620</v>
      </c>
      <c r="AD88" s="103">
        <v>835</v>
      </c>
      <c r="AE88" s="103">
        <v>285</v>
      </c>
      <c r="AF88" s="102">
        <v>3.9137575030012006</v>
      </c>
      <c r="AG88" s="102">
        <v>0.28777628698538243</v>
      </c>
      <c r="AH88" s="102">
        <v>0.2302210295883059</v>
      </c>
      <c r="AI88" s="102">
        <v>1.2662156627356824</v>
      </c>
      <c r="AJ88" s="102">
        <v>0.2302210295883059</v>
      </c>
      <c r="AK88" s="102">
        <v>0.92088411835322359</v>
      </c>
      <c r="AL88" s="102">
        <v>1.8993234941035237</v>
      </c>
      <c r="AM88" s="102">
        <v>0.69066308876491767</v>
      </c>
      <c r="AN88" s="102">
        <v>0.11511051479415295</v>
      </c>
      <c r="AO88" s="102">
        <v>0.74821834616199423</v>
      </c>
      <c r="AP88" s="102">
        <v>0</v>
      </c>
      <c r="AQ88" s="102">
        <v>0.2302210295883059</v>
      </c>
      <c r="AR88" s="102">
        <v>0.11511051479415295</v>
      </c>
      <c r="AS88" s="102">
        <v>0.28777628698538243</v>
      </c>
      <c r="AT88" s="102">
        <v>1.2086604053386059</v>
      </c>
      <c r="AU88" s="102">
        <v>2.4173208106772117</v>
      </c>
      <c r="AV88" s="102">
        <v>0</v>
      </c>
      <c r="AW88" s="102">
        <v>0.57555257397076487</v>
      </c>
      <c r="AX88" s="102">
        <v>0.86332886095614714</v>
      </c>
      <c r="AY88" s="102">
        <v>0.86332886095614714</v>
      </c>
    </row>
    <row r="89" spans="1:51" s="103" customFormat="1">
      <c r="A89" s="103" t="s">
        <v>211</v>
      </c>
      <c r="B89" s="103">
        <v>27</v>
      </c>
      <c r="T89" s="103">
        <f t="shared" si="1"/>
        <v>0</v>
      </c>
      <c r="W89"/>
      <c r="X89"/>
      <c r="Y89"/>
      <c r="Z89"/>
      <c r="AA89"/>
      <c r="AB89" s="103">
        <v>0</v>
      </c>
      <c r="AC89" s="103">
        <v>0</v>
      </c>
      <c r="AD89" s="103">
        <v>0</v>
      </c>
      <c r="AE89" s="103">
        <v>0</v>
      </c>
      <c r="AF89" s="102" t="e">
        <v>#N/A</v>
      </c>
      <c r="AG89" s="102" t="e">
        <v>#N/A</v>
      </c>
      <c r="AH89" s="102" t="e">
        <v>#N/A</v>
      </c>
      <c r="AI89" s="102" t="e">
        <v>#N/A</v>
      </c>
      <c r="AJ89" s="102" t="e">
        <v>#N/A</v>
      </c>
      <c r="AK89" s="102" t="e">
        <v>#N/A</v>
      </c>
      <c r="AL89" s="102" t="e">
        <v>#N/A</v>
      </c>
      <c r="AM89" s="102" t="e">
        <v>#N/A</v>
      </c>
      <c r="AN89" s="102" t="e">
        <v>#N/A</v>
      </c>
      <c r="AO89" s="102" t="e">
        <v>#N/A</v>
      </c>
      <c r="AP89" s="102" t="e">
        <v>#N/A</v>
      </c>
      <c r="AQ89" s="102" t="e">
        <v>#N/A</v>
      </c>
      <c r="AR89" s="102" t="e">
        <v>#N/A</v>
      </c>
      <c r="AS89" s="102" t="e">
        <v>#N/A</v>
      </c>
      <c r="AT89" s="102" t="e">
        <v>#N/A</v>
      </c>
      <c r="AU89" s="102" t="e">
        <v>#N/A</v>
      </c>
      <c r="AV89" s="102" t="e">
        <v>#N/A</v>
      </c>
      <c r="AW89" s="102" t="e">
        <v>#N/A</v>
      </c>
      <c r="AX89" s="102" t="e">
        <v>#N/A</v>
      </c>
      <c r="AY89" s="102" t="e">
        <v>#N/A</v>
      </c>
    </row>
    <row r="90" spans="1:51" s="103" customFormat="1">
      <c r="A90" s="103" t="s">
        <v>212</v>
      </c>
      <c r="B90" s="103">
        <v>85</v>
      </c>
      <c r="C90" s="103">
        <v>80</v>
      </c>
      <c r="D90" s="103">
        <v>1.4</v>
      </c>
      <c r="E90" s="103">
        <v>0</v>
      </c>
      <c r="F90" s="103">
        <v>0</v>
      </c>
      <c r="G90" s="103">
        <v>30</v>
      </c>
      <c r="H90" s="103">
        <v>0</v>
      </c>
      <c r="I90" s="103">
        <v>20</v>
      </c>
      <c r="J90" s="103">
        <v>0</v>
      </c>
      <c r="K90" s="103">
        <v>0</v>
      </c>
      <c r="L90" s="103">
        <v>58.3</v>
      </c>
      <c r="M90" s="103">
        <v>58.3</v>
      </c>
      <c r="N90" s="103">
        <v>0</v>
      </c>
      <c r="O90" s="103">
        <v>10</v>
      </c>
      <c r="P90" s="103">
        <v>0</v>
      </c>
      <c r="Q90" s="103">
        <v>10</v>
      </c>
      <c r="R90" s="103">
        <v>10</v>
      </c>
      <c r="T90" s="103" t="str">
        <f t="shared" si="1"/>
        <v>Dauphin River First Nation</v>
      </c>
      <c r="W90">
        <v>0</v>
      </c>
      <c r="X90">
        <v>0</v>
      </c>
      <c r="Y90">
        <v>0</v>
      </c>
      <c r="Z90">
        <v>0</v>
      </c>
      <c r="AA90">
        <v>0</v>
      </c>
      <c r="AB90" s="103">
        <v>10</v>
      </c>
      <c r="AC90" s="103">
        <v>30</v>
      </c>
      <c r="AD90" s="103">
        <v>0</v>
      </c>
      <c r="AE90" s="103">
        <v>0</v>
      </c>
      <c r="AF90" s="102">
        <v>4.8346416213544234</v>
      </c>
      <c r="AG90" s="102">
        <v>0</v>
      </c>
      <c r="AH90" s="102">
        <v>0</v>
      </c>
      <c r="AI90" s="102">
        <v>0</v>
      </c>
      <c r="AJ90" s="102">
        <v>0</v>
      </c>
      <c r="AK90" s="102">
        <v>0</v>
      </c>
      <c r="AL90" s="102">
        <v>0</v>
      </c>
      <c r="AM90" s="102">
        <v>0</v>
      </c>
      <c r="AN90" s="102">
        <v>0</v>
      </c>
      <c r="AO90" s="102">
        <v>0</v>
      </c>
      <c r="AP90" s="102">
        <v>0</v>
      </c>
      <c r="AQ90" s="102">
        <v>0</v>
      </c>
      <c r="AR90" s="102">
        <v>0</v>
      </c>
      <c r="AS90" s="102">
        <v>0</v>
      </c>
      <c r="AT90" s="102">
        <v>4.8346416213544234</v>
      </c>
      <c r="AU90" s="102">
        <v>4.8346416213544234</v>
      </c>
      <c r="AV90" s="102">
        <v>0</v>
      </c>
      <c r="AW90" s="102">
        <v>0</v>
      </c>
      <c r="AX90" s="102">
        <v>0</v>
      </c>
      <c r="AY90" s="102">
        <v>4.8346416213544234</v>
      </c>
    </row>
    <row r="91" spans="1:51" s="103" customFormat="1">
      <c r="A91" s="103" t="s">
        <v>213</v>
      </c>
      <c r="B91" s="103">
        <v>38</v>
      </c>
      <c r="T91" s="103">
        <f t="shared" si="1"/>
        <v>0</v>
      </c>
      <c r="W91"/>
      <c r="X91"/>
      <c r="Y91"/>
      <c r="Z91"/>
      <c r="AA91"/>
      <c r="AB91" s="103">
        <v>0</v>
      </c>
      <c r="AC91" s="103">
        <v>0</v>
      </c>
      <c r="AD91" s="103">
        <v>0</v>
      </c>
      <c r="AE91" s="103">
        <v>0</v>
      </c>
      <c r="AF91" s="102" t="e">
        <v>#N/A</v>
      </c>
      <c r="AG91" s="102" t="e">
        <v>#N/A</v>
      </c>
      <c r="AH91" s="102" t="e">
        <v>#N/A</v>
      </c>
      <c r="AI91" s="102" t="e">
        <v>#N/A</v>
      </c>
      <c r="AJ91" s="102" t="e">
        <v>#N/A</v>
      </c>
      <c r="AK91" s="102" t="e">
        <v>#N/A</v>
      </c>
      <c r="AL91" s="102" t="e">
        <v>#N/A</v>
      </c>
      <c r="AM91" s="102" t="e">
        <v>#N/A</v>
      </c>
      <c r="AN91" s="102" t="e">
        <v>#N/A</v>
      </c>
      <c r="AO91" s="102" t="e">
        <v>#N/A</v>
      </c>
      <c r="AP91" s="102" t="e">
        <v>#N/A</v>
      </c>
      <c r="AQ91" s="102" t="e">
        <v>#N/A</v>
      </c>
      <c r="AR91" s="102" t="e">
        <v>#N/A</v>
      </c>
      <c r="AS91" s="102" t="e">
        <v>#N/A</v>
      </c>
      <c r="AT91" s="102" t="e">
        <v>#N/A</v>
      </c>
      <c r="AU91" s="102" t="e">
        <v>#N/A</v>
      </c>
      <c r="AV91" s="102" t="e">
        <v>#N/A</v>
      </c>
      <c r="AW91" s="102" t="e">
        <v>#N/A</v>
      </c>
      <c r="AX91" s="102" t="e">
        <v>#N/A</v>
      </c>
      <c r="AY91" s="102" t="e">
        <v>#N/A</v>
      </c>
    </row>
    <row r="92" spans="1:51">
      <c r="A92" s="102" t="s">
        <v>607</v>
      </c>
      <c r="B92" s="102">
        <v>3330</v>
      </c>
      <c r="C92" s="102">
        <v>2925</v>
      </c>
      <c r="D92" s="102">
        <v>1.2</v>
      </c>
      <c r="E92" s="102">
        <v>61567</v>
      </c>
      <c r="F92" s="102">
        <v>6.7</v>
      </c>
      <c r="G92" s="102">
        <v>1035</v>
      </c>
      <c r="H92" s="102">
        <v>330</v>
      </c>
      <c r="I92" s="102">
        <v>75</v>
      </c>
      <c r="J92" s="102">
        <v>87.4</v>
      </c>
      <c r="K92" s="102">
        <v>11.1</v>
      </c>
      <c r="L92" s="102">
        <v>74.8</v>
      </c>
      <c r="M92" s="102">
        <v>72.400000000000006</v>
      </c>
      <c r="N92" s="102">
        <v>3.4</v>
      </c>
      <c r="O92" s="102">
        <v>620</v>
      </c>
      <c r="P92" s="102">
        <v>260</v>
      </c>
      <c r="Q92" s="102">
        <v>410</v>
      </c>
      <c r="R92" s="102">
        <v>265</v>
      </c>
      <c r="T92" s="102">
        <f t="shared" si="1"/>
        <v>0</v>
      </c>
      <c r="W92">
        <v>25818</v>
      </c>
      <c r="X92">
        <v>30186</v>
      </c>
      <c r="Y92">
        <v>21092</v>
      </c>
      <c r="Z92">
        <v>28959</v>
      </c>
      <c r="AA92">
        <v>18021</v>
      </c>
      <c r="AB92" s="102">
        <v>785</v>
      </c>
      <c r="AC92" s="102">
        <v>2190</v>
      </c>
      <c r="AD92" s="102">
        <v>825</v>
      </c>
      <c r="AE92" s="102">
        <v>340</v>
      </c>
      <c r="AF92" s="102">
        <v>4.8218853110078426</v>
      </c>
      <c r="AG92" s="102">
        <v>0</v>
      </c>
      <c r="AH92" s="102">
        <v>0.13394125863910675</v>
      </c>
      <c r="AI92" s="102">
        <v>0.89294172426071161</v>
      </c>
      <c r="AJ92" s="102">
        <v>1.5180009312432097</v>
      </c>
      <c r="AK92" s="102">
        <v>0.58041212076946247</v>
      </c>
      <c r="AL92" s="102">
        <v>1.1608242415389249</v>
      </c>
      <c r="AM92" s="102">
        <v>0.44647086213035581</v>
      </c>
      <c r="AN92" s="102">
        <v>8.9294172426071156E-2</v>
      </c>
      <c r="AO92" s="102">
        <v>0.49111794834339134</v>
      </c>
      <c r="AP92" s="102">
        <v>8.9294172426071156E-2</v>
      </c>
      <c r="AQ92" s="102">
        <v>0.58041212076946247</v>
      </c>
      <c r="AR92" s="102">
        <v>0</v>
      </c>
      <c r="AS92" s="102">
        <v>0.62505920698249806</v>
      </c>
      <c r="AT92" s="102">
        <v>1.4287067588171385</v>
      </c>
      <c r="AU92" s="102">
        <v>1.7412363623083875</v>
      </c>
      <c r="AV92" s="102">
        <v>0.49111794834339134</v>
      </c>
      <c r="AW92" s="102">
        <v>0.71435337940856924</v>
      </c>
      <c r="AX92" s="102">
        <v>0.66970629319553376</v>
      </c>
      <c r="AY92" s="102">
        <v>0.44647086213035581</v>
      </c>
    </row>
    <row r="93" spans="1:51">
      <c r="A93" s="102" t="s">
        <v>321</v>
      </c>
      <c r="B93" s="102">
        <v>930</v>
      </c>
      <c r="C93" s="102">
        <v>935</v>
      </c>
      <c r="D93" s="102">
        <v>0.7</v>
      </c>
      <c r="E93" s="102">
        <v>62701</v>
      </c>
      <c r="F93" s="102">
        <v>3.6</v>
      </c>
      <c r="G93" s="102">
        <v>475</v>
      </c>
      <c r="H93" s="102">
        <v>120</v>
      </c>
      <c r="I93" s="102">
        <v>50</v>
      </c>
      <c r="J93" s="102">
        <v>71.599999999999994</v>
      </c>
      <c r="K93" s="102">
        <v>28.4</v>
      </c>
      <c r="L93" s="102">
        <v>52.5</v>
      </c>
      <c r="M93" s="102">
        <v>49.4</v>
      </c>
      <c r="N93" s="102">
        <v>5.9</v>
      </c>
      <c r="O93" s="102">
        <v>190</v>
      </c>
      <c r="P93" s="102">
        <v>90</v>
      </c>
      <c r="Q93" s="102">
        <v>90</v>
      </c>
      <c r="R93" s="102">
        <v>105</v>
      </c>
      <c r="T93" s="102">
        <f t="shared" si="1"/>
        <v>0</v>
      </c>
      <c r="W93">
        <v>29077</v>
      </c>
      <c r="X93">
        <v>29994</v>
      </c>
      <c r="Y93">
        <v>28090</v>
      </c>
      <c r="Z93">
        <v>21430</v>
      </c>
      <c r="AA93">
        <v>19030</v>
      </c>
      <c r="AB93" s="102">
        <v>120</v>
      </c>
      <c r="AC93" s="102">
        <v>485</v>
      </c>
      <c r="AD93" s="102">
        <v>240</v>
      </c>
      <c r="AE93" s="102">
        <v>325</v>
      </c>
      <c r="AF93" s="102">
        <v>2.98610217789538</v>
      </c>
      <c r="AG93" s="102">
        <v>0.3981469570527173</v>
      </c>
      <c r="AH93" s="102">
        <v>0</v>
      </c>
      <c r="AI93" s="102">
        <v>0.99536739263179319</v>
      </c>
      <c r="AJ93" s="102">
        <v>0.3981469570527173</v>
      </c>
      <c r="AK93" s="102">
        <v>0</v>
      </c>
      <c r="AL93" s="102">
        <v>3.1851756564217384</v>
      </c>
      <c r="AM93" s="102">
        <v>0</v>
      </c>
      <c r="AN93" s="102">
        <v>0</v>
      </c>
      <c r="AO93" s="102">
        <v>0.3981469570527173</v>
      </c>
      <c r="AP93" s="102">
        <v>0</v>
      </c>
      <c r="AQ93" s="102">
        <v>0</v>
      </c>
      <c r="AR93" s="102">
        <v>0</v>
      </c>
      <c r="AS93" s="102">
        <v>0</v>
      </c>
      <c r="AT93" s="102">
        <v>1.7916613067372278</v>
      </c>
      <c r="AU93" s="102">
        <v>2.5879552208426624</v>
      </c>
      <c r="AV93" s="102">
        <v>0.99536739263179319</v>
      </c>
      <c r="AW93" s="102">
        <v>0</v>
      </c>
      <c r="AX93" s="102">
        <v>0.59722043557907589</v>
      </c>
      <c r="AY93" s="102">
        <v>1.1944408711581518</v>
      </c>
    </row>
    <row r="94" spans="1:51" s="103" customFormat="1">
      <c r="A94" s="103" t="s">
        <v>560</v>
      </c>
      <c r="T94" s="103">
        <f t="shared" si="1"/>
        <v>0</v>
      </c>
      <c r="W94"/>
      <c r="X94"/>
      <c r="Y94"/>
      <c r="Z94"/>
      <c r="AA94"/>
      <c r="AB94" s="103">
        <v>0</v>
      </c>
      <c r="AC94" s="103">
        <v>0</v>
      </c>
      <c r="AD94" s="103">
        <v>0</v>
      </c>
      <c r="AE94" s="103">
        <v>0</v>
      </c>
      <c r="AF94" s="102" t="e">
        <v>#N/A</v>
      </c>
      <c r="AG94" s="102" t="e">
        <v>#N/A</v>
      </c>
      <c r="AH94" s="102" t="e">
        <v>#N/A</v>
      </c>
      <c r="AI94" s="102" t="e">
        <v>#N/A</v>
      </c>
      <c r="AJ94" s="102" t="e">
        <v>#N/A</v>
      </c>
      <c r="AK94" s="102" t="e">
        <v>#N/A</v>
      </c>
      <c r="AL94" s="102" t="e">
        <v>#N/A</v>
      </c>
      <c r="AM94" s="102" t="e">
        <v>#N/A</v>
      </c>
      <c r="AN94" s="102" t="e">
        <v>#N/A</v>
      </c>
      <c r="AO94" s="102" t="e">
        <v>#N/A</v>
      </c>
      <c r="AP94" s="102" t="e">
        <v>#N/A</v>
      </c>
      <c r="AQ94" s="102" t="e">
        <v>#N/A</v>
      </c>
      <c r="AR94" s="102" t="e">
        <v>#N/A</v>
      </c>
      <c r="AS94" s="102" t="e">
        <v>#N/A</v>
      </c>
      <c r="AT94" s="102" t="e">
        <v>#N/A</v>
      </c>
      <c r="AU94" s="102" t="e">
        <v>#N/A</v>
      </c>
      <c r="AV94" s="102" t="e">
        <v>#N/A</v>
      </c>
      <c r="AW94" s="102" t="e">
        <v>#N/A</v>
      </c>
      <c r="AX94" s="102" t="e">
        <v>#N/A</v>
      </c>
      <c r="AY94" s="102" t="e">
        <v>#N/A</v>
      </c>
    </row>
    <row r="95" spans="1:51">
      <c r="A95" s="102" t="s">
        <v>732</v>
      </c>
      <c r="B95" s="102">
        <v>1130</v>
      </c>
      <c r="C95" s="102">
        <v>1080</v>
      </c>
      <c r="D95" s="102">
        <v>0.7</v>
      </c>
      <c r="E95" s="102">
        <v>84553</v>
      </c>
      <c r="F95" s="102">
        <v>2.8</v>
      </c>
      <c r="G95" s="102">
        <v>470</v>
      </c>
      <c r="H95" s="102">
        <v>165</v>
      </c>
      <c r="I95" s="102">
        <v>40</v>
      </c>
      <c r="J95" s="102">
        <v>86.2</v>
      </c>
      <c r="K95" s="102">
        <v>13.8</v>
      </c>
      <c r="L95" s="102">
        <v>60.2</v>
      </c>
      <c r="M95" s="102">
        <v>54.2</v>
      </c>
      <c r="N95" s="102">
        <v>9.1</v>
      </c>
      <c r="O95" s="102">
        <v>320</v>
      </c>
      <c r="P95" s="102">
        <v>110</v>
      </c>
      <c r="Q95" s="102">
        <v>110</v>
      </c>
      <c r="R95" s="102">
        <v>270</v>
      </c>
      <c r="T95" s="102">
        <f t="shared" si="1"/>
        <v>0</v>
      </c>
      <c r="W95">
        <v>34724</v>
      </c>
      <c r="X95">
        <v>36175</v>
      </c>
      <c r="Y95">
        <v>32716</v>
      </c>
      <c r="Z95">
        <v>35056</v>
      </c>
      <c r="AA95">
        <v>27801</v>
      </c>
      <c r="AB95" s="102">
        <v>125</v>
      </c>
      <c r="AC95" s="102">
        <v>760</v>
      </c>
      <c r="AD95" s="102">
        <v>425</v>
      </c>
      <c r="AE95" s="102">
        <v>235</v>
      </c>
      <c r="AF95" s="102">
        <v>0</v>
      </c>
      <c r="AG95" s="102">
        <v>0</v>
      </c>
      <c r="AH95" s="102">
        <v>0.69922502788183827</v>
      </c>
      <c r="AI95" s="102">
        <v>1.9578300780691471</v>
      </c>
      <c r="AJ95" s="102">
        <v>0</v>
      </c>
      <c r="AK95" s="102">
        <v>0.83907003345820586</v>
      </c>
      <c r="AL95" s="102">
        <v>1.3984500557636765</v>
      </c>
      <c r="AM95" s="102">
        <v>0.27969001115273529</v>
      </c>
      <c r="AN95" s="102">
        <v>0.41953501672910293</v>
      </c>
      <c r="AO95" s="102">
        <v>0</v>
      </c>
      <c r="AP95" s="102">
        <v>0.27969001115273529</v>
      </c>
      <c r="AQ95" s="102">
        <v>0.27969001115273529</v>
      </c>
      <c r="AR95" s="102">
        <v>0</v>
      </c>
      <c r="AS95" s="102">
        <v>0.27969001115273529</v>
      </c>
      <c r="AT95" s="102">
        <v>1.5382950613400441</v>
      </c>
      <c r="AU95" s="102">
        <v>1.2586050501873087</v>
      </c>
      <c r="AV95" s="102">
        <v>0.97891503903457355</v>
      </c>
      <c r="AW95" s="102">
        <v>3.0765901226800882</v>
      </c>
      <c r="AX95" s="102">
        <v>0.27969001115273529</v>
      </c>
      <c r="AY95" s="102">
        <v>2.0976750836455147</v>
      </c>
    </row>
    <row r="96" spans="1:51" s="103" customFormat="1">
      <c r="A96" s="103" t="s">
        <v>733</v>
      </c>
      <c r="B96" s="103">
        <v>17320</v>
      </c>
      <c r="C96" s="103">
        <v>16970</v>
      </c>
      <c r="D96" s="103">
        <v>0.8</v>
      </c>
      <c r="E96" s="103">
        <v>65192</v>
      </c>
      <c r="F96" s="103">
        <v>7.2</v>
      </c>
      <c r="G96" s="103">
        <v>7345</v>
      </c>
      <c r="H96" s="103">
        <v>2545</v>
      </c>
      <c r="I96" s="103">
        <v>740</v>
      </c>
      <c r="J96" s="103">
        <v>86.7</v>
      </c>
      <c r="K96" s="103">
        <v>13.3</v>
      </c>
      <c r="L96" s="103">
        <v>58.9</v>
      </c>
      <c r="M96" s="103">
        <v>55.4</v>
      </c>
      <c r="N96" s="103">
        <v>6.1</v>
      </c>
      <c r="O96" s="103">
        <v>3530</v>
      </c>
      <c r="P96" s="103">
        <v>2015</v>
      </c>
      <c r="Q96" s="103">
        <v>2020</v>
      </c>
      <c r="R96" s="103">
        <v>1780</v>
      </c>
      <c r="T96" s="103">
        <f t="shared" si="1"/>
        <v>0</v>
      </c>
      <c r="W96"/>
      <c r="X96"/>
      <c r="Y96"/>
      <c r="Z96"/>
      <c r="AA96"/>
      <c r="AB96" s="103">
        <v>0</v>
      </c>
      <c r="AC96" s="103">
        <v>0</v>
      </c>
      <c r="AD96" s="103">
        <v>0</v>
      </c>
      <c r="AE96" s="103">
        <v>0</v>
      </c>
      <c r="AF96" s="102" t="e">
        <v>#N/A</v>
      </c>
      <c r="AG96" s="102" t="e">
        <v>#N/A</v>
      </c>
      <c r="AH96" s="102" t="e">
        <v>#N/A</v>
      </c>
      <c r="AI96" s="102" t="e">
        <v>#N/A</v>
      </c>
      <c r="AJ96" s="102" t="e">
        <v>#N/A</v>
      </c>
      <c r="AK96" s="102" t="e">
        <v>#N/A</v>
      </c>
      <c r="AL96" s="102" t="e">
        <v>#N/A</v>
      </c>
      <c r="AM96" s="102" t="e">
        <v>#N/A</v>
      </c>
      <c r="AN96" s="102" t="e">
        <v>#N/A</v>
      </c>
      <c r="AO96" s="102" t="e">
        <v>#N/A</v>
      </c>
      <c r="AP96" s="102" t="e">
        <v>#N/A</v>
      </c>
      <c r="AQ96" s="102" t="e">
        <v>#N/A</v>
      </c>
      <c r="AR96" s="102" t="e">
        <v>#N/A</v>
      </c>
      <c r="AS96" s="102" t="e">
        <v>#N/A</v>
      </c>
      <c r="AT96" s="102" t="e">
        <v>#N/A</v>
      </c>
      <c r="AU96" s="102" t="e">
        <v>#N/A</v>
      </c>
      <c r="AV96" s="102" t="e">
        <v>#N/A</v>
      </c>
      <c r="AW96" s="102" t="e">
        <v>#N/A</v>
      </c>
      <c r="AX96" s="102" t="e">
        <v>#N/A</v>
      </c>
      <c r="AY96" s="102" t="e">
        <v>#N/A</v>
      </c>
    </row>
    <row r="97" spans="1:51" s="103" customFormat="1">
      <c r="A97" s="103" t="s">
        <v>734</v>
      </c>
      <c r="B97" s="103">
        <v>9895</v>
      </c>
      <c r="C97" s="103">
        <v>8670</v>
      </c>
      <c r="D97" s="103">
        <v>1.2</v>
      </c>
      <c r="E97" s="103">
        <v>91130</v>
      </c>
      <c r="F97" s="103">
        <v>4</v>
      </c>
      <c r="G97" s="103">
        <v>2965</v>
      </c>
      <c r="H97" s="103">
        <v>950</v>
      </c>
      <c r="I97" s="103">
        <v>275</v>
      </c>
      <c r="J97" s="103">
        <v>92.6</v>
      </c>
      <c r="K97" s="103">
        <v>7.4</v>
      </c>
      <c r="L97" s="103">
        <v>78.099999999999994</v>
      </c>
      <c r="M97" s="103">
        <v>75.599999999999994</v>
      </c>
      <c r="N97" s="103">
        <v>3.2</v>
      </c>
      <c r="O97" s="103">
        <v>1765</v>
      </c>
      <c r="P97" s="103">
        <v>685</v>
      </c>
      <c r="Q97" s="103">
        <v>1395</v>
      </c>
      <c r="R97" s="103">
        <v>1405</v>
      </c>
      <c r="T97" s="103">
        <f t="shared" si="1"/>
        <v>0</v>
      </c>
      <c r="W97"/>
      <c r="X97"/>
      <c r="Y97"/>
      <c r="Z97"/>
      <c r="AA97"/>
      <c r="AB97" s="103">
        <v>0</v>
      </c>
      <c r="AC97" s="103">
        <v>0</v>
      </c>
      <c r="AD97" s="103">
        <v>0</v>
      </c>
      <c r="AE97" s="103">
        <v>0</v>
      </c>
      <c r="AF97" s="102" t="e">
        <v>#N/A</v>
      </c>
      <c r="AG97" s="102" t="e">
        <v>#N/A</v>
      </c>
      <c r="AH97" s="102" t="e">
        <v>#N/A</v>
      </c>
      <c r="AI97" s="102" t="e">
        <v>#N/A</v>
      </c>
      <c r="AJ97" s="102" t="e">
        <v>#N/A</v>
      </c>
      <c r="AK97" s="102" t="e">
        <v>#N/A</v>
      </c>
      <c r="AL97" s="102" t="e">
        <v>#N/A</v>
      </c>
      <c r="AM97" s="102" t="e">
        <v>#N/A</v>
      </c>
      <c r="AN97" s="102" t="e">
        <v>#N/A</v>
      </c>
      <c r="AO97" s="102" t="e">
        <v>#N/A</v>
      </c>
      <c r="AP97" s="102" t="e">
        <v>#N/A</v>
      </c>
      <c r="AQ97" s="102" t="e">
        <v>#N/A</v>
      </c>
      <c r="AR97" s="102" t="e">
        <v>#N/A</v>
      </c>
      <c r="AS97" s="102" t="e">
        <v>#N/A</v>
      </c>
      <c r="AT97" s="102" t="e">
        <v>#N/A</v>
      </c>
      <c r="AU97" s="102" t="e">
        <v>#N/A</v>
      </c>
      <c r="AV97" s="102" t="e">
        <v>#N/A</v>
      </c>
      <c r="AW97" s="102" t="e">
        <v>#N/A</v>
      </c>
      <c r="AX97" s="102" t="e">
        <v>#N/A</v>
      </c>
      <c r="AY97" s="102" t="e">
        <v>#N/A</v>
      </c>
    </row>
    <row r="98" spans="1:51" s="103" customFormat="1">
      <c r="A98" s="103" t="s">
        <v>735</v>
      </c>
      <c r="B98" s="103">
        <v>627785</v>
      </c>
      <c r="C98" s="103">
        <v>624515</v>
      </c>
      <c r="D98" s="103">
        <v>1.1000000000000001</v>
      </c>
      <c r="E98" s="103">
        <v>77842</v>
      </c>
      <c r="F98" s="103">
        <v>14.8</v>
      </c>
      <c r="G98" s="103">
        <v>261835</v>
      </c>
      <c r="H98" s="103">
        <v>76245</v>
      </c>
      <c r="I98" s="103">
        <v>22280</v>
      </c>
      <c r="J98" s="103">
        <v>65.099999999999994</v>
      </c>
      <c r="K98" s="103">
        <v>34.9</v>
      </c>
      <c r="L98" s="103">
        <v>68</v>
      </c>
      <c r="M98" s="103">
        <v>64.5</v>
      </c>
      <c r="N98" s="103">
        <v>5.2</v>
      </c>
      <c r="O98" s="103">
        <v>145845</v>
      </c>
      <c r="P98" s="103">
        <v>47450</v>
      </c>
      <c r="Q98" s="103">
        <v>81440</v>
      </c>
      <c r="R98" s="103">
        <v>122400</v>
      </c>
      <c r="T98" s="103">
        <f t="shared" si="1"/>
        <v>0</v>
      </c>
      <c r="W98"/>
      <c r="X98"/>
      <c r="Y98"/>
      <c r="Z98"/>
      <c r="AA98"/>
      <c r="AB98" s="103">
        <v>0</v>
      </c>
      <c r="AC98" s="103">
        <v>0</v>
      </c>
      <c r="AD98" s="103">
        <v>0</v>
      </c>
      <c r="AE98" s="103">
        <v>0</v>
      </c>
      <c r="AF98" s="102" t="e">
        <v>#N/A</v>
      </c>
      <c r="AG98" s="102" t="e">
        <v>#N/A</v>
      </c>
      <c r="AH98" s="102" t="e">
        <v>#N/A</v>
      </c>
      <c r="AI98" s="102" t="e">
        <v>#N/A</v>
      </c>
      <c r="AJ98" s="102" t="e">
        <v>#N/A</v>
      </c>
      <c r="AK98" s="102" t="e">
        <v>#N/A</v>
      </c>
      <c r="AL98" s="102" t="e">
        <v>#N/A</v>
      </c>
      <c r="AM98" s="102" t="e">
        <v>#N/A</v>
      </c>
      <c r="AN98" s="102" t="e">
        <v>#N/A</v>
      </c>
      <c r="AO98" s="102" t="e">
        <v>#N/A</v>
      </c>
      <c r="AP98" s="102" t="e">
        <v>#N/A</v>
      </c>
      <c r="AQ98" s="102" t="e">
        <v>#N/A</v>
      </c>
      <c r="AR98" s="102" t="e">
        <v>#N/A</v>
      </c>
      <c r="AS98" s="102" t="e">
        <v>#N/A</v>
      </c>
      <c r="AT98" s="102" t="e">
        <v>#N/A</v>
      </c>
      <c r="AU98" s="102" t="e">
        <v>#N/A</v>
      </c>
      <c r="AV98" s="102" t="e">
        <v>#N/A</v>
      </c>
      <c r="AW98" s="102" t="e">
        <v>#N/A</v>
      </c>
      <c r="AX98" s="102" t="e">
        <v>#N/A</v>
      </c>
      <c r="AY98" s="102" t="e">
        <v>#N/A</v>
      </c>
    </row>
    <row r="99" spans="1:51" s="103" customFormat="1">
      <c r="A99" s="103" t="s">
        <v>736</v>
      </c>
      <c r="B99" s="103">
        <v>19620</v>
      </c>
      <c r="C99" s="103">
        <v>19305</v>
      </c>
      <c r="D99" s="103">
        <v>1.1000000000000001</v>
      </c>
      <c r="E99" s="103">
        <v>85812</v>
      </c>
      <c r="F99" s="103">
        <v>3.3</v>
      </c>
      <c r="G99" s="103">
        <v>7265</v>
      </c>
      <c r="H99" s="103">
        <v>2225</v>
      </c>
      <c r="I99" s="103">
        <v>665</v>
      </c>
      <c r="J99" s="103">
        <v>91.4</v>
      </c>
      <c r="K99" s="103">
        <v>8.6</v>
      </c>
      <c r="L99" s="103">
        <v>70.099999999999994</v>
      </c>
      <c r="M99" s="103">
        <v>67.5</v>
      </c>
      <c r="N99" s="103">
        <v>3.7</v>
      </c>
      <c r="O99" s="103">
        <v>4305</v>
      </c>
      <c r="P99" s="103">
        <v>1895</v>
      </c>
      <c r="Q99" s="103">
        <v>2650</v>
      </c>
      <c r="R99" s="103">
        <v>2290</v>
      </c>
      <c r="T99" s="103">
        <f t="shared" si="1"/>
        <v>0</v>
      </c>
      <c r="W99"/>
      <c r="X99"/>
      <c r="Y99"/>
      <c r="Z99"/>
      <c r="AA99"/>
      <c r="AB99" s="103">
        <v>0</v>
      </c>
      <c r="AC99" s="103">
        <v>0</v>
      </c>
      <c r="AD99" s="103">
        <v>0</v>
      </c>
      <c r="AE99" s="103">
        <v>0</v>
      </c>
      <c r="AF99" s="102" t="e">
        <v>#N/A</v>
      </c>
      <c r="AG99" s="102" t="e">
        <v>#N/A</v>
      </c>
      <c r="AH99" s="102" t="e">
        <v>#N/A</v>
      </c>
      <c r="AI99" s="102" t="e">
        <v>#N/A</v>
      </c>
      <c r="AJ99" s="102" t="e">
        <v>#N/A</v>
      </c>
      <c r="AK99" s="102" t="e">
        <v>#N/A</v>
      </c>
      <c r="AL99" s="102" t="e">
        <v>#N/A</v>
      </c>
      <c r="AM99" s="102" t="e">
        <v>#N/A</v>
      </c>
      <c r="AN99" s="102" t="e">
        <v>#N/A</v>
      </c>
      <c r="AO99" s="102" t="e">
        <v>#N/A</v>
      </c>
      <c r="AP99" s="102" t="e">
        <v>#N/A</v>
      </c>
      <c r="AQ99" s="102" t="e">
        <v>#N/A</v>
      </c>
      <c r="AR99" s="102" t="e">
        <v>#N/A</v>
      </c>
      <c r="AS99" s="102" t="e">
        <v>#N/A</v>
      </c>
      <c r="AT99" s="102" t="e">
        <v>#N/A</v>
      </c>
      <c r="AU99" s="102" t="e">
        <v>#N/A</v>
      </c>
      <c r="AV99" s="102" t="e">
        <v>#N/A</v>
      </c>
      <c r="AW99" s="102" t="e">
        <v>#N/A</v>
      </c>
      <c r="AX99" s="102" t="e">
        <v>#N/A</v>
      </c>
      <c r="AY99" s="102" t="e">
        <v>#N/A</v>
      </c>
    </row>
    <row r="100" spans="1:51" s="103" customFormat="1">
      <c r="A100" s="103" t="s">
        <v>737</v>
      </c>
      <c r="B100" s="103">
        <v>44120</v>
      </c>
      <c r="C100" s="103">
        <v>43920</v>
      </c>
      <c r="D100" s="103">
        <v>1.1000000000000001</v>
      </c>
      <c r="E100" s="103">
        <v>86640</v>
      </c>
      <c r="F100" s="103">
        <v>6.1</v>
      </c>
      <c r="G100" s="103">
        <v>16370</v>
      </c>
      <c r="H100" s="103">
        <v>4395</v>
      </c>
      <c r="I100" s="103">
        <v>1285</v>
      </c>
      <c r="J100" s="103">
        <v>88.3</v>
      </c>
      <c r="K100" s="103">
        <v>11.1</v>
      </c>
      <c r="L100" s="103">
        <v>70.099999999999994</v>
      </c>
      <c r="M100" s="103">
        <v>67.099999999999994</v>
      </c>
      <c r="N100" s="103">
        <v>4.3</v>
      </c>
      <c r="O100" s="103">
        <v>10020</v>
      </c>
      <c r="P100" s="103">
        <v>4510</v>
      </c>
      <c r="Q100" s="103">
        <v>6335</v>
      </c>
      <c r="R100" s="103">
        <v>6325</v>
      </c>
      <c r="T100" s="103">
        <f t="shared" si="1"/>
        <v>0</v>
      </c>
      <c r="W100"/>
      <c r="X100"/>
      <c r="Y100"/>
      <c r="Z100"/>
      <c r="AA100"/>
      <c r="AB100" s="103">
        <v>0</v>
      </c>
      <c r="AC100" s="103">
        <v>0</v>
      </c>
      <c r="AD100" s="103">
        <v>0</v>
      </c>
      <c r="AE100" s="103">
        <v>0</v>
      </c>
      <c r="AF100" s="102" t="e">
        <v>#N/A</v>
      </c>
      <c r="AG100" s="102" t="e">
        <v>#N/A</v>
      </c>
      <c r="AH100" s="102" t="e">
        <v>#N/A</v>
      </c>
      <c r="AI100" s="102" t="e">
        <v>#N/A</v>
      </c>
      <c r="AJ100" s="102" t="e">
        <v>#N/A</v>
      </c>
      <c r="AK100" s="102" t="e">
        <v>#N/A</v>
      </c>
      <c r="AL100" s="102" t="e">
        <v>#N/A</v>
      </c>
      <c r="AM100" s="102" t="e">
        <v>#N/A</v>
      </c>
      <c r="AN100" s="102" t="e">
        <v>#N/A</v>
      </c>
      <c r="AO100" s="102" t="e">
        <v>#N/A</v>
      </c>
      <c r="AP100" s="102" t="e">
        <v>#N/A</v>
      </c>
      <c r="AQ100" s="102" t="e">
        <v>#N/A</v>
      </c>
      <c r="AR100" s="102" t="e">
        <v>#N/A</v>
      </c>
      <c r="AS100" s="102" t="e">
        <v>#N/A</v>
      </c>
      <c r="AT100" s="102" t="e">
        <v>#N/A</v>
      </c>
      <c r="AU100" s="102" t="e">
        <v>#N/A</v>
      </c>
      <c r="AV100" s="102" t="e">
        <v>#N/A</v>
      </c>
      <c r="AW100" s="102" t="e">
        <v>#N/A</v>
      </c>
      <c r="AX100" s="102" t="e">
        <v>#N/A</v>
      </c>
      <c r="AY100" s="102" t="e">
        <v>#N/A</v>
      </c>
    </row>
    <row r="101" spans="1:51" s="103" customFormat="1">
      <c r="A101" s="103" t="s">
        <v>738</v>
      </c>
      <c r="B101" s="103">
        <v>17370</v>
      </c>
      <c r="C101" s="103">
        <v>16535</v>
      </c>
      <c r="D101" s="103">
        <v>1.1000000000000001</v>
      </c>
      <c r="E101" s="103">
        <v>73768</v>
      </c>
      <c r="F101" s="103">
        <v>6.1</v>
      </c>
      <c r="G101" s="103">
        <v>6280</v>
      </c>
      <c r="H101" s="103">
        <v>2035</v>
      </c>
      <c r="I101" s="103">
        <v>395</v>
      </c>
      <c r="J101" s="103">
        <v>86.6</v>
      </c>
      <c r="K101" s="103">
        <v>13.5</v>
      </c>
      <c r="L101" s="103">
        <v>71.7</v>
      </c>
      <c r="M101" s="103">
        <v>69.400000000000006</v>
      </c>
      <c r="N101" s="103">
        <v>3.2</v>
      </c>
      <c r="O101" s="103">
        <v>3725</v>
      </c>
      <c r="P101" s="103">
        <v>1595</v>
      </c>
      <c r="Q101" s="103">
        <v>2205</v>
      </c>
      <c r="R101" s="103">
        <v>1800</v>
      </c>
      <c r="T101" s="103">
        <f t="shared" si="1"/>
        <v>0</v>
      </c>
      <c r="W101"/>
      <c r="X101"/>
      <c r="Y101"/>
      <c r="Z101"/>
      <c r="AA101"/>
      <c r="AB101" s="103">
        <v>0</v>
      </c>
      <c r="AC101" s="103">
        <v>0</v>
      </c>
      <c r="AD101" s="103">
        <v>0</v>
      </c>
      <c r="AE101" s="103">
        <v>0</v>
      </c>
      <c r="AF101" s="102" t="e">
        <v>#N/A</v>
      </c>
      <c r="AG101" s="102" t="e">
        <v>#N/A</v>
      </c>
      <c r="AH101" s="102" t="e">
        <v>#N/A</v>
      </c>
      <c r="AI101" s="102" t="e">
        <v>#N/A</v>
      </c>
      <c r="AJ101" s="102" t="e">
        <v>#N/A</v>
      </c>
      <c r="AK101" s="102" t="e">
        <v>#N/A</v>
      </c>
      <c r="AL101" s="102" t="e">
        <v>#N/A</v>
      </c>
      <c r="AM101" s="102" t="e">
        <v>#N/A</v>
      </c>
      <c r="AN101" s="102" t="e">
        <v>#N/A</v>
      </c>
      <c r="AO101" s="102" t="e">
        <v>#N/A</v>
      </c>
      <c r="AP101" s="102" t="e">
        <v>#N/A</v>
      </c>
      <c r="AQ101" s="102" t="e">
        <v>#N/A</v>
      </c>
      <c r="AR101" s="102" t="e">
        <v>#N/A</v>
      </c>
      <c r="AS101" s="102" t="e">
        <v>#N/A</v>
      </c>
      <c r="AT101" s="102" t="e">
        <v>#N/A</v>
      </c>
      <c r="AU101" s="102" t="e">
        <v>#N/A</v>
      </c>
      <c r="AV101" s="102" t="e">
        <v>#N/A</v>
      </c>
      <c r="AW101" s="102" t="e">
        <v>#N/A</v>
      </c>
      <c r="AX101" s="102" t="e">
        <v>#N/A</v>
      </c>
      <c r="AY101" s="102" t="e">
        <v>#N/A</v>
      </c>
    </row>
    <row r="102" spans="1:51" s="103" customFormat="1">
      <c r="A102" s="103" t="s">
        <v>739</v>
      </c>
      <c r="B102" s="103">
        <v>21080</v>
      </c>
      <c r="C102" s="103">
        <v>20345</v>
      </c>
      <c r="D102" s="103">
        <v>1</v>
      </c>
      <c r="E102" s="103">
        <v>55768</v>
      </c>
      <c r="F102" s="103">
        <v>8.8000000000000007</v>
      </c>
      <c r="G102" s="103">
        <v>8845</v>
      </c>
      <c r="H102" s="103">
        <v>3120</v>
      </c>
      <c r="I102" s="103">
        <v>940</v>
      </c>
      <c r="J102" s="103">
        <v>79.8</v>
      </c>
      <c r="K102" s="103">
        <v>16.399999999999999</v>
      </c>
      <c r="L102" s="103">
        <v>66.599999999999994</v>
      </c>
      <c r="M102" s="103">
        <v>64.599999999999994</v>
      </c>
      <c r="N102" s="103">
        <v>3</v>
      </c>
      <c r="O102" s="103">
        <v>4240</v>
      </c>
      <c r="P102" s="103">
        <v>1900</v>
      </c>
      <c r="Q102" s="103">
        <v>2400</v>
      </c>
      <c r="R102" s="103">
        <v>2340</v>
      </c>
      <c r="T102" s="103">
        <f t="shared" si="1"/>
        <v>0</v>
      </c>
      <c r="W102"/>
      <c r="X102"/>
      <c r="Y102"/>
      <c r="Z102"/>
      <c r="AA102"/>
      <c r="AB102" s="103">
        <v>0</v>
      </c>
      <c r="AC102" s="103">
        <v>0</v>
      </c>
      <c r="AD102" s="103">
        <v>0</v>
      </c>
      <c r="AE102" s="103">
        <v>0</v>
      </c>
      <c r="AF102" s="102" t="e">
        <v>#N/A</v>
      </c>
      <c r="AG102" s="102" t="e">
        <v>#N/A</v>
      </c>
      <c r="AH102" s="102" t="e">
        <v>#N/A</v>
      </c>
      <c r="AI102" s="102" t="e">
        <v>#N/A</v>
      </c>
      <c r="AJ102" s="102" t="e">
        <v>#N/A</v>
      </c>
      <c r="AK102" s="102" t="e">
        <v>#N/A</v>
      </c>
      <c r="AL102" s="102" t="e">
        <v>#N/A</v>
      </c>
      <c r="AM102" s="102" t="e">
        <v>#N/A</v>
      </c>
      <c r="AN102" s="102" t="e">
        <v>#N/A</v>
      </c>
      <c r="AO102" s="102" t="e">
        <v>#N/A</v>
      </c>
      <c r="AP102" s="102" t="e">
        <v>#N/A</v>
      </c>
      <c r="AQ102" s="102" t="e">
        <v>#N/A</v>
      </c>
      <c r="AR102" s="102" t="e">
        <v>#N/A</v>
      </c>
      <c r="AS102" s="102" t="e">
        <v>#N/A</v>
      </c>
      <c r="AT102" s="102" t="e">
        <v>#N/A</v>
      </c>
      <c r="AU102" s="102" t="e">
        <v>#N/A</v>
      </c>
      <c r="AV102" s="102" t="e">
        <v>#N/A</v>
      </c>
      <c r="AW102" s="102" t="e">
        <v>#N/A</v>
      </c>
      <c r="AX102" s="102" t="e">
        <v>#N/A</v>
      </c>
      <c r="AY102" s="102" t="e">
        <v>#N/A</v>
      </c>
    </row>
    <row r="103" spans="1:51" s="103" customFormat="1">
      <c r="A103" s="103" t="s">
        <v>740</v>
      </c>
      <c r="B103" s="103">
        <v>9825</v>
      </c>
      <c r="C103" s="103">
        <v>9815</v>
      </c>
      <c r="D103" s="103">
        <v>1.1000000000000001</v>
      </c>
      <c r="E103" s="103">
        <v>49482</v>
      </c>
      <c r="F103" s="103">
        <v>12.5</v>
      </c>
      <c r="G103" s="103">
        <v>4090</v>
      </c>
      <c r="H103" s="103">
        <v>1360</v>
      </c>
      <c r="I103" s="103">
        <v>690</v>
      </c>
      <c r="J103" s="103">
        <v>71.900000000000006</v>
      </c>
      <c r="K103" s="103">
        <v>17.2</v>
      </c>
      <c r="L103" s="103">
        <v>61.1</v>
      </c>
      <c r="M103" s="103">
        <v>57.5</v>
      </c>
      <c r="N103" s="103">
        <v>6.1</v>
      </c>
      <c r="O103" s="103">
        <v>1760</v>
      </c>
      <c r="P103" s="103">
        <v>800</v>
      </c>
      <c r="Q103" s="103">
        <v>1005</v>
      </c>
      <c r="R103" s="103">
        <v>730</v>
      </c>
      <c r="T103" s="103">
        <f t="shared" si="1"/>
        <v>0</v>
      </c>
      <c r="W103"/>
      <c r="X103"/>
      <c r="Y103"/>
      <c r="Z103"/>
      <c r="AA103"/>
      <c r="AB103" s="103">
        <v>0</v>
      </c>
      <c r="AC103" s="103">
        <v>0</v>
      </c>
      <c r="AD103" s="103">
        <v>0</v>
      </c>
      <c r="AE103" s="103">
        <v>0</v>
      </c>
      <c r="AF103" s="102" t="e">
        <v>#N/A</v>
      </c>
      <c r="AG103" s="102" t="e">
        <v>#N/A</v>
      </c>
      <c r="AH103" s="102" t="e">
        <v>#N/A</v>
      </c>
      <c r="AI103" s="102" t="e">
        <v>#N/A</v>
      </c>
      <c r="AJ103" s="102" t="e">
        <v>#N/A</v>
      </c>
      <c r="AK103" s="102" t="e">
        <v>#N/A</v>
      </c>
      <c r="AL103" s="102" t="e">
        <v>#N/A</v>
      </c>
      <c r="AM103" s="102" t="e">
        <v>#N/A</v>
      </c>
      <c r="AN103" s="102" t="e">
        <v>#N/A</v>
      </c>
      <c r="AO103" s="102" t="e">
        <v>#N/A</v>
      </c>
      <c r="AP103" s="102" t="e">
        <v>#N/A</v>
      </c>
      <c r="AQ103" s="102" t="e">
        <v>#N/A</v>
      </c>
      <c r="AR103" s="102" t="e">
        <v>#N/A</v>
      </c>
      <c r="AS103" s="102" t="e">
        <v>#N/A</v>
      </c>
      <c r="AT103" s="102" t="e">
        <v>#N/A</v>
      </c>
      <c r="AU103" s="102" t="e">
        <v>#N/A</v>
      </c>
      <c r="AV103" s="102" t="e">
        <v>#N/A</v>
      </c>
      <c r="AW103" s="102" t="e">
        <v>#N/A</v>
      </c>
      <c r="AX103" s="102" t="e">
        <v>#N/A</v>
      </c>
      <c r="AY103" s="102" t="e">
        <v>#N/A</v>
      </c>
    </row>
    <row r="104" spans="1:51" s="103" customFormat="1">
      <c r="A104" s="103" t="s">
        <v>741</v>
      </c>
      <c r="B104" s="103">
        <v>21965</v>
      </c>
      <c r="C104" s="103">
        <v>21930</v>
      </c>
      <c r="D104" s="103">
        <v>1</v>
      </c>
      <c r="E104" s="103">
        <v>54828</v>
      </c>
      <c r="F104" s="103">
        <v>11.7</v>
      </c>
      <c r="G104" s="103">
        <v>9520</v>
      </c>
      <c r="H104" s="103">
        <v>3435</v>
      </c>
      <c r="I104" s="103">
        <v>1190</v>
      </c>
      <c r="J104" s="103">
        <v>76.2</v>
      </c>
      <c r="K104" s="103">
        <v>20.9</v>
      </c>
      <c r="L104" s="103">
        <v>59.5</v>
      </c>
      <c r="M104" s="103">
        <v>55.4</v>
      </c>
      <c r="N104" s="103">
        <v>6.9</v>
      </c>
      <c r="O104" s="103">
        <v>4205</v>
      </c>
      <c r="P104" s="103">
        <v>1810</v>
      </c>
      <c r="Q104" s="103">
        <v>2560</v>
      </c>
      <c r="R104" s="103">
        <v>2225</v>
      </c>
      <c r="T104" s="103">
        <f t="shared" si="1"/>
        <v>0</v>
      </c>
      <c r="W104"/>
      <c r="X104"/>
      <c r="Y104"/>
      <c r="Z104"/>
      <c r="AA104"/>
      <c r="AB104" s="103">
        <v>0</v>
      </c>
      <c r="AC104" s="103">
        <v>0</v>
      </c>
      <c r="AD104" s="103">
        <v>0</v>
      </c>
      <c r="AE104" s="103">
        <v>0</v>
      </c>
      <c r="AF104" s="102" t="e">
        <v>#N/A</v>
      </c>
      <c r="AG104" s="102" t="e">
        <v>#N/A</v>
      </c>
      <c r="AH104" s="102" t="e">
        <v>#N/A</v>
      </c>
      <c r="AI104" s="102" t="e">
        <v>#N/A</v>
      </c>
      <c r="AJ104" s="102" t="e">
        <v>#N/A</v>
      </c>
      <c r="AK104" s="102" t="e">
        <v>#N/A</v>
      </c>
      <c r="AL104" s="102" t="e">
        <v>#N/A</v>
      </c>
      <c r="AM104" s="102" t="e">
        <v>#N/A</v>
      </c>
      <c r="AN104" s="102" t="e">
        <v>#N/A</v>
      </c>
      <c r="AO104" s="102" t="e">
        <v>#N/A</v>
      </c>
      <c r="AP104" s="102" t="e">
        <v>#N/A</v>
      </c>
      <c r="AQ104" s="102" t="e">
        <v>#N/A</v>
      </c>
      <c r="AR104" s="102" t="e">
        <v>#N/A</v>
      </c>
      <c r="AS104" s="102" t="e">
        <v>#N/A</v>
      </c>
      <c r="AT104" s="102" t="e">
        <v>#N/A</v>
      </c>
      <c r="AU104" s="102" t="e">
        <v>#N/A</v>
      </c>
      <c r="AV104" s="102" t="e">
        <v>#N/A</v>
      </c>
      <c r="AW104" s="102" t="e">
        <v>#N/A</v>
      </c>
      <c r="AX104" s="102" t="e">
        <v>#N/A</v>
      </c>
      <c r="AY104" s="102" t="e">
        <v>#N/A</v>
      </c>
    </row>
    <row r="105" spans="1:51" s="103" customFormat="1">
      <c r="A105" s="103" t="s">
        <v>686</v>
      </c>
      <c r="T105" s="103">
        <f t="shared" si="1"/>
        <v>0</v>
      </c>
      <c r="W105">
        <v>0</v>
      </c>
      <c r="X105">
        <v>0</v>
      </c>
      <c r="Y105">
        <v>0</v>
      </c>
      <c r="Z105">
        <v>0</v>
      </c>
      <c r="AA105">
        <v>0</v>
      </c>
      <c r="AB105" s="103">
        <v>0</v>
      </c>
      <c r="AC105" s="103">
        <v>0</v>
      </c>
      <c r="AD105" s="103">
        <v>0</v>
      </c>
      <c r="AE105" s="103">
        <v>0</v>
      </c>
      <c r="AF105" s="102" t="e">
        <v>#VALUE!</v>
      </c>
      <c r="AG105" s="102" t="e">
        <v>#VALUE!</v>
      </c>
      <c r="AH105" s="102" t="e">
        <v>#VALUE!</v>
      </c>
      <c r="AI105" s="102" t="e">
        <v>#VALUE!</v>
      </c>
      <c r="AJ105" s="102" t="e">
        <v>#VALUE!</v>
      </c>
      <c r="AK105" s="102" t="e">
        <v>#VALUE!</v>
      </c>
      <c r="AL105" s="102" t="e">
        <v>#VALUE!</v>
      </c>
      <c r="AM105" s="102" t="e">
        <v>#VALUE!</v>
      </c>
      <c r="AN105" s="102" t="e">
        <v>#VALUE!</v>
      </c>
      <c r="AO105" s="102" t="e">
        <v>#VALUE!</v>
      </c>
      <c r="AP105" s="102" t="e">
        <v>#VALUE!</v>
      </c>
      <c r="AQ105" s="102" t="e">
        <v>#VALUE!</v>
      </c>
      <c r="AR105" s="102" t="e">
        <v>#VALUE!</v>
      </c>
      <c r="AS105" s="102" t="e">
        <v>#VALUE!</v>
      </c>
      <c r="AT105" s="102" t="e">
        <v>#VALUE!</v>
      </c>
      <c r="AU105" s="102" t="e">
        <v>#VALUE!</v>
      </c>
      <c r="AV105" s="102" t="e">
        <v>#VALUE!</v>
      </c>
      <c r="AW105" s="102" t="e">
        <v>#VALUE!</v>
      </c>
      <c r="AX105" s="102" t="e">
        <v>#VALUE!</v>
      </c>
      <c r="AY105" s="102" t="e">
        <v>#VALUE!</v>
      </c>
    </row>
    <row r="106" spans="1:51" s="103" customFormat="1">
      <c r="A106" s="103" t="s">
        <v>742</v>
      </c>
      <c r="B106" s="103">
        <v>23615</v>
      </c>
      <c r="C106" s="103">
        <v>23360</v>
      </c>
      <c r="D106" s="103">
        <v>1</v>
      </c>
      <c r="E106" s="103">
        <v>55478</v>
      </c>
      <c r="F106" s="103">
        <v>8.1999999999999993</v>
      </c>
      <c r="G106" s="103">
        <v>9680</v>
      </c>
      <c r="H106" s="103">
        <v>3060</v>
      </c>
      <c r="I106" s="103">
        <v>1380</v>
      </c>
      <c r="J106" s="103">
        <v>80.099999999999994</v>
      </c>
      <c r="K106" s="103">
        <v>15.4</v>
      </c>
      <c r="L106" s="103">
        <v>60</v>
      </c>
      <c r="M106" s="103">
        <v>55.7</v>
      </c>
      <c r="N106" s="103">
        <v>7.1</v>
      </c>
      <c r="O106" s="103">
        <v>4375</v>
      </c>
      <c r="P106" s="103">
        <v>2270</v>
      </c>
      <c r="Q106" s="103">
        <v>2590</v>
      </c>
      <c r="R106" s="103">
        <v>2085</v>
      </c>
      <c r="T106" s="103">
        <f t="shared" si="1"/>
        <v>0</v>
      </c>
      <c r="W106"/>
      <c r="X106"/>
      <c r="Y106"/>
      <c r="Z106"/>
      <c r="AA106"/>
      <c r="AB106" s="103">
        <v>0</v>
      </c>
      <c r="AC106" s="103">
        <v>0</v>
      </c>
      <c r="AD106" s="103">
        <v>0</v>
      </c>
      <c r="AE106" s="103">
        <v>0</v>
      </c>
      <c r="AF106" s="102" t="e">
        <v>#N/A</v>
      </c>
      <c r="AG106" s="102" t="e">
        <v>#N/A</v>
      </c>
      <c r="AH106" s="102" t="e">
        <v>#N/A</v>
      </c>
      <c r="AI106" s="102" t="e">
        <v>#N/A</v>
      </c>
      <c r="AJ106" s="102" t="e">
        <v>#N/A</v>
      </c>
      <c r="AK106" s="102" t="e">
        <v>#N/A</v>
      </c>
      <c r="AL106" s="102" t="e">
        <v>#N/A</v>
      </c>
      <c r="AM106" s="102" t="e">
        <v>#N/A</v>
      </c>
      <c r="AN106" s="102" t="e">
        <v>#N/A</v>
      </c>
      <c r="AO106" s="102" t="e">
        <v>#N/A</v>
      </c>
      <c r="AP106" s="102" t="e">
        <v>#N/A</v>
      </c>
      <c r="AQ106" s="102" t="e">
        <v>#N/A</v>
      </c>
      <c r="AR106" s="102" t="e">
        <v>#N/A</v>
      </c>
      <c r="AS106" s="102" t="e">
        <v>#N/A</v>
      </c>
      <c r="AT106" s="102" t="e">
        <v>#N/A</v>
      </c>
      <c r="AU106" s="102" t="e">
        <v>#N/A</v>
      </c>
      <c r="AV106" s="102" t="e">
        <v>#N/A</v>
      </c>
      <c r="AW106" s="102" t="e">
        <v>#N/A</v>
      </c>
      <c r="AX106" s="102" t="e">
        <v>#N/A</v>
      </c>
      <c r="AY106" s="102" t="e">
        <v>#N/A</v>
      </c>
    </row>
    <row r="107" spans="1:51" s="103" customFormat="1">
      <c r="A107" s="103" t="s">
        <v>693</v>
      </c>
      <c r="B107" s="103">
        <v>85</v>
      </c>
      <c r="C107" s="103">
        <v>80</v>
      </c>
      <c r="D107" s="103">
        <v>0.3</v>
      </c>
      <c r="E107" s="103">
        <v>0</v>
      </c>
      <c r="F107" s="103">
        <v>0</v>
      </c>
      <c r="G107" s="103">
        <v>40</v>
      </c>
      <c r="H107" s="103">
        <v>10</v>
      </c>
      <c r="I107" s="103">
        <v>0</v>
      </c>
      <c r="J107" s="103">
        <v>112.5</v>
      </c>
      <c r="K107" s="103">
        <v>0</v>
      </c>
      <c r="L107" s="103">
        <v>41.2</v>
      </c>
      <c r="M107" s="103">
        <v>29.4</v>
      </c>
      <c r="N107" s="103">
        <v>28.6</v>
      </c>
      <c r="O107" s="103">
        <v>25</v>
      </c>
      <c r="P107" s="103">
        <v>25</v>
      </c>
      <c r="Q107" s="103">
        <v>10</v>
      </c>
      <c r="R107" s="103">
        <v>15</v>
      </c>
      <c r="T107" s="103">
        <f t="shared" si="1"/>
        <v>0</v>
      </c>
      <c r="W107">
        <v>0</v>
      </c>
      <c r="X107">
        <v>0</v>
      </c>
      <c r="Y107">
        <v>0</v>
      </c>
      <c r="Z107">
        <v>0</v>
      </c>
      <c r="AA107">
        <v>0</v>
      </c>
      <c r="AB107" s="103">
        <v>10</v>
      </c>
      <c r="AC107" s="103">
        <v>70</v>
      </c>
      <c r="AD107" s="103">
        <v>60</v>
      </c>
      <c r="AE107" s="103">
        <v>20</v>
      </c>
      <c r="AF107" s="102">
        <v>4.8346416213544234</v>
      </c>
      <c r="AG107" s="102">
        <v>0</v>
      </c>
      <c r="AH107" s="102">
        <v>0</v>
      </c>
      <c r="AI107" s="102">
        <v>0</v>
      </c>
      <c r="AJ107" s="102">
        <v>4.8346416213544234</v>
      </c>
      <c r="AK107" s="102">
        <v>0</v>
      </c>
      <c r="AL107" s="102">
        <v>0</v>
      </c>
      <c r="AM107" s="102">
        <v>0</v>
      </c>
      <c r="AN107" s="102">
        <v>0</v>
      </c>
      <c r="AO107" s="102">
        <v>0</v>
      </c>
      <c r="AP107" s="102">
        <v>0</v>
      </c>
      <c r="AQ107" s="102">
        <v>0</v>
      </c>
      <c r="AR107" s="102">
        <v>0</v>
      </c>
      <c r="AS107" s="102">
        <v>0</v>
      </c>
      <c r="AT107" s="102">
        <v>0</v>
      </c>
      <c r="AU107" s="102">
        <v>0</v>
      </c>
      <c r="AV107" s="102">
        <v>4.8346416213544234</v>
      </c>
      <c r="AW107" s="102">
        <v>4.8346416213544234</v>
      </c>
      <c r="AX107" s="102">
        <v>0</v>
      </c>
      <c r="AY107" s="102">
        <v>0</v>
      </c>
    </row>
    <row r="108" spans="1:51" s="103" customFormat="1">
      <c r="A108" s="103" t="s">
        <v>694</v>
      </c>
      <c r="T108" s="103">
        <f t="shared" si="1"/>
        <v>0</v>
      </c>
      <c r="W108">
        <v>0</v>
      </c>
      <c r="X108">
        <v>0</v>
      </c>
      <c r="Y108">
        <v>0</v>
      </c>
      <c r="Z108">
        <v>0</v>
      </c>
      <c r="AA108">
        <v>0</v>
      </c>
      <c r="AB108" s="103">
        <v>0</v>
      </c>
      <c r="AC108" s="103">
        <v>0</v>
      </c>
      <c r="AD108" s="103">
        <v>0</v>
      </c>
      <c r="AE108" s="103">
        <v>0</v>
      </c>
      <c r="AF108" s="102" t="e">
        <v>#VALUE!</v>
      </c>
      <c r="AG108" s="102" t="e">
        <v>#VALUE!</v>
      </c>
      <c r="AH108" s="102" t="e">
        <v>#VALUE!</v>
      </c>
      <c r="AI108" s="102" t="e">
        <v>#VALUE!</v>
      </c>
      <c r="AJ108" s="102" t="e">
        <v>#VALUE!</v>
      </c>
      <c r="AK108" s="102" t="e">
        <v>#VALUE!</v>
      </c>
      <c r="AL108" s="102" t="e">
        <v>#VALUE!</v>
      </c>
      <c r="AM108" s="102" t="e">
        <v>#VALUE!</v>
      </c>
      <c r="AN108" s="102" t="e">
        <v>#VALUE!</v>
      </c>
      <c r="AO108" s="102" t="e">
        <v>#VALUE!</v>
      </c>
      <c r="AP108" s="102" t="e">
        <v>#VALUE!</v>
      </c>
      <c r="AQ108" s="102" t="e">
        <v>#VALUE!</v>
      </c>
      <c r="AR108" s="102" t="e">
        <v>#VALUE!</v>
      </c>
      <c r="AS108" s="102" t="e">
        <v>#VALUE!</v>
      </c>
      <c r="AT108" s="102" t="e">
        <v>#VALUE!</v>
      </c>
      <c r="AU108" s="102" t="e">
        <v>#VALUE!</v>
      </c>
      <c r="AV108" s="102" t="e">
        <v>#VALUE!</v>
      </c>
      <c r="AW108" s="102" t="e">
        <v>#VALUE!</v>
      </c>
      <c r="AX108" s="102" t="e">
        <v>#VALUE!</v>
      </c>
      <c r="AY108" s="102" t="e">
        <v>#VALUE!</v>
      </c>
    </row>
    <row r="109" spans="1:51" s="103" customFormat="1">
      <c r="A109" s="103" t="s">
        <v>743</v>
      </c>
      <c r="B109" s="103">
        <v>16300</v>
      </c>
      <c r="C109" s="103">
        <v>16285</v>
      </c>
      <c r="D109" s="103">
        <v>1.9</v>
      </c>
      <c r="E109" s="103">
        <v>33607</v>
      </c>
      <c r="F109" s="103">
        <v>37.200000000000003</v>
      </c>
      <c r="G109" s="103">
        <v>4765</v>
      </c>
      <c r="H109" s="103">
        <v>1475</v>
      </c>
      <c r="I109" s="103">
        <v>2345</v>
      </c>
      <c r="J109" s="103">
        <v>22.6</v>
      </c>
      <c r="K109" s="103">
        <v>13.9</v>
      </c>
      <c r="L109" s="103">
        <v>47.6</v>
      </c>
      <c r="M109" s="103">
        <v>35.6</v>
      </c>
      <c r="N109" s="103">
        <v>25.4</v>
      </c>
      <c r="O109" s="103">
        <v>1455</v>
      </c>
      <c r="P109" s="103">
        <v>725</v>
      </c>
      <c r="Q109" s="103">
        <v>910</v>
      </c>
      <c r="R109" s="103">
        <v>760</v>
      </c>
      <c r="T109" s="103">
        <f t="shared" si="1"/>
        <v>0</v>
      </c>
      <c r="W109"/>
      <c r="X109"/>
      <c r="Y109"/>
      <c r="Z109"/>
      <c r="AA109"/>
      <c r="AB109" s="103">
        <v>0</v>
      </c>
      <c r="AC109" s="103">
        <v>0</v>
      </c>
      <c r="AD109" s="103">
        <v>0</v>
      </c>
      <c r="AE109" s="103">
        <v>0</v>
      </c>
      <c r="AF109" s="102" t="e">
        <v>#N/A</v>
      </c>
      <c r="AG109" s="102" t="e">
        <v>#N/A</v>
      </c>
      <c r="AH109" s="102" t="e">
        <v>#N/A</v>
      </c>
      <c r="AI109" s="102" t="e">
        <v>#N/A</v>
      </c>
      <c r="AJ109" s="102" t="e">
        <v>#N/A</v>
      </c>
      <c r="AK109" s="102" t="e">
        <v>#N/A</v>
      </c>
      <c r="AL109" s="102" t="e">
        <v>#N/A</v>
      </c>
      <c r="AM109" s="102" t="e">
        <v>#N/A</v>
      </c>
      <c r="AN109" s="102" t="e">
        <v>#N/A</v>
      </c>
      <c r="AO109" s="102" t="e">
        <v>#N/A</v>
      </c>
      <c r="AP109" s="102" t="e">
        <v>#N/A</v>
      </c>
      <c r="AQ109" s="102" t="e">
        <v>#N/A</v>
      </c>
      <c r="AR109" s="102" t="e">
        <v>#N/A</v>
      </c>
      <c r="AS109" s="102" t="e">
        <v>#N/A</v>
      </c>
      <c r="AT109" s="102" t="e">
        <v>#N/A</v>
      </c>
      <c r="AU109" s="102" t="e">
        <v>#N/A</v>
      </c>
      <c r="AV109" s="102" t="e">
        <v>#N/A</v>
      </c>
      <c r="AW109" s="102" t="e">
        <v>#N/A</v>
      </c>
      <c r="AX109" s="102" t="e">
        <v>#N/A</v>
      </c>
      <c r="AY109" s="102" t="e">
        <v>#N/A</v>
      </c>
    </row>
    <row r="110" spans="1:51">
      <c r="A110" s="102" t="s">
        <v>695</v>
      </c>
      <c r="B110" s="102">
        <v>3205</v>
      </c>
      <c r="C110" s="102">
        <v>3195</v>
      </c>
      <c r="D110" s="102">
        <v>1.6</v>
      </c>
      <c r="E110" s="102">
        <v>42248</v>
      </c>
      <c r="F110" s="102">
        <v>36.6</v>
      </c>
      <c r="G110" s="102">
        <v>1110</v>
      </c>
      <c r="H110" s="102">
        <v>390</v>
      </c>
      <c r="I110" s="102">
        <v>310</v>
      </c>
      <c r="J110" s="102">
        <v>60.8</v>
      </c>
      <c r="K110" s="102">
        <v>37.4</v>
      </c>
      <c r="L110" s="102">
        <v>47.2</v>
      </c>
      <c r="M110" s="102">
        <v>39.299999999999997</v>
      </c>
      <c r="N110" s="102">
        <v>16.7</v>
      </c>
      <c r="O110" s="102">
        <v>430</v>
      </c>
      <c r="P110" s="102">
        <v>165</v>
      </c>
      <c r="Q110" s="102">
        <v>200</v>
      </c>
      <c r="R110" s="102">
        <v>150</v>
      </c>
      <c r="T110" s="102">
        <f t="shared" si="1"/>
        <v>0</v>
      </c>
      <c r="W110">
        <v>17824</v>
      </c>
      <c r="X110">
        <v>18559</v>
      </c>
      <c r="Y110">
        <v>16870</v>
      </c>
      <c r="Z110">
        <v>13420</v>
      </c>
      <c r="AA110">
        <v>13435</v>
      </c>
      <c r="AB110" s="102">
        <v>920</v>
      </c>
      <c r="AC110" s="102">
        <v>1950</v>
      </c>
      <c r="AD110" s="102">
        <v>845</v>
      </c>
      <c r="AE110" s="102">
        <v>330</v>
      </c>
      <c r="AF110" s="102">
        <v>3.290242214532872</v>
      </c>
      <c r="AG110" s="102">
        <v>1.2534256055363322</v>
      </c>
      <c r="AH110" s="102">
        <v>0.15667820069204152</v>
      </c>
      <c r="AI110" s="102">
        <v>0.78339100346020762</v>
      </c>
      <c r="AJ110" s="102">
        <v>0.23501730103806226</v>
      </c>
      <c r="AK110" s="102">
        <v>0.23501730103806226</v>
      </c>
      <c r="AL110" s="102">
        <v>0.54837370242214534</v>
      </c>
      <c r="AM110" s="102">
        <v>1.1750865051903114</v>
      </c>
      <c r="AN110" s="102">
        <v>0.15667820069204152</v>
      </c>
      <c r="AO110" s="102">
        <v>0</v>
      </c>
      <c r="AP110" s="102">
        <v>0</v>
      </c>
      <c r="AQ110" s="102">
        <v>0</v>
      </c>
      <c r="AR110" s="102">
        <v>0</v>
      </c>
      <c r="AS110" s="102">
        <v>0.78339100346020762</v>
      </c>
      <c r="AT110" s="102">
        <v>1.7234602076124566</v>
      </c>
      <c r="AU110" s="102">
        <v>1.645121107266436</v>
      </c>
      <c r="AV110" s="102">
        <v>0.23501730103806226</v>
      </c>
      <c r="AW110" s="102">
        <v>0.70505190311418686</v>
      </c>
      <c r="AX110" s="102">
        <v>1.0967474048442907</v>
      </c>
      <c r="AY110" s="102">
        <v>1.645121107266436</v>
      </c>
    </row>
    <row r="111" spans="1:51" s="103" customFormat="1">
      <c r="A111" s="103" t="s">
        <v>744</v>
      </c>
      <c r="B111" s="103">
        <v>55485</v>
      </c>
      <c r="C111" s="103">
        <v>54755</v>
      </c>
      <c r="D111" s="103">
        <v>1.4</v>
      </c>
      <c r="E111" s="103">
        <v>66854</v>
      </c>
      <c r="F111" s="103">
        <v>6.8</v>
      </c>
      <c r="G111" s="103">
        <v>18425</v>
      </c>
      <c r="H111" s="103">
        <v>5230</v>
      </c>
      <c r="I111" s="103">
        <v>1360</v>
      </c>
      <c r="J111" s="103">
        <v>82</v>
      </c>
      <c r="K111" s="103">
        <v>17.100000000000001</v>
      </c>
      <c r="L111" s="103">
        <v>72.5</v>
      </c>
      <c r="M111" s="103">
        <v>70.2</v>
      </c>
      <c r="N111" s="103">
        <v>3.3</v>
      </c>
      <c r="O111" s="103">
        <v>11155</v>
      </c>
      <c r="P111" s="103">
        <v>4350</v>
      </c>
      <c r="Q111" s="103">
        <v>5925</v>
      </c>
      <c r="R111" s="103">
        <v>4910</v>
      </c>
      <c r="T111" s="103">
        <f t="shared" si="1"/>
        <v>0</v>
      </c>
      <c r="W111"/>
      <c r="X111"/>
      <c r="Y111"/>
      <c r="Z111"/>
      <c r="AA111"/>
      <c r="AB111" s="103">
        <v>0</v>
      </c>
      <c r="AC111" s="103">
        <v>0</v>
      </c>
      <c r="AD111" s="103">
        <v>0</v>
      </c>
      <c r="AE111" s="103">
        <v>0</v>
      </c>
      <c r="AF111" s="102" t="e">
        <v>#N/A</v>
      </c>
      <c r="AG111" s="102" t="e">
        <v>#N/A</v>
      </c>
      <c r="AH111" s="102" t="e">
        <v>#N/A</v>
      </c>
      <c r="AI111" s="102" t="e">
        <v>#N/A</v>
      </c>
      <c r="AJ111" s="102" t="e">
        <v>#N/A</v>
      </c>
      <c r="AK111" s="102" t="e">
        <v>#N/A</v>
      </c>
      <c r="AL111" s="102" t="e">
        <v>#N/A</v>
      </c>
      <c r="AM111" s="102" t="e">
        <v>#N/A</v>
      </c>
      <c r="AN111" s="102" t="e">
        <v>#N/A</v>
      </c>
      <c r="AO111" s="102" t="e">
        <v>#N/A</v>
      </c>
      <c r="AP111" s="102" t="e">
        <v>#N/A</v>
      </c>
      <c r="AQ111" s="102" t="e">
        <v>#N/A</v>
      </c>
      <c r="AR111" s="102" t="e">
        <v>#N/A</v>
      </c>
      <c r="AS111" s="102" t="e">
        <v>#N/A</v>
      </c>
      <c r="AT111" s="102" t="e">
        <v>#N/A</v>
      </c>
      <c r="AU111" s="102" t="e">
        <v>#N/A</v>
      </c>
      <c r="AV111" s="102" t="e">
        <v>#N/A</v>
      </c>
      <c r="AW111" s="102" t="e">
        <v>#N/A</v>
      </c>
      <c r="AX111" s="102" t="e">
        <v>#N/A</v>
      </c>
      <c r="AY111" s="102" t="e">
        <v>#N/A</v>
      </c>
    </row>
    <row r="112" spans="1:51" s="103" customFormat="1">
      <c r="A112" s="103" t="s">
        <v>745</v>
      </c>
      <c r="B112" s="103">
        <v>10265</v>
      </c>
      <c r="C112" s="103">
        <v>10260</v>
      </c>
      <c r="D112" s="103">
        <v>1</v>
      </c>
      <c r="E112" s="103">
        <v>57776</v>
      </c>
      <c r="F112" s="103">
        <v>10.1</v>
      </c>
      <c r="G112" s="103">
        <v>4365</v>
      </c>
      <c r="H112" s="103">
        <v>1505</v>
      </c>
      <c r="I112" s="103">
        <v>550</v>
      </c>
      <c r="J112" s="103">
        <v>77.7</v>
      </c>
      <c r="K112" s="103">
        <v>22.5</v>
      </c>
      <c r="L112" s="103">
        <v>62.9</v>
      </c>
      <c r="M112" s="103">
        <v>58.9</v>
      </c>
      <c r="N112" s="103">
        <v>6.4</v>
      </c>
      <c r="O112" s="103">
        <v>2225</v>
      </c>
      <c r="P112" s="103">
        <v>870</v>
      </c>
      <c r="Q112" s="103">
        <v>945</v>
      </c>
      <c r="R112" s="103">
        <v>840</v>
      </c>
      <c r="T112" s="103">
        <f t="shared" si="1"/>
        <v>0</v>
      </c>
      <c r="W112"/>
      <c r="X112"/>
      <c r="Y112"/>
      <c r="Z112"/>
      <c r="AA112"/>
      <c r="AB112" s="103">
        <v>0</v>
      </c>
      <c r="AC112" s="103">
        <v>0</v>
      </c>
      <c r="AD112" s="103">
        <v>0</v>
      </c>
      <c r="AE112" s="103">
        <v>0</v>
      </c>
      <c r="AF112" s="102" t="e">
        <v>#N/A</v>
      </c>
      <c r="AG112" s="102" t="e">
        <v>#N/A</v>
      </c>
      <c r="AH112" s="102" t="e">
        <v>#N/A</v>
      </c>
      <c r="AI112" s="102" t="e">
        <v>#N/A</v>
      </c>
      <c r="AJ112" s="102" t="e">
        <v>#N/A</v>
      </c>
      <c r="AK112" s="102" t="e">
        <v>#N/A</v>
      </c>
      <c r="AL112" s="102" t="e">
        <v>#N/A</v>
      </c>
      <c r="AM112" s="102" t="e">
        <v>#N/A</v>
      </c>
      <c r="AN112" s="102" t="e">
        <v>#N/A</v>
      </c>
      <c r="AO112" s="102" t="e">
        <v>#N/A</v>
      </c>
      <c r="AP112" s="102" t="e">
        <v>#N/A</v>
      </c>
      <c r="AQ112" s="102" t="e">
        <v>#N/A</v>
      </c>
      <c r="AR112" s="102" t="e">
        <v>#N/A</v>
      </c>
      <c r="AS112" s="102" t="e">
        <v>#N/A</v>
      </c>
      <c r="AT112" s="102" t="e">
        <v>#N/A</v>
      </c>
      <c r="AU112" s="102" t="e">
        <v>#N/A</v>
      </c>
      <c r="AV112" s="102" t="e">
        <v>#N/A</v>
      </c>
      <c r="AW112" s="102" t="e">
        <v>#N/A</v>
      </c>
      <c r="AX112" s="102" t="e">
        <v>#N/A</v>
      </c>
      <c r="AY112" s="102" t="e">
        <v>#N/A</v>
      </c>
    </row>
    <row r="113" spans="1:51" s="103" customFormat="1">
      <c r="A113" s="103" t="s">
        <v>700</v>
      </c>
      <c r="T113" s="103">
        <f t="shared" si="1"/>
        <v>0</v>
      </c>
      <c r="W113">
        <v>0</v>
      </c>
      <c r="X113">
        <v>0</v>
      </c>
      <c r="Y113">
        <v>0</v>
      </c>
      <c r="Z113">
        <v>0</v>
      </c>
      <c r="AA113">
        <v>0</v>
      </c>
      <c r="AB113" s="103">
        <v>0</v>
      </c>
      <c r="AC113" s="103">
        <v>0</v>
      </c>
      <c r="AD113" s="103">
        <v>0</v>
      </c>
      <c r="AE113" s="103">
        <v>0</v>
      </c>
      <c r="AF113" s="102" t="e">
        <v>#VALUE!</v>
      </c>
      <c r="AG113" s="102" t="e">
        <v>#VALUE!</v>
      </c>
      <c r="AH113" s="102" t="e">
        <v>#VALUE!</v>
      </c>
      <c r="AI113" s="102" t="e">
        <v>#VALUE!</v>
      </c>
      <c r="AJ113" s="102" t="e">
        <v>#VALUE!</v>
      </c>
      <c r="AK113" s="102" t="e">
        <v>#VALUE!</v>
      </c>
      <c r="AL113" s="102" t="e">
        <v>#VALUE!</v>
      </c>
      <c r="AM113" s="102" t="e">
        <v>#VALUE!</v>
      </c>
      <c r="AN113" s="102" t="e">
        <v>#VALUE!</v>
      </c>
      <c r="AO113" s="102" t="e">
        <v>#VALUE!</v>
      </c>
      <c r="AP113" s="102" t="e">
        <v>#VALUE!</v>
      </c>
      <c r="AQ113" s="102" t="e">
        <v>#VALUE!</v>
      </c>
      <c r="AR113" s="102" t="e">
        <v>#VALUE!</v>
      </c>
      <c r="AS113" s="102" t="e">
        <v>#VALUE!</v>
      </c>
      <c r="AT113" s="102" t="e">
        <v>#VALUE!</v>
      </c>
      <c r="AU113" s="102" t="e">
        <v>#VALUE!</v>
      </c>
      <c r="AV113" s="102" t="e">
        <v>#VALUE!</v>
      </c>
      <c r="AW113" s="102" t="e">
        <v>#VALUE!</v>
      </c>
      <c r="AX113" s="102" t="e">
        <v>#VALUE!</v>
      </c>
      <c r="AY113" s="102" t="e">
        <v>#VALUE!</v>
      </c>
    </row>
    <row r="114" spans="1:51" s="103" customFormat="1">
      <c r="A114" s="103" t="s">
        <v>699</v>
      </c>
      <c r="T114" s="103">
        <f t="shared" si="1"/>
        <v>0</v>
      </c>
      <c r="W114">
        <v>0</v>
      </c>
      <c r="X114">
        <v>0</v>
      </c>
      <c r="Y114">
        <v>0</v>
      </c>
      <c r="Z114">
        <v>0</v>
      </c>
      <c r="AA114">
        <v>0</v>
      </c>
      <c r="AB114" s="103">
        <v>0</v>
      </c>
      <c r="AC114" s="103">
        <v>0</v>
      </c>
      <c r="AD114" s="103">
        <v>0</v>
      </c>
      <c r="AE114" s="103">
        <v>0</v>
      </c>
      <c r="AF114" s="102" t="e">
        <v>#VALUE!</v>
      </c>
      <c r="AG114" s="102" t="e">
        <v>#VALUE!</v>
      </c>
      <c r="AH114" s="102" t="e">
        <v>#VALUE!</v>
      </c>
      <c r="AI114" s="102" t="e">
        <v>#VALUE!</v>
      </c>
      <c r="AJ114" s="102" t="e">
        <v>#VALUE!</v>
      </c>
      <c r="AK114" s="102" t="e">
        <v>#VALUE!</v>
      </c>
      <c r="AL114" s="102" t="e">
        <v>#VALUE!</v>
      </c>
      <c r="AM114" s="102" t="e">
        <v>#VALUE!</v>
      </c>
      <c r="AN114" s="102" t="e">
        <v>#VALUE!</v>
      </c>
      <c r="AO114" s="102" t="e">
        <v>#VALUE!</v>
      </c>
      <c r="AP114" s="102" t="e">
        <v>#VALUE!</v>
      </c>
      <c r="AQ114" s="102" t="e">
        <v>#VALUE!</v>
      </c>
      <c r="AR114" s="102" t="e">
        <v>#VALUE!</v>
      </c>
      <c r="AS114" s="102" t="e">
        <v>#VALUE!</v>
      </c>
      <c r="AT114" s="102" t="e">
        <v>#VALUE!</v>
      </c>
      <c r="AU114" s="102" t="e">
        <v>#VALUE!</v>
      </c>
      <c r="AV114" s="102" t="e">
        <v>#VALUE!</v>
      </c>
      <c r="AW114" s="102" t="e">
        <v>#VALUE!</v>
      </c>
      <c r="AX114" s="102" t="e">
        <v>#VALUE!</v>
      </c>
      <c r="AY114" s="102" t="e">
        <v>#VALUE!</v>
      </c>
    </row>
    <row r="115" spans="1:51" s="103" customFormat="1">
      <c r="A115" s="103" t="s">
        <v>746</v>
      </c>
      <c r="B115" s="103">
        <v>21430</v>
      </c>
      <c r="C115" s="103">
        <v>21360</v>
      </c>
      <c r="D115" s="103">
        <v>1.3</v>
      </c>
      <c r="E115" s="103">
        <v>68999</v>
      </c>
      <c r="F115" s="103">
        <v>12.4</v>
      </c>
      <c r="G115" s="103">
        <v>7935</v>
      </c>
      <c r="H115" s="103">
        <v>2640</v>
      </c>
      <c r="I115" s="103">
        <v>1540</v>
      </c>
      <c r="J115" s="103">
        <v>63.9</v>
      </c>
      <c r="K115" s="103">
        <v>28.5</v>
      </c>
      <c r="L115" s="103">
        <v>66.599999999999994</v>
      </c>
      <c r="M115" s="103">
        <v>59.5</v>
      </c>
      <c r="N115" s="103">
        <v>10.8</v>
      </c>
      <c r="O115" s="103">
        <v>3535</v>
      </c>
      <c r="P115" s="103">
        <v>1825</v>
      </c>
      <c r="Q115" s="103">
        <v>2685</v>
      </c>
      <c r="R115" s="103">
        <v>1985</v>
      </c>
      <c r="T115" s="103">
        <f t="shared" si="1"/>
        <v>0</v>
      </c>
      <c r="W115"/>
      <c r="X115"/>
      <c r="Y115"/>
      <c r="Z115"/>
      <c r="AA115"/>
      <c r="AB115" s="103">
        <v>0</v>
      </c>
      <c r="AC115" s="103">
        <v>0</v>
      </c>
      <c r="AD115" s="103">
        <v>0</v>
      </c>
      <c r="AE115" s="103">
        <v>0</v>
      </c>
      <c r="AF115" s="102" t="e">
        <v>#N/A</v>
      </c>
      <c r="AG115" s="102" t="e">
        <v>#N/A</v>
      </c>
      <c r="AH115" s="102" t="e">
        <v>#N/A</v>
      </c>
      <c r="AI115" s="102" t="e">
        <v>#N/A</v>
      </c>
      <c r="AJ115" s="102" t="e">
        <v>#N/A</v>
      </c>
      <c r="AK115" s="102" t="e">
        <v>#N/A</v>
      </c>
      <c r="AL115" s="102" t="e">
        <v>#N/A</v>
      </c>
      <c r="AM115" s="102" t="e">
        <v>#N/A</v>
      </c>
      <c r="AN115" s="102" t="e">
        <v>#N/A</v>
      </c>
      <c r="AO115" s="102" t="e">
        <v>#N/A</v>
      </c>
      <c r="AP115" s="102" t="e">
        <v>#N/A</v>
      </c>
      <c r="AQ115" s="102" t="e">
        <v>#N/A</v>
      </c>
      <c r="AR115" s="102" t="e">
        <v>#N/A</v>
      </c>
      <c r="AS115" s="102" t="e">
        <v>#N/A</v>
      </c>
      <c r="AT115" s="102" t="e">
        <v>#N/A</v>
      </c>
      <c r="AU115" s="102" t="e">
        <v>#N/A</v>
      </c>
      <c r="AV115" s="102" t="e">
        <v>#N/A</v>
      </c>
      <c r="AW115" s="102" t="e">
        <v>#N/A</v>
      </c>
      <c r="AX115" s="102" t="e">
        <v>#N/A</v>
      </c>
      <c r="AY115" s="102" t="e">
        <v>#N/A</v>
      </c>
    </row>
    <row r="116" spans="1:51" s="103" customFormat="1">
      <c r="A116" s="103" t="s">
        <v>703</v>
      </c>
      <c r="B116" s="103">
        <v>1925</v>
      </c>
      <c r="C116" s="103">
        <v>1920</v>
      </c>
      <c r="D116" s="103">
        <v>1</v>
      </c>
      <c r="E116" s="103">
        <v>74242</v>
      </c>
      <c r="F116" s="103">
        <v>16.100000000000001</v>
      </c>
      <c r="G116" s="103">
        <v>755</v>
      </c>
      <c r="H116" s="103">
        <v>195</v>
      </c>
      <c r="I116" s="103">
        <v>150</v>
      </c>
      <c r="J116" s="103">
        <v>80.099999999999994</v>
      </c>
      <c r="K116" s="103">
        <v>19.899999999999999</v>
      </c>
      <c r="L116" s="103">
        <v>65.2</v>
      </c>
      <c r="M116" s="103">
        <v>56.3</v>
      </c>
      <c r="N116" s="103">
        <v>13.2</v>
      </c>
      <c r="O116" s="103">
        <v>230</v>
      </c>
      <c r="P116" s="103">
        <v>210</v>
      </c>
      <c r="Q116" s="103">
        <v>295</v>
      </c>
      <c r="R116" s="103">
        <v>335</v>
      </c>
      <c r="T116" s="103">
        <f t="shared" si="1"/>
        <v>0</v>
      </c>
      <c r="W116">
        <v>35126</v>
      </c>
      <c r="X116">
        <v>42492</v>
      </c>
      <c r="Y116">
        <v>26902</v>
      </c>
      <c r="Z116">
        <v>33689</v>
      </c>
      <c r="AA116">
        <v>21330</v>
      </c>
      <c r="AB116" s="103">
        <v>410</v>
      </c>
      <c r="AC116" s="103">
        <v>1265</v>
      </c>
      <c r="AD116" s="103">
        <v>755</v>
      </c>
      <c r="AE116" s="103">
        <v>230</v>
      </c>
      <c r="AF116" s="102">
        <v>0</v>
      </c>
      <c r="AG116" s="102">
        <v>0.60126253666590557</v>
      </c>
      <c r="AH116" s="102">
        <v>0</v>
      </c>
      <c r="AI116" s="102">
        <v>0.60126253666590557</v>
      </c>
      <c r="AJ116" s="102">
        <v>1.8896822580928461</v>
      </c>
      <c r="AK116" s="102">
        <v>0.34357859238051741</v>
      </c>
      <c r="AL116" s="102">
        <v>0.77305183285616419</v>
      </c>
      <c r="AM116" s="102">
        <v>0.60126253666590557</v>
      </c>
      <c r="AN116" s="102">
        <v>0.17178929619025871</v>
      </c>
      <c r="AO116" s="102">
        <v>1.0307357771415524</v>
      </c>
      <c r="AP116" s="102">
        <v>0.17178929619025871</v>
      </c>
      <c r="AQ116" s="102">
        <v>0.68715718476103482</v>
      </c>
      <c r="AR116" s="102">
        <v>0</v>
      </c>
      <c r="AS116" s="102">
        <v>0.42947324047564683</v>
      </c>
      <c r="AT116" s="102">
        <v>1.7178929619025873</v>
      </c>
      <c r="AU116" s="102">
        <v>2.1473662023782341</v>
      </c>
      <c r="AV116" s="102">
        <v>0.42947324047564683</v>
      </c>
      <c r="AW116" s="102">
        <v>2.0614715542831048</v>
      </c>
      <c r="AX116" s="102">
        <v>0.2576839442853881</v>
      </c>
      <c r="AY116" s="102">
        <v>2.5768394428538812</v>
      </c>
    </row>
    <row r="117" spans="1:51" s="103" customFormat="1">
      <c r="A117" s="103" t="s">
        <v>747</v>
      </c>
      <c r="B117" s="103">
        <v>38325</v>
      </c>
      <c r="C117" s="103">
        <v>38305</v>
      </c>
      <c r="D117" s="103">
        <v>1.9</v>
      </c>
      <c r="E117" s="103">
        <v>60796</v>
      </c>
      <c r="F117" s="103">
        <v>13.7</v>
      </c>
      <c r="G117" s="103">
        <v>10520</v>
      </c>
      <c r="H117" s="103">
        <v>3555</v>
      </c>
      <c r="I117" s="103">
        <v>3140</v>
      </c>
      <c r="J117" s="103">
        <v>33.9</v>
      </c>
      <c r="K117" s="103">
        <v>24.2</v>
      </c>
      <c r="L117" s="103">
        <v>56.5</v>
      </c>
      <c r="M117" s="103">
        <v>46.9</v>
      </c>
      <c r="N117" s="103">
        <v>17</v>
      </c>
      <c r="O117" s="103">
        <v>4405</v>
      </c>
      <c r="P117" s="103">
        <v>1945</v>
      </c>
      <c r="Q117" s="103">
        <v>2460</v>
      </c>
      <c r="R117" s="103">
        <v>2530</v>
      </c>
      <c r="T117" s="103">
        <f t="shared" si="1"/>
        <v>0</v>
      </c>
      <c r="W117"/>
      <c r="X117"/>
      <c r="Y117"/>
      <c r="Z117"/>
      <c r="AA117"/>
      <c r="AB117" s="103">
        <v>0</v>
      </c>
      <c r="AC117" s="103">
        <v>0</v>
      </c>
      <c r="AD117" s="103">
        <v>0</v>
      </c>
      <c r="AE117" s="103">
        <v>0</v>
      </c>
      <c r="AF117" s="102" t="e">
        <v>#N/A</v>
      </c>
      <c r="AG117" s="102" t="e">
        <v>#N/A</v>
      </c>
      <c r="AH117" s="102" t="e">
        <v>#N/A</v>
      </c>
      <c r="AI117" s="102" t="e">
        <v>#N/A</v>
      </c>
      <c r="AJ117" s="102" t="e">
        <v>#N/A</v>
      </c>
      <c r="AK117" s="102" t="e">
        <v>#N/A</v>
      </c>
      <c r="AL117" s="102" t="e">
        <v>#N/A</v>
      </c>
      <c r="AM117" s="102" t="e">
        <v>#N/A</v>
      </c>
      <c r="AN117" s="102" t="e">
        <v>#N/A</v>
      </c>
      <c r="AO117" s="102" t="e">
        <v>#N/A</v>
      </c>
      <c r="AP117" s="102" t="e">
        <v>#N/A</v>
      </c>
      <c r="AQ117" s="102" t="e">
        <v>#N/A</v>
      </c>
      <c r="AR117" s="102" t="e">
        <v>#N/A</v>
      </c>
      <c r="AS117" s="102" t="e">
        <v>#N/A</v>
      </c>
      <c r="AT117" s="102" t="e">
        <v>#N/A</v>
      </c>
      <c r="AU117" s="102" t="e">
        <v>#N/A</v>
      </c>
      <c r="AV117" s="102" t="e">
        <v>#N/A</v>
      </c>
      <c r="AW117" s="102" t="e">
        <v>#N/A</v>
      </c>
      <c r="AX117" s="102" t="e">
        <v>#N/A</v>
      </c>
      <c r="AY117" s="102" t="e">
        <v>#N/A</v>
      </c>
    </row>
    <row r="118" spans="1:51" s="103" customFormat="1">
      <c r="A118" s="103" t="s">
        <v>705</v>
      </c>
      <c r="B118" s="103">
        <v>2325</v>
      </c>
      <c r="C118" s="103">
        <v>2315</v>
      </c>
      <c r="D118" s="103">
        <v>1.5</v>
      </c>
      <c r="E118" s="103">
        <v>66969</v>
      </c>
      <c r="F118" s="103">
        <v>15.4</v>
      </c>
      <c r="G118" s="103">
        <v>770</v>
      </c>
      <c r="H118" s="103">
        <v>295</v>
      </c>
      <c r="I118" s="103">
        <v>205</v>
      </c>
      <c r="J118" s="103">
        <v>55.2</v>
      </c>
      <c r="K118" s="103">
        <v>40.299999999999997</v>
      </c>
      <c r="L118" s="103">
        <v>53.5</v>
      </c>
      <c r="M118" s="103">
        <v>40.200000000000003</v>
      </c>
      <c r="N118" s="103">
        <v>25.4</v>
      </c>
      <c r="O118" s="103">
        <v>235</v>
      </c>
      <c r="P118" s="103">
        <v>165</v>
      </c>
      <c r="Q118" s="103">
        <v>190</v>
      </c>
      <c r="R118" s="103">
        <v>215</v>
      </c>
      <c r="T118" s="103">
        <f t="shared" si="1"/>
        <v>0</v>
      </c>
      <c r="W118">
        <v>34165</v>
      </c>
      <c r="X118">
        <v>34179</v>
      </c>
      <c r="Y118">
        <v>34149</v>
      </c>
      <c r="Z118">
        <v>20715</v>
      </c>
      <c r="AA118">
        <v>17553</v>
      </c>
      <c r="AB118" s="103">
        <v>665</v>
      </c>
      <c r="AC118" s="103">
        <v>1520</v>
      </c>
      <c r="AD118" s="103">
        <v>475</v>
      </c>
      <c r="AE118" s="103">
        <v>135</v>
      </c>
      <c r="AF118" s="102">
        <v>2.1988059351357689</v>
      </c>
      <c r="AG118" s="102">
        <v>0.38240103219752508</v>
      </c>
      <c r="AH118" s="102">
        <v>0.28680077414814381</v>
      </c>
      <c r="AI118" s="102">
        <v>1.0516028385431939</v>
      </c>
      <c r="AJ118" s="102">
        <v>0.19120051609876254</v>
      </c>
      <c r="AK118" s="102">
        <v>0</v>
      </c>
      <c r="AL118" s="102">
        <v>1.8164049029382441</v>
      </c>
      <c r="AM118" s="102">
        <v>0.86040232244443149</v>
      </c>
      <c r="AN118" s="102">
        <v>0.19120051609876254</v>
      </c>
      <c r="AO118" s="102">
        <v>0.19120051609876254</v>
      </c>
      <c r="AP118" s="102">
        <v>0.28680077414814381</v>
      </c>
      <c r="AQ118" s="102">
        <v>0.19120051609876254</v>
      </c>
      <c r="AR118" s="102">
        <v>0</v>
      </c>
      <c r="AS118" s="102">
        <v>0.47800129024690635</v>
      </c>
      <c r="AT118" s="102">
        <v>2.6768072253826758</v>
      </c>
      <c r="AU118" s="102">
        <v>1.8164049029382441</v>
      </c>
      <c r="AV118" s="102">
        <v>0</v>
      </c>
      <c r="AW118" s="102">
        <v>0.47800129024690635</v>
      </c>
      <c r="AX118" s="102">
        <v>0.66920180634566895</v>
      </c>
      <c r="AY118" s="102">
        <v>1.9120051609876254</v>
      </c>
    </row>
    <row r="119" spans="1:51" s="103" customFormat="1">
      <c r="A119" s="103" t="s">
        <v>748</v>
      </c>
      <c r="B119" s="103">
        <v>8235</v>
      </c>
      <c r="C119" s="103">
        <v>8230</v>
      </c>
      <c r="D119" s="103">
        <v>1.9</v>
      </c>
      <c r="E119" s="103">
        <v>58263</v>
      </c>
      <c r="F119" s="103">
        <v>13.2</v>
      </c>
      <c r="G119" s="103">
        <v>2300</v>
      </c>
      <c r="H119" s="103">
        <v>650</v>
      </c>
      <c r="I119" s="103">
        <v>775</v>
      </c>
      <c r="J119" s="103">
        <v>28.7</v>
      </c>
      <c r="K119" s="103">
        <v>40.700000000000003</v>
      </c>
      <c r="L119" s="103">
        <v>57.7</v>
      </c>
      <c r="M119" s="103">
        <v>47</v>
      </c>
      <c r="N119" s="103">
        <v>18.399999999999999</v>
      </c>
      <c r="O119" s="103">
        <v>710</v>
      </c>
      <c r="P119" s="103">
        <v>500</v>
      </c>
      <c r="Q119" s="103">
        <v>440</v>
      </c>
      <c r="R119" s="103">
        <v>505</v>
      </c>
      <c r="T119" s="103">
        <f t="shared" si="1"/>
        <v>0</v>
      </c>
      <c r="W119"/>
      <c r="X119"/>
      <c r="Y119"/>
      <c r="Z119"/>
      <c r="AA119"/>
      <c r="AB119" s="103">
        <v>0</v>
      </c>
      <c r="AC119" s="103">
        <v>0</v>
      </c>
      <c r="AD119" s="103">
        <v>0</v>
      </c>
      <c r="AE119" s="103">
        <v>0</v>
      </c>
      <c r="AF119" s="102" t="e">
        <v>#N/A</v>
      </c>
      <c r="AG119" s="102" t="e">
        <v>#N/A</v>
      </c>
      <c r="AH119" s="102" t="e">
        <v>#N/A</v>
      </c>
      <c r="AI119" s="102" t="e">
        <v>#N/A</v>
      </c>
      <c r="AJ119" s="102" t="e">
        <v>#N/A</v>
      </c>
      <c r="AK119" s="102" t="e">
        <v>#N/A</v>
      </c>
      <c r="AL119" s="102" t="e">
        <v>#N/A</v>
      </c>
      <c r="AM119" s="102" t="e">
        <v>#N/A</v>
      </c>
      <c r="AN119" s="102" t="e">
        <v>#N/A</v>
      </c>
      <c r="AO119" s="102" t="e">
        <v>#N/A</v>
      </c>
      <c r="AP119" s="102" t="e">
        <v>#N/A</v>
      </c>
      <c r="AQ119" s="102" t="e">
        <v>#N/A</v>
      </c>
      <c r="AR119" s="102" t="e">
        <v>#N/A</v>
      </c>
      <c r="AS119" s="102" t="e">
        <v>#N/A</v>
      </c>
      <c r="AT119" s="102" t="e">
        <v>#N/A</v>
      </c>
      <c r="AU119" s="102" t="e">
        <v>#N/A</v>
      </c>
      <c r="AV119" s="102" t="e">
        <v>#N/A</v>
      </c>
      <c r="AW119" s="102" t="e">
        <v>#N/A</v>
      </c>
      <c r="AX119" s="102" t="e">
        <v>#N/A</v>
      </c>
      <c r="AY119" s="102" t="e">
        <v>#N/A</v>
      </c>
    </row>
    <row r="120" spans="1:51" s="103" customFormat="1">
      <c r="A120" s="103" t="s">
        <v>711</v>
      </c>
      <c r="B120" s="103">
        <v>170</v>
      </c>
      <c r="C120" s="103">
        <v>170</v>
      </c>
      <c r="D120" s="103">
        <v>1.8</v>
      </c>
      <c r="E120" s="103">
        <v>0</v>
      </c>
      <c r="F120" s="103">
        <v>0</v>
      </c>
      <c r="G120" s="103">
        <v>45</v>
      </c>
      <c r="H120" s="103">
        <v>10</v>
      </c>
      <c r="I120" s="103">
        <v>25</v>
      </c>
      <c r="J120" s="103">
        <v>33.299999999999997</v>
      </c>
      <c r="K120" s="103">
        <v>66.7</v>
      </c>
      <c r="L120" s="103">
        <v>59.1</v>
      </c>
      <c r="M120" s="103">
        <v>45.5</v>
      </c>
      <c r="N120" s="103">
        <v>23.1</v>
      </c>
      <c r="O120" s="103">
        <v>10</v>
      </c>
      <c r="P120" s="103">
        <v>0</v>
      </c>
      <c r="Q120" s="103">
        <v>0</v>
      </c>
      <c r="R120" s="103">
        <v>20</v>
      </c>
      <c r="T120" s="103">
        <f t="shared" si="1"/>
        <v>0</v>
      </c>
      <c r="W120">
        <v>0</v>
      </c>
      <c r="X120">
        <v>0</v>
      </c>
      <c r="Y120">
        <v>0</v>
      </c>
      <c r="Z120">
        <v>0</v>
      </c>
      <c r="AA120">
        <v>0</v>
      </c>
      <c r="AB120" s="103">
        <v>65</v>
      </c>
      <c r="AC120" s="103">
        <v>100</v>
      </c>
      <c r="AD120" s="103">
        <v>30</v>
      </c>
      <c r="AE120" s="103">
        <v>0</v>
      </c>
      <c r="AF120" s="102">
        <v>0</v>
      </c>
      <c r="AG120" s="102">
        <v>0</v>
      </c>
      <c r="AH120" s="102">
        <v>0</v>
      </c>
      <c r="AI120" s="102">
        <v>0</v>
      </c>
      <c r="AJ120" s="102">
        <v>0</v>
      </c>
      <c r="AK120" s="102">
        <v>0</v>
      </c>
      <c r="AL120" s="102">
        <v>0</v>
      </c>
      <c r="AM120" s="102">
        <v>2.6032685653446901</v>
      </c>
      <c r="AN120" s="102">
        <v>0</v>
      </c>
      <c r="AO120" s="102">
        <v>0</v>
      </c>
      <c r="AP120" s="102">
        <v>0</v>
      </c>
      <c r="AQ120" s="102">
        <v>0</v>
      </c>
      <c r="AR120" s="102">
        <v>0</v>
      </c>
      <c r="AS120" s="102">
        <v>0</v>
      </c>
      <c r="AT120" s="102">
        <v>6.5081714133617252</v>
      </c>
      <c r="AU120" s="102">
        <v>2.6032685653446901</v>
      </c>
      <c r="AV120" s="102">
        <v>0</v>
      </c>
      <c r="AW120" s="102">
        <v>0</v>
      </c>
      <c r="AX120" s="102">
        <v>2.6032685653446901</v>
      </c>
      <c r="AY120" s="102">
        <v>2.6032685653446901</v>
      </c>
    </row>
    <row r="121" spans="1:51" s="103" customFormat="1">
      <c r="A121" s="103" t="s">
        <v>749</v>
      </c>
      <c r="B121" s="103">
        <v>44385</v>
      </c>
      <c r="C121" s="103">
        <v>43650</v>
      </c>
      <c r="D121" s="103">
        <v>1.4</v>
      </c>
      <c r="E121" s="103">
        <v>60899</v>
      </c>
      <c r="F121" s="103">
        <v>9.5</v>
      </c>
      <c r="G121" s="103">
        <v>15710</v>
      </c>
      <c r="H121" s="103">
        <v>4705</v>
      </c>
      <c r="I121" s="103">
        <v>1165</v>
      </c>
      <c r="J121" s="103">
        <v>79.400000000000006</v>
      </c>
      <c r="K121" s="103">
        <v>20.6</v>
      </c>
      <c r="L121" s="103">
        <v>69.099999999999994</v>
      </c>
      <c r="M121" s="103">
        <v>67.099999999999994</v>
      </c>
      <c r="N121" s="103">
        <v>2.8</v>
      </c>
      <c r="O121" s="103">
        <v>8020</v>
      </c>
      <c r="P121" s="103">
        <v>2785</v>
      </c>
      <c r="Q121" s="103">
        <v>3940</v>
      </c>
      <c r="R121" s="103">
        <v>3635</v>
      </c>
      <c r="T121" s="103">
        <f t="shared" si="1"/>
        <v>0</v>
      </c>
      <c r="W121"/>
      <c r="X121"/>
      <c r="Y121"/>
      <c r="Z121"/>
      <c r="AA121"/>
      <c r="AB121" s="103">
        <v>0</v>
      </c>
      <c r="AC121" s="103">
        <v>0</v>
      </c>
      <c r="AD121" s="103">
        <v>0</v>
      </c>
      <c r="AE121" s="103">
        <v>0</v>
      </c>
      <c r="AF121" s="102" t="e">
        <v>#N/A</v>
      </c>
      <c r="AG121" s="102" t="e">
        <v>#N/A</v>
      </c>
      <c r="AH121" s="102" t="e">
        <v>#N/A</v>
      </c>
      <c r="AI121" s="102" t="e">
        <v>#N/A</v>
      </c>
      <c r="AJ121" s="102" t="e">
        <v>#N/A</v>
      </c>
      <c r="AK121" s="102" t="e">
        <v>#N/A</v>
      </c>
      <c r="AL121" s="102" t="e">
        <v>#N/A</v>
      </c>
      <c r="AM121" s="102" t="e">
        <v>#N/A</v>
      </c>
      <c r="AN121" s="102" t="e">
        <v>#N/A</v>
      </c>
      <c r="AO121" s="102" t="e">
        <v>#N/A</v>
      </c>
      <c r="AP121" s="102" t="e">
        <v>#N/A</v>
      </c>
      <c r="AQ121" s="102" t="e">
        <v>#N/A</v>
      </c>
      <c r="AR121" s="102" t="e">
        <v>#N/A</v>
      </c>
      <c r="AS121" s="102" t="e">
        <v>#N/A</v>
      </c>
      <c r="AT121" s="102" t="e">
        <v>#N/A</v>
      </c>
      <c r="AU121" s="102" t="e">
        <v>#N/A</v>
      </c>
      <c r="AV121" s="102" t="e">
        <v>#N/A</v>
      </c>
      <c r="AW121" s="102" t="e">
        <v>#N/A</v>
      </c>
      <c r="AX121" s="102" t="e">
        <v>#N/A</v>
      </c>
      <c r="AY121" s="102" t="e">
        <v>#N/A</v>
      </c>
    </row>
    <row r="122" spans="1:51" s="103" customFormat="1">
      <c r="A122" s="103" t="s">
        <v>750</v>
      </c>
      <c r="B122" s="103">
        <v>9260</v>
      </c>
      <c r="C122" s="103">
        <v>8430</v>
      </c>
      <c r="D122" s="103">
        <v>1.1000000000000001</v>
      </c>
      <c r="E122" s="103">
        <v>53805</v>
      </c>
      <c r="F122" s="103">
        <v>11.8</v>
      </c>
      <c r="G122" s="103">
        <v>3480</v>
      </c>
      <c r="H122" s="103">
        <v>1170</v>
      </c>
      <c r="I122" s="103">
        <v>405</v>
      </c>
      <c r="J122" s="103">
        <v>84.1</v>
      </c>
      <c r="K122" s="103">
        <v>13.1</v>
      </c>
      <c r="L122" s="103">
        <v>68.400000000000006</v>
      </c>
      <c r="M122" s="103">
        <v>66.099999999999994</v>
      </c>
      <c r="N122" s="103">
        <v>3.4</v>
      </c>
      <c r="O122" s="103">
        <v>1555</v>
      </c>
      <c r="P122" s="103">
        <v>705</v>
      </c>
      <c r="Q122" s="103">
        <v>1145</v>
      </c>
      <c r="R122" s="103">
        <v>865</v>
      </c>
      <c r="T122" s="103">
        <f t="shared" si="1"/>
        <v>0</v>
      </c>
      <c r="W122"/>
      <c r="X122"/>
      <c r="Y122"/>
      <c r="Z122"/>
      <c r="AA122"/>
      <c r="AB122" s="103">
        <v>0</v>
      </c>
      <c r="AC122" s="103">
        <v>0</v>
      </c>
      <c r="AD122" s="103">
        <v>0</v>
      </c>
      <c r="AE122" s="103">
        <v>0</v>
      </c>
      <c r="AF122" s="102" t="e">
        <v>#N/A</v>
      </c>
      <c r="AG122" s="102" t="e">
        <v>#N/A</v>
      </c>
      <c r="AH122" s="102" t="e">
        <v>#N/A</v>
      </c>
      <c r="AI122" s="102" t="e">
        <v>#N/A</v>
      </c>
      <c r="AJ122" s="102" t="e">
        <v>#N/A</v>
      </c>
      <c r="AK122" s="102" t="e">
        <v>#N/A</v>
      </c>
      <c r="AL122" s="102" t="e">
        <v>#N/A</v>
      </c>
      <c r="AM122" s="102" t="e">
        <v>#N/A</v>
      </c>
      <c r="AN122" s="102" t="e">
        <v>#N/A</v>
      </c>
      <c r="AO122" s="102" t="e">
        <v>#N/A</v>
      </c>
      <c r="AP122" s="102" t="e">
        <v>#N/A</v>
      </c>
      <c r="AQ122" s="102" t="e">
        <v>#N/A</v>
      </c>
      <c r="AR122" s="102" t="e">
        <v>#N/A</v>
      </c>
      <c r="AS122" s="102" t="e">
        <v>#N/A</v>
      </c>
      <c r="AT122" s="102" t="e">
        <v>#N/A</v>
      </c>
      <c r="AU122" s="102" t="e">
        <v>#N/A</v>
      </c>
      <c r="AV122" s="102" t="e">
        <v>#N/A</v>
      </c>
      <c r="AW122" s="102" t="e">
        <v>#N/A</v>
      </c>
      <c r="AX122" s="102" t="e">
        <v>#N/A</v>
      </c>
      <c r="AY122" s="102" t="e">
        <v>#N/A</v>
      </c>
    </row>
    <row r="123" spans="1:51" s="103" customFormat="1">
      <c r="A123" s="103" t="s">
        <v>751</v>
      </c>
      <c r="B123" s="103">
        <v>13060</v>
      </c>
      <c r="C123" s="103">
        <v>12580</v>
      </c>
      <c r="D123" s="103">
        <v>0.9</v>
      </c>
      <c r="E123" s="103">
        <v>58389</v>
      </c>
      <c r="F123" s="103">
        <v>8.1999999999999993</v>
      </c>
      <c r="G123" s="103">
        <v>5460</v>
      </c>
      <c r="H123" s="103">
        <v>1775</v>
      </c>
      <c r="I123" s="103">
        <v>595</v>
      </c>
      <c r="J123" s="103">
        <v>83.5</v>
      </c>
      <c r="K123" s="103">
        <v>16.5</v>
      </c>
      <c r="L123" s="103">
        <v>67.8</v>
      </c>
      <c r="M123" s="103">
        <v>65.5</v>
      </c>
      <c r="N123" s="103">
        <v>3.3</v>
      </c>
      <c r="O123" s="103">
        <v>2845</v>
      </c>
      <c r="P123" s="103">
        <v>1005</v>
      </c>
      <c r="Q123" s="103">
        <v>1500</v>
      </c>
      <c r="R123" s="103">
        <v>1305</v>
      </c>
      <c r="T123" s="103">
        <f t="shared" si="1"/>
        <v>0</v>
      </c>
      <c r="W123"/>
      <c r="X123"/>
      <c r="Y123"/>
      <c r="Z123"/>
      <c r="AA123"/>
      <c r="AB123" s="103">
        <v>0</v>
      </c>
      <c r="AC123" s="103">
        <v>0</v>
      </c>
      <c r="AD123" s="103">
        <v>0</v>
      </c>
      <c r="AE123" s="103">
        <v>0</v>
      </c>
      <c r="AF123" s="102" t="e">
        <v>#N/A</v>
      </c>
      <c r="AG123" s="102" t="e">
        <v>#N/A</v>
      </c>
      <c r="AH123" s="102" t="e">
        <v>#N/A</v>
      </c>
      <c r="AI123" s="102" t="e">
        <v>#N/A</v>
      </c>
      <c r="AJ123" s="102" t="e">
        <v>#N/A</v>
      </c>
      <c r="AK123" s="102" t="e">
        <v>#N/A</v>
      </c>
      <c r="AL123" s="102" t="e">
        <v>#N/A</v>
      </c>
      <c r="AM123" s="102" t="e">
        <v>#N/A</v>
      </c>
      <c r="AN123" s="102" t="e">
        <v>#N/A</v>
      </c>
      <c r="AO123" s="102" t="e">
        <v>#N/A</v>
      </c>
      <c r="AP123" s="102" t="e">
        <v>#N/A</v>
      </c>
      <c r="AQ123" s="102" t="e">
        <v>#N/A</v>
      </c>
      <c r="AR123" s="102" t="e">
        <v>#N/A</v>
      </c>
      <c r="AS123" s="102" t="e">
        <v>#N/A</v>
      </c>
      <c r="AT123" s="102" t="e">
        <v>#N/A</v>
      </c>
      <c r="AU123" s="102" t="e">
        <v>#N/A</v>
      </c>
      <c r="AV123" s="102" t="e">
        <v>#N/A</v>
      </c>
      <c r="AW123" s="102" t="e">
        <v>#N/A</v>
      </c>
      <c r="AX123" s="102" t="e">
        <v>#N/A</v>
      </c>
      <c r="AY123" s="102" t="e">
        <v>#N/A</v>
      </c>
    </row>
    <row r="124" spans="1:51" s="103" customFormat="1">
      <c r="A124" s="103" t="s">
        <v>752</v>
      </c>
      <c r="B124" s="103">
        <v>9645</v>
      </c>
      <c r="C124" s="103">
        <v>9510</v>
      </c>
      <c r="D124" s="103">
        <v>1.1000000000000001</v>
      </c>
      <c r="E124" s="103">
        <v>54509</v>
      </c>
      <c r="F124" s="103">
        <v>7.2</v>
      </c>
      <c r="G124" s="103">
        <v>3870</v>
      </c>
      <c r="H124" s="103">
        <v>1355</v>
      </c>
      <c r="I124" s="103">
        <v>610</v>
      </c>
      <c r="J124" s="103">
        <v>77.400000000000006</v>
      </c>
      <c r="K124" s="103">
        <v>14.7</v>
      </c>
      <c r="L124" s="103">
        <v>65.5</v>
      </c>
      <c r="M124" s="103">
        <v>61.8</v>
      </c>
      <c r="N124" s="103">
        <v>5.7</v>
      </c>
      <c r="O124" s="103">
        <v>2030</v>
      </c>
      <c r="P124" s="103">
        <v>860</v>
      </c>
      <c r="Q124" s="103">
        <v>980</v>
      </c>
      <c r="R124" s="103">
        <v>775</v>
      </c>
      <c r="T124" s="103">
        <f t="shared" si="1"/>
        <v>0</v>
      </c>
      <c r="W124"/>
      <c r="X124"/>
      <c r="Y124"/>
      <c r="Z124"/>
      <c r="AA124"/>
      <c r="AB124" s="103">
        <v>0</v>
      </c>
      <c r="AC124" s="103">
        <v>0</v>
      </c>
      <c r="AD124" s="103">
        <v>0</v>
      </c>
      <c r="AE124" s="103">
        <v>0</v>
      </c>
      <c r="AF124" s="102" t="e">
        <v>#N/A</v>
      </c>
      <c r="AG124" s="102" t="e">
        <v>#N/A</v>
      </c>
      <c r="AH124" s="102" t="e">
        <v>#N/A</v>
      </c>
      <c r="AI124" s="102" t="e">
        <v>#N/A</v>
      </c>
      <c r="AJ124" s="102" t="e">
        <v>#N/A</v>
      </c>
      <c r="AK124" s="102" t="e">
        <v>#N/A</v>
      </c>
      <c r="AL124" s="102" t="e">
        <v>#N/A</v>
      </c>
      <c r="AM124" s="102" t="e">
        <v>#N/A</v>
      </c>
      <c r="AN124" s="102" t="e">
        <v>#N/A</v>
      </c>
      <c r="AO124" s="102" t="e">
        <v>#N/A</v>
      </c>
      <c r="AP124" s="102" t="e">
        <v>#N/A</v>
      </c>
      <c r="AQ124" s="102" t="e">
        <v>#N/A</v>
      </c>
      <c r="AR124" s="102" t="e">
        <v>#N/A</v>
      </c>
      <c r="AS124" s="102" t="e">
        <v>#N/A</v>
      </c>
      <c r="AT124" s="102" t="e">
        <v>#N/A</v>
      </c>
      <c r="AU124" s="102" t="e">
        <v>#N/A</v>
      </c>
      <c r="AV124" s="102" t="e">
        <v>#N/A</v>
      </c>
      <c r="AW124" s="102" t="e">
        <v>#N/A</v>
      </c>
      <c r="AX124" s="102" t="e">
        <v>#N/A</v>
      </c>
      <c r="AY124" s="102" t="e">
        <v>#N/A</v>
      </c>
    </row>
    <row r="125" spans="1:51" s="103" customFormat="1">
      <c r="A125" s="103" t="s">
        <v>753</v>
      </c>
      <c r="B125" s="103">
        <v>58205</v>
      </c>
      <c r="C125" s="103">
        <v>56945</v>
      </c>
      <c r="D125" s="103">
        <v>1</v>
      </c>
      <c r="E125" s="103">
        <v>69323</v>
      </c>
      <c r="F125" s="103">
        <v>10.199999999999999</v>
      </c>
      <c r="G125" s="103">
        <v>24435</v>
      </c>
      <c r="H125" s="103">
        <v>7465</v>
      </c>
      <c r="I125" s="103">
        <v>1960</v>
      </c>
      <c r="J125" s="103">
        <v>67</v>
      </c>
      <c r="K125" s="103">
        <v>33</v>
      </c>
      <c r="L125" s="103">
        <v>69.900000000000006</v>
      </c>
      <c r="M125" s="103">
        <v>66.5</v>
      </c>
      <c r="N125" s="103">
        <v>4.9000000000000004</v>
      </c>
      <c r="O125" s="103">
        <v>13775</v>
      </c>
      <c r="P125" s="103">
        <v>5165</v>
      </c>
      <c r="Q125" s="103">
        <v>7835</v>
      </c>
      <c r="R125" s="103">
        <v>8205</v>
      </c>
      <c r="T125" s="103">
        <f t="shared" si="1"/>
        <v>0</v>
      </c>
      <c r="W125"/>
      <c r="X125"/>
      <c r="Y125"/>
      <c r="Z125"/>
      <c r="AA125"/>
      <c r="AB125" s="103">
        <v>0</v>
      </c>
      <c r="AC125" s="103">
        <v>0</v>
      </c>
      <c r="AD125" s="103">
        <v>0</v>
      </c>
      <c r="AE125" s="103">
        <v>0</v>
      </c>
      <c r="AF125" s="102" t="e">
        <v>#N/A</v>
      </c>
      <c r="AG125" s="102" t="e">
        <v>#N/A</v>
      </c>
      <c r="AH125" s="102" t="e">
        <v>#N/A</v>
      </c>
      <c r="AI125" s="102" t="e">
        <v>#N/A</v>
      </c>
      <c r="AJ125" s="102" t="e">
        <v>#N/A</v>
      </c>
      <c r="AK125" s="102" t="e">
        <v>#N/A</v>
      </c>
      <c r="AL125" s="102" t="e">
        <v>#N/A</v>
      </c>
      <c r="AM125" s="102" t="e">
        <v>#N/A</v>
      </c>
      <c r="AN125" s="102" t="e">
        <v>#N/A</v>
      </c>
      <c r="AO125" s="102" t="e">
        <v>#N/A</v>
      </c>
      <c r="AP125" s="102" t="e">
        <v>#N/A</v>
      </c>
      <c r="AQ125" s="102" t="e">
        <v>#N/A</v>
      </c>
      <c r="AR125" s="102" t="e">
        <v>#N/A</v>
      </c>
      <c r="AS125" s="102" t="e">
        <v>#N/A</v>
      </c>
      <c r="AT125" s="102" t="e">
        <v>#N/A</v>
      </c>
      <c r="AU125" s="102" t="e">
        <v>#N/A</v>
      </c>
      <c r="AV125" s="102" t="e">
        <v>#N/A</v>
      </c>
      <c r="AW125" s="102" t="e">
        <v>#N/A</v>
      </c>
      <c r="AX125" s="102" t="e">
        <v>#N/A</v>
      </c>
      <c r="AY125" s="102" t="e">
        <v>#N/A</v>
      </c>
    </row>
    <row r="126" spans="1:51" s="103" customFormat="1">
      <c r="A126" s="103" t="s">
        <v>754</v>
      </c>
      <c r="B126" s="103">
        <v>13875</v>
      </c>
      <c r="C126" s="103">
        <v>12685</v>
      </c>
      <c r="D126" s="103">
        <v>1.3</v>
      </c>
      <c r="E126" s="103">
        <v>52453</v>
      </c>
      <c r="F126" s="103">
        <v>10.4</v>
      </c>
      <c r="G126" s="103">
        <v>4645</v>
      </c>
      <c r="H126" s="103">
        <v>1620</v>
      </c>
      <c r="I126" s="103">
        <v>750</v>
      </c>
      <c r="J126" s="103">
        <v>77.599999999999994</v>
      </c>
      <c r="K126" s="103">
        <v>13.3</v>
      </c>
      <c r="L126" s="103">
        <v>64.400000000000006</v>
      </c>
      <c r="M126" s="103">
        <v>61.6</v>
      </c>
      <c r="N126" s="103">
        <v>4.2</v>
      </c>
      <c r="O126" s="103">
        <v>2375</v>
      </c>
      <c r="P126" s="103">
        <v>915</v>
      </c>
      <c r="Q126" s="103">
        <v>1010</v>
      </c>
      <c r="R126" s="103">
        <v>1030</v>
      </c>
      <c r="T126" s="103">
        <f t="shared" si="1"/>
        <v>0</v>
      </c>
      <c r="W126"/>
      <c r="X126"/>
      <c r="Y126"/>
      <c r="Z126"/>
      <c r="AA126"/>
      <c r="AB126" s="103">
        <v>0</v>
      </c>
      <c r="AC126" s="103">
        <v>0</v>
      </c>
      <c r="AD126" s="103">
        <v>0</v>
      </c>
      <c r="AE126" s="103">
        <v>0</v>
      </c>
      <c r="AF126" s="102" t="e">
        <v>#N/A</v>
      </c>
      <c r="AG126" s="102" t="e">
        <v>#N/A</v>
      </c>
      <c r="AH126" s="102" t="e">
        <v>#N/A</v>
      </c>
      <c r="AI126" s="102" t="e">
        <v>#N/A</v>
      </c>
      <c r="AJ126" s="102" t="e">
        <v>#N/A</v>
      </c>
      <c r="AK126" s="102" t="e">
        <v>#N/A</v>
      </c>
      <c r="AL126" s="102" t="e">
        <v>#N/A</v>
      </c>
      <c r="AM126" s="102" t="e">
        <v>#N/A</v>
      </c>
      <c r="AN126" s="102" t="e">
        <v>#N/A</v>
      </c>
      <c r="AO126" s="102" t="e">
        <v>#N/A</v>
      </c>
      <c r="AP126" s="102" t="e">
        <v>#N/A</v>
      </c>
      <c r="AQ126" s="102" t="e">
        <v>#N/A</v>
      </c>
      <c r="AR126" s="102" t="e">
        <v>#N/A</v>
      </c>
      <c r="AS126" s="102" t="e">
        <v>#N/A</v>
      </c>
      <c r="AT126" s="102" t="e">
        <v>#N/A</v>
      </c>
      <c r="AU126" s="102" t="e">
        <v>#N/A</v>
      </c>
      <c r="AV126" s="102" t="e">
        <v>#N/A</v>
      </c>
      <c r="AW126" s="102" t="e">
        <v>#N/A</v>
      </c>
      <c r="AX126" s="102" t="e">
        <v>#N/A</v>
      </c>
      <c r="AY126" s="102" t="e">
        <v>#N/A</v>
      </c>
    </row>
    <row r="127" spans="1:51" s="103" customFormat="1">
      <c r="A127" s="103" t="s">
        <v>755</v>
      </c>
      <c r="B127" s="103">
        <v>22440</v>
      </c>
      <c r="C127" s="103">
        <v>21155</v>
      </c>
      <c r="D127" s="103">
        <v>1.1000000000000001</v>
      </c>
      <c r="E127" s="103">
        <v>63084</v>
      </c>
      <c r="F127" s="103">
        <v>10.3</v>
      </c>
      <c r="G127" s="103">
        <v>8650</v>
      </c>
      <c r="H127" s="103">
        <v>2700</v>
      </c>
      <c r="I127" s="103">
        <v>975</v>
      </c>
      <c r="J127" s="103">
        <v>72.3</v>
      </c>
      <c r="K127" s="103">
        <v>24.3</v>
      </c>
      <c r="L127" s="103">
        <v>67.099999999999994</v>
      </c>
      <c r="M127" s="103">
        <v>64.099999999999994</v>
      </c>
      <c r="N127" s="103">
        <v>4.5</v>
      </c>
      <c r="O127" s="103">
        <v>4330</v>
      </c>
      <c r="P127" s="103">
        <v>1975</v>
      </c>
      <c r="Q127" s="103">
        <v>2355</v>
      </c>
      <c r="R127" s="103">
        <v>2465</v>
      </c>
      <c r="T127" s="103">
        <f t="shared" si="1"/>
        <v>0</v>
      </c>
      <c r="W127"/>
      <c r="X127"/>
      <c r="Y127"/>
      <c r="Z127"/>
      <c r="AA127"/>
      <c r="AB127" s="103">
        <v>0</v>
      </c>
      <c r="AC127" s="103">
        <v>0</v>
      </c>
      <c r="AD127" s="103">
        <v>0</v>
      </c>
      <c r="AE127" s="103">
        <v>0</v>
      </c>
      <c r="AF127" s="102" t="e">
        <v>#N/A</v>
      </c>
      <c r="AG127" s="102" t="e">
        <v>#N/A</v>
      </c>
      <c r="AH127" s="102" t="e">
        <v>#N/A</v>
      </c>
      <c r="AI127" s="102" t="e">
        <v>#N/A</v>
      </c>
      <c r="AJ127" s="102" t="e">
        <v>#N/A</v>
      </c>
      <c r="AK127" s="102" t="e">
        <v>#N/A</v>
      </c>
      <c r="AL127" s="102" t="e">
        <v>#N/A</v>
      </c>
      <c r="AM127" s="102" t="e">
        <v>#N/A</v>
      </c>
      <c r="AN127" s="102" t="e">
        <v>#N/A</v>
      </c>
      <c r="AO127" s="102" t="e">
        <v>#N/A</v>
      </c>
      <c r="AP127" s="102" t="e">
        <v>#N/A</v>
      </c>
      <c r="AQ127" s="102" t="e">
        <v>#N/A</v>
      </c>
      <c r="AR127" s="102" t="e">
        <v>#N/A</v>
      </c>
      <c r="AS127" s="102" t="e">
        <v>#N/A</v>
      </c>
      <c r="AT127" s="102" t="e">
        <v>#N/A</v>
      </c>
      <c r="AU127" s="102" t="e">
        <v>#N/A</v>
      </c>
      <c r="AV127" s="102" t="e">
        <v>#N/A</v>
      </c>
      <c r="AW127" s="102" t="e">
        <v>#N/A</v>
      </c>
      <c r="AX127" s="102" t="e">
        <v>#N/A</v>
      </c>
      <c r="AY127" s="102" t="e">
        <v>#N/A</v>
      </c>
    </row>
    <row r="128" spans="1:51" s="103" customFormat="1">
      <c r="A128" s="103" t="s">
        <v>323</v>
      </c>
      <c r="T128" s="103">
        <f t="shared" si="1"/>
        <v>0</v>
      </c>
      <c r="W128"/>
      <c r="X128"/>
      <c r="Y128"/>
      <c r="Z128"/>
      <c r="AA128"/>
      <c r="AB128" s="103">
        <v>0</v>
      </c>
      <c r="AC128" s="103">
        <v>0</v>
      </c>
      <c r="AD128" s="103">
        <v>0</v>
      </c>
      <c r="AE128" s="103">
        <v>0</v>
      </c>
      <c r="AF128" s="102" t="e">
        <v>#N/A</v>
      </c>
      <c r="AG128" s="102" t="e">
        <v>#N/A</v>
      </c>
      <c r="AH128" s="102" t="e">
        <v>#N/A</v>
      </c>
      <c r="AI128" s="102" t="e">
        <v>#N/A</v>
      </c>
      <c r="AJ128" s="102" t="e">
        <v>#N/A</v>
      </c>
      <c r="AK128" s="102" t="e">
        <v>#N/A</v>
      </c>
      <c r="AL128" s="102" t="e">
        <v>#N/A</v>
      </c>
      <c r="AM128" s="102" t="e">
        <v>#N/A</v>
      </c>
      <c r="AN128" s="102" t="e">
        <v>#N/A</v>
      </c>
      <c r="AO128" s="102" t="e">
        <v>#N/A</v>
      </c>
      <c r="AP128" s="102" t="e">
        <v>#N/A</v>
      </c>
      <c r="AQ128" s="102" t="e">
        <v>#N/A</v>
      </c>
      <c r="AR128" s="102" t="e">
        <v>#N/A</v>
      </c>
      <c r="AS128" s="102" t="e">
        <v>#N/A</v>
      </c>
      <c r="AT128" s="102" t="e">
        <v>#N/A</v>
      </c>
      <c r="AU128" s="102" t="e">
        <v>#N/A</v>
      </c>
      <c r="AV128" s="102" t="e">
        <v>#N/A</v>
      </c>
      <c r="AW128" s="102" t="e">
        <v>#N/A</v>
      </c>
      <c r="AX128" s="102" t="e">
        <v>#N/A</v>
      </c>
      <c r="AY128" s="102" t="e">
        <v>#N/A</v>
      </c>
    </row>
    <row r="129" spans="1:51" s="103" customFormat="1">
      <c r="A129" s="103" t="s">
        <v>322</v>
      </c>
      <c r="T129" s="103">
        <f t="shared" si="1"/>
        <v>0</v>
      </c>
      <c r="W129"/>
      <c r="X129"/>
      <c r="Y129"/>
      <c r="Z129"/>
      <c r="AA129"/>
      <c r="AB129" s="103">
        <v>0</v>
      </c>
      <c r="AC129" s="103">
        <v>0</v>
      </c>
      <c r="AD129" s="103">
        <v>0</v>
      </c>
      <c r="AE129" s="103">
        <v>0</v>
      </c>
      <c r="AF129" s="102" t="e">
        <v>#N/A</v>
      </c>
      <c r="AG129" s="102" t="e">
        <v>#N/A</v>
      </c>
      <c r="AH129" s="102" t="e">
        <v>#N/A</v>
      </c>
      <c r="AI129" s="102" t="e">
        <v>#N/A</v>
      </c>
      <c r="AJ129" s="102" t="e">
        <v>#N/A</v>
      </c>
      <c r="AK129" s="102" t="e">
        <v>#N/A</v>
      </c>
      <c r="AL129" s="102" t="e">
        <v>#N/A</v>
      </c>
      <c r="AM129" s="102" t="e">
        <v>#N/A</v>
      </c>
      <c r="AN129" s="102" t="e">
        <v>#N/A</v>
      </c>
      <c r="AO129" s="102" t="e">
        <v>#N/A</v>
      </c>
      <c r="AP129" s="102" t="e">
        <v>#N/A</v>
      </c>
      <c r="AQ129" s="102" t="e">
        <v>#N/A</v>
      </c>
      <c r="AR129" s="102" t="e">
        <v>#N/A</v>
      </c>
      <c r="AS129" s="102" t="e">
        <v>#N/A</v>
      </c>
      <c r="AT129" s="102" t="e">
        <v>#N/A</v>
      </c>
      <c r="AU129" s="102" t="e">
        <v>#N/A</v>
      </c>
      <c r="AV129" s="102" t="e">
        <v>#N/A</v>
      </c>
      <c r="AW129" s="102" t="e">
        <v>#N/A</v>
      </c>
      <c r="AX129" s="102" t="e">
        <v>#N/A</v>
      </c>
      <c r="AY129" s="102" t="e">
        <v>#N/A</v>
      </c>
    </row>
    <row r="130" spans="1:51" s="103" customFormat="1">
      <c r="A130" s="103" t="s">
        <v>324</v>
      </c>
      <c r="B130" s="103">
        <v>447</v>
      </c>
      <c r="T130" s="103">
        <f t="shared" si="1"/>
        <v>0</v>
      </c>
      <c r="W130"/>
      <c r="X130"/>
      <c r="Y130"/>
      <c r="Z130"/>
      <c r="AA130"/>
      <c r="AB130" s="103">
        <v>0</v>
      </c>
      <c r="AC130" s="103">
        <v>0</v>
      </c>
      <c r="AD130" s="103">
        <v>0</v>
      </c>
      <c r="AE130" s="103">
        <v>0</v>
      </c>
      <c r="AF130" s="102" t="e">
        <v>#N/A</v>
      </c>
      <c r="AG130" s="102" t="e">
        <v>#N/A</v>
      </c>
      <c r="AH130" s="102" t="e">
        <v>#N/A</v>
      </c>
      <c r="AI130" s="102" t="e">
        <v>#N/A</v>
      </c>
      <c r="AJ130" s="102" t="e">
        <v>#N/A</v>
      </c>
      <c r="AK130" s="102" t="e">
        <v>#N/A</v>
      </c>
      <c r="AL130" s="102" t="e">
        <v>#N/A</v>
      </c>
      <c r="AM130" s="102" t="e">
        <v>#N/A</v>
      </c>
      <c r="AN130" s="102" t="e">
        <v>#N/A</v>
      </c>
      <c r="AO130" s="102" t="e">
        <v>#N/A</v>
      </c>
      <c r="AP130" s="102" t="e">
        <v>#N/A</v>
      </c>
      <c r="AQ130" s="102" t="e">
        <v>#N/A</v>
      </c>
      <c r="AR130" s="102" t="e">
        <v>#N/A</v>
      </c>
      <c r="AS130" s="102" t="e">
        <v>#N/A</v>
      </c>
      <c r="AT130" s="102" t="e">
        <v>#N/A</v>
      </c>
      <c r="AU130" s="102" t="e">
        <v>#N/A</v>
      </c>
      <c r="AV130" s="102" t="e">
        <v>#N/A</v>
      </c>
      <c r="AW130" s="102" t="e">
        <v>#N/A</v>
      </c>
      <c r="AX130" s="102" t="e">
        <v>#N/A</v>
      </c>
      <c r="AY130" s="102" t="e">
        <v>#N/A</v>
      </c>
    </row>
    <row r="131" spans="1:51">
      <c r="A131" s="102" t="s">
        <v>615</v>
      </c>
      <c r="B131" s="102">
        <v>2200</v>
      </c>
      <c r="C131" s="102">
        <v>2070</v>
      </c>
      <c r="D131" s="102">
        <v>1.3</v>
      </c>
      <c r="E131" s="102">
        <v>66967</v>
      </c>
      <c r="F131" s="102">
        <v>5.7</v>
      </c>
      <c r="G131" s="102">
        <v>695</v>
      </c>
      <c r="H131" s="102">
        <v>300</v>
      </c>
      <c r="I131" s="102">
        <v>120</v>
      </c>
      <c r="J131" s="102">
        <v>91.4</v>
      </c>
      <c r="K131" s="102">
        <v>8.6</v>
      </c>
      <c r="L131" s="102">
        <v>81.8</v>
      </c>
      <c r="M131" s="102">
        <v>80.400000000000006</v>
      </c>
      <c r="N131" s="102">
        <v>1.8</v>
      </c>
      <c r="O131" s="102">
        <v>495</v>
      </c>
      <c r="P131" s="102">
        <v>140</v>
      </c>
      <c r="Q131" s="102">
        <v>260</v>
      </c>
      <c r="R131" s="102">
        <v>235</v>
      </c>
      <c r="T131" s="102">
        <f t="shared" si="1"/>
        <v>0</v>
      </c>
      <c r="W131">
        <v>25949</v>
      </c>
      <c r="X131">
        <v>28680</v>
      </c>
      <c r="Y131">
        <v>22603</v>
      </c>
      <c r="Z131">
        <v>27986</v>
      </c>
      <c r="AA131">
        <v>17632</v>
      </c>
      <c r="AB131" s="102">
        <v>525</v>
      </c>
      <c r="AC131" s="102">
        <v>1455</v>
      </c>
      <c r="AD131" s="102">
        <v>615</v>
      </c>
      <c r="AE131" s="102">
        <v>200</v>
      </c>
      <c r="AF131" s="102">
        <v>6.2147120478137774</v>
      </c>
      <c r="AG131" s="102">
        <v>0</v>
      </c>
      <c r="AH131" s="102">
        <v>0</v>
      </c>
      <c r="AI131" s="102">
        <v>1.2921678515256372</v>
      </c>
      <c r="AJ131" s="102">
        <v>0.92297703680402643</v>
      </c>
      <c r="AK131" s="102">
        <v>0.73838162944322117</v>
      </c>
      <c r="AL131" s="102">
        <v>1.3536996539792387</v>
      </c>
      <c r="AM131" s="102">
        <v>0.18459540736080529</v>
      </c>
      <c r="AN131" s="102">
        <v>0.12306360490720353</v>
      </c>
      <c r="AO131" s="102">
        <v>0.24612720981440706</v>
      </c>
      <c r="AP131" s="102">
        <v>0.12306360490720353</v>
      </c>
      <c r="AQ131" s="102">
        <v>0.18459540736080529</v>
      </c>
      <c r="AR131" s="102">
        <v>0</v>
      </c>
      <c r="AS131" s="102">
        <v>0.5537862220824159</v>
      </c>
      <c r="AT131" s="102">
        <v>0.92297703680402643</v>
      </c>
      <c r="AU131" s="102">
        <v>2.2151448883296636</v>
      </c>
      <c r="AV131" s="102">
        <v>0.73838162944322117</v>
      </c>
      <c r="AW131" s="102">
        <v>0.24612720981440706</v>
      </c>
      <c r="AX131" s="102">
        <v>0.5537862220824159</v>
      </c>
      <c r="AY131" s="102">
        <v>0.18459540736080529</v>
      </c>
    </row>
    <row r="132" spans="1:51" s="103" customFormat="1">
      <c r="A132" s="103" t="s">
        <v>325</v>
      </c>
      <c r="T132" s="103">
        <f t="shared" ref="T132:T196" si="2">IFERROR(VLOOKUP(A132,$U$12:$U$74,1,0),0)</f>
        <v>0</v>
      </c>
      <c r="W132"/>
      <c r="X132"/>
      <c r="Y132"/>
      <c r="Z132"/>
      <c r="AA132"/>
      <c r="AB132" s="103">
        <v>0</v>
      </c>
      <c r="AC132" s="103">
        <v>0</v>
      </c>
      <c r="AD132" s="103">
        <v>0</v>
      </c>
      <c r="AE132" s="103">
        <v>0</v>
      </c>
      <c r="AF132" s="102" t="e">
        <v>#N/A</v>
      </c>
      <c r="AG132" s="102" t="e">
        <v>#N/A</v>
      </c>
      <c r="AH132" s="102" t="e">
        <v>#N/A</v>
      </c>
      <c r="AI132" s="102" t="e">
        <v>#N/A</v>
      </c>
      <c r="AJ132" s="102" t="e">
        <v>#N/A</v>
      </c>
      <c r="AK132" s="102" t="e">
        <v>#N/A</v>
      </c>
      <c r="AL132" s="102" t="e">
        <v>#N/A</v>
      </c>
      <c r="AM132" s="102" t="e">
        <v>#N/A</v>
      </c>
      <c r="AN132" s="102" t="e">
        <v>#N/A</v>
      </c>
      <c r="AO132" s="102" t="e">
        <v>#N/A</v>
      </c>
      <c r="AP132" s="102" t="e">
        <v>#N/A</v>
      </c>
      <c r="AQ132" s="102" t="e">
        <v>#N/A</v>
      </c>
      <c r="AR132" s="102" t="e">
        <v>#N/A</v>
      </c>
      <c r="AS132" s="102" t="e">
        <v>#N/A</v>
      </c>
      <c r="AT132" s="102" t="e">
        <v>#N/A</v>
      </c>
      <c r="AU132" s="102" t="e">
        <v>#N/A</v>
      </c>
      <c r="AV132" s="102" t="e">
        <v>#N/A</v>
      </c>
      <c r="AW132" s="102" t="e">
        <v>#N/A</v>
      </c>
      <c r="AX132" s="102" t="e">
        <v>#N/A</v>
      </c>
      <c r="AY132" s="102" t="e">
        <v>#N/A</v>
      </c>
    </row>
    <row r="133" spans="1:51" s="103" customFormat="1">
      <c r="A133" s="103" t="s">
        <v>658</v>
      </c>
      <c r="B133" s="103">
        <v>690</v>
      </c>
      <c r="C133" s="103">
        <v>690</v>
      </c>
      <c r="D133" s="103">
        <v>0.5</v>
      </c>
      <c r="E133" s="103">
        <v>74646</v>
      </c>
      <c r="F133" s="103">
        <v>8.3000000000000007</v>
      </c>
      <c r="G133" s="103">
        <v>345</v>
      </c>
      <c r="H133" s="103">
        <v>70</v>
      </c>
      <c r="I133" s="103">
        <v>25</v>
      </c>
      <c r="J133" s="103">
        <v>97.1</v>
      </c>
      <c r="K133" s="103">
        <v>0</v>
      </c>
      <c r="L133" s="103">
        <v>48</v>
      </c>
      <c r="M133" s="103">
        <v>46.3</v>
      </c>
      <c r="N133" s="103">
        <v>3.4</v>
      </c>
      <c r="O133" s="103">
        <v>145</v>
      </c>
      <c r="P133" s="103">
        <v>75</v>
      </c>
      <c r="Q133" s="103">
        <v>125</v>
      </c>
      <c r="R133" s="103">
        <v>130</v>
      </c>
      <c r="T133" s="103">
        <f t="shared" si="2"/>
        <v>0</v>
      </c>
      <c r="W133">
        <v>44289</v>
      </c>
      <c r="X133">
        <v>53679</v>
      </c>
      <c r="Y133">
        <v>31044</v>
      </c>
      <c r="Z133">
        <v>30546</v>
      </c>
      <c r="AA133">
        <v>16084</v>
      </c>
      <c r="AB133" s="103">
        <v>65</v>
      </c>
      <c r="AC133" s="103">
        <v>465</v>
      </c>
      <c r="AD133" s="103">
        <v>340</v>
      </c>
      <c r="AE133" s="103">
        <v>165</v>
      </c>
      <c r="AF133" s="102">
        <v>0.57360154829628762</v>
      </c>
      <c r="AG133" s="102">
        <v>0</v>
      </c>
      <c r="AH133" s="102">
        <v>0</v>
      </c>
      <c r="AI133" s="102">
        <v>1.720804644888863</v>
      </c>
      <c r="AJ133" s="102">
        <v>1.1472030965925752</v>
      </c>
      <c r="AK133" s="102">
        <v>0</v>
      </c>
      <c r="AL133" s="102">
        <v>2.0076054190370067</v>
      </c>
      <c r="AM133" s="102">
        <v>1.1472030965925752</v>
      </c>
      <c r="AN133" s="102">
        <v>1.1472030965925752</v>
      </c>
      <c r="AO133" s="102">
        <v>0</v>
      </c>
      <c r="AP133" s="102">
        <v>0</v>
      </c>
      <c r="AQ133" s="102">
        <v>0</v>
      </c>
      <c r="AR133" s="102">
        <v>0</v>
      </c>
      <c r="AS133" s="102">
        <v>2.5812069673332942</v>
      </c>
      <c r="AT133" s="102">
        <v>2.868007741481438</v>
      </c>
      <c r="AU133" s="102">
        <v>1.1472030965925752</v>
      </c>
      <c r="AV133" s="102">
        <v>0</v>
      </c>
      <c r="AW133" s="102">
        <v>0</v>
      </c>
      <c r="AX133" s="102">
        <v>0.86040232244443149</v>
      </c>
      <c r="AY133" s="102">
        <v>0.57360154829628762</v>
      </c>
    </row>
    <row r="134" spans="1:51" s="103" customFormat="1">
      <c r="A134" s="103" t="s">
        <v>326</v>
      </c>
      <c r="T134" s="103">
        <f t="shared" si="2"/>
        <v>0</v>
      </c>
      <c r="W134"/>
      <c r="X134"/>
      <c r="Y134"/>
      <c r="Z134"/>
      <c r="AA134"/>
      <c r="AB134" s="103">
        <v>0</v>
      </c>
      <c r="AC134" s="103">
        <v>0</v>
      </c>
      <c r="AD134" s="103">
        <v>0</v>
      </c>
      <c r="AE134" s="103">
        <v>0</v>
      </c>
      <c r="AF134" s="102" t="e">
        <v>#N/A</v>
      </c>
      <c r="AG134" s="102" t="e">
        <v>#N/A</v>
      </c>
      <c r="AH134" s="102" t="e">
        <v>#N/A</v>
      </c>
      <c r="AI134" s="102" t="e">
        <v>#N/A</v>
      </c>
      <c r="AJ134" s="102" t="e">
        <v>#N/A</v>
      </c>
      <c r="AK134" s="102" t="e">
        <v>#N/A</v>
      </c>
      <c r="AL134" s="102" t="e">
        <v>#N/A</v>
      </c>
      <c r="AM134" s="102" t="e">
        <v>#N/A</v>
      </c>
      <c r="AN134" s="102" t="e">
        <v>#N/A</v>
      </c>
      <c r="AO134" s="102" t="e">
        <v>#N/A</v>
      </c>
      <c r="AP134" s="102" t="e">
        <v>#N/A</v>
      </c>
      <c r="AQ134" s="102" t="e">
        <v>#N/A</v>
      </c>
      <c r="AR134" s="102" t="e">
        <v>#N/A</v>
      </c>
      <c r="AS134" s="102" t="e">
        <v>#N/A</v>
      </c>
      <c r="AT134" s="102" t="e">
        <v>#N/A</v>
      </c>
      <c r="AU134" s="102" t="e">
        <v>#N/A</v>
      </c>
      <c r="AV134" s="102" t="e">
        <v>#N/A</v>
      </c>
      <c r="AW134" s="102" t="e">
        <v>#N/A</v>
      </c>
      <c r="AX134" s="102" t="e">
        <v>#N/A</v>
      </c>
      <c r="AY134" s="102" t="e">
        <v>#N/A</v>
      </c>
    </row>
    <row r="135" spans="1:51" s="103" customFormat="1">
      <c r="A135" s="103" t="s">
        <v>656</v>
      </c>
      <c r="B135" s="103">
        <v>8735</v>
      </c>
      <c r="C135" s="103">
        <v>8725</v>
      </c>
      <c r="D135" s="103">
        <v>1.2</v>
      </c>
      <c r="E135" s="103">
        <v>116024</v>
      </c>
      <c r="F135" s="103">
        <v>4.4000000000000004</v>
      </c>
      <c r="G135" s="103">
        <v>2910</v>
      </c>
      <c r="H135" s="103">
        <v>695</v>
      </c>
      <c r="I135" s="103">
        <v>110</v>
      </c>
      <c r="J135" s="103">
        <v>97.3</v>
      </c>
      <c r="K135" s="103">
        <v>2.6</v>
      </c>
      <c r="L135" s="103">
        <v>71.2</v>
      </c>
      <c r="M135" s="103">
        <v>67.8</v>
      </c>
      <c r="N135" s="103">
        <v>4.5999999999999996</v>
      </c>
      <c r="O135" s="103">
        <v>2055</v>
      </c>
      <c r="P135" s="103">
        <v>650</v>
      </c>
      <c r="Q135" s="103">
        <v>1175</v>
      </c>
      <c r="R135" s="103">
        <v>2040</v>
      </c>
      <c r="T135" s="103">
        <f t="shared" si="2"/>
        <v>0</v>
      </c>
      <c r="W135">
        <v>45362</v>
      </c>
      <c r="X135">
        <v>55490</v>
      </c>
      <c r="Y135">
        <v>33727</v>
      </c>
      <c r="Z135">
        <v>47948</v>
      </c>
      <c r="AA135">
        <v>28115</v>
      </c>
      <c r="AB135" s="103">
        <v>1685</v>
      </c>
      <c r="AC135" s="103">
        <v>6125</v>
      </c>
      <c r="AD135" s="103">
        <v>2980</v>
      </c>
      <c r="AE135" s="103">
        <v>900</v>
      </c>
      <c r="AF135" s="102">
        <v>0.18576217806601331</v>
      </c>
      <c r="AG135" s="102">
        <v>0</v>
      </c>
      <c r="AH135" s="102">
        <v>0.28708700246565694</v>
      </c>
      <c r="AI135" s="102">
        <v>1.6043097196610239</v>
      </c>
      <c r="AJ135" s="102">
        <v>1.3847726001284628</v>
      </c>
      <c r="AK135" s="102">
        <v>0.94569836106334038</v>
      </c>
      <c r="AL135" s="102">
        <v>2.0096090172595984</v>
      </c>
      <c r="AM135" s="102">
        <v>1.0807981269295319</v>
      </c>
      <c r="AN135" s="102">
        <v>0.35463688539875265</v>
      </c>
      <c r="AO135" s="102">
        <v>0.81059859519714905</v>
      </c>
      <c r="AP135" s="102">
        <v>0.16887470733273938</v>
      </c>
      <c r="AQ135" s="102">
        <v>0.89503594886351867</v>
      </c>
      <c r="AR135" s="102">
        <v>3.3774941466547873E-2</v>
      </c>
      <c r="AS135" s="102">
        <v>0.47284918053167019</v>
      </c>
      <c r="AT135" s="102">
        <v>1.2496728342622712</v>
      </c>
      <c r="AU135" s="102">
        <v>1.9420591343265026</v>
      </c>
      <c r="AV135" s="102">
        <v>0.23642459026583509</v>
      </c>
      <c r="AW135" s="102">
        <v>0.79371112446387493</v>
      </c>
      <c r="AX135" s="102">
        <v>0.70927377079750531</v>
      </c>
      <c r="AY135" s="102">
        <v>1.4692099537948327</v>
      </c>
    </row>
    <row r="136" spans="1:51" s="103" customFormat="1">
      <c r="A136" s="103" t="s">
        <v>327</v>
      </c>
      <c r="B136" s="103">
        <v>80</v>
      </c>
      <c r="T136" s="103">
        <f t="shared" si="2"/>
        <v>0</v>
      </c>
      <c r="W136"/>
      <c r="X136"/>
      <c r="Y136"/>
      <c r="Z136"/>
      <c r="AA136"/>
      <c r="AB136" s="103">
        <v>0</v>
      </c>
      <c r="AC136" s="103">
        <v>0</v>
      </c>
      <c r="AD136" s="103">
        <v>0</v>
      </c>
      <c r="AE136" s="103">
        <v>0</v>
      </c>
      <c r="AF136" s="102" t="e">
        <v>#N/A</v>
      </c>
      <c r="AG136" s="102" t="e">
        <v>#N/A</v>
      </c>
      <c r="AH136" s="102" t="e">
        <v>#N/A</v>
      </c>
      <c r="AI136" s="102" t="e">
        <v>#N/A</v>
      </c>
      <c r="AJ136" s="102" t="e">
        <v>#N/A</v>
      </c>
      <c r="AK136" s="102" t="e">
        <v>#N/A</v>
      </c>
      <c r="AL136" s="102" t="e">
        <v>#N/A</v>
      </c>
      <c r="AM136" s="102" t="e">
        <v>#N/A</v>
      </c>
      <c r="AN136" s="102" t="e">
        <v>#N/A</v>
      </c>
      <c r="AO136" s="102" t="e">
        <v>#N/A</v>
      </c>
      <c r="AP136" s="102" t="e">
        <v>#N/A</v>
      </c>
      <c r="AQ136" s="102" t="e">
        <v>#N/A</v>
      </c>
      <c r="AR136" s="102" t="e">
        <v>#N/A</v>
      </c>
      <c r="AS136" s="102" t="e">
        <v>#N/A</v>
      </c>
      <c r="AT136" s="102" t="e">
        <v>#N/A</v>
      </c>
      <c r="AU136" s="102" t="e">
        <v>#N/A</v>
      </c>
      <c r="AV136" s="102" t="e">
        <v>#N/A</v>
      </c>
      <c r="AW136" s="102" t="e">
        <v>#N/A</v>
      </c>
      <c r="AX136" s="102" t="e">
        <v>#N/A</v>
      </c>
      <c r="AY136" s="102" t="e">
        <v>#N/A</v>
      </c>
    </row>
    <row r="137" spans="1:51" s="103" customFormat="1">
      <c r="A137" s="103" t="s">
        <v>214</v>
      </c>
      <c r="B137" s="103">
        <v>1190</v>
      </c>
      <c r="C137" s="103">
        <v>1190</v>
      </c>
      <c r="D137" s="103">
        <v>2.2000000000000002</v>
      </c>
      <c r="E137" s="103">
        <v>27345</v>
      </c>
      <c r="F137" s="103">
        <v>0</v>
      </c>
      <c r="G137" s="103">
        <v>290</v>
      </c>
      <c r="H137" s="103">
        <v>105</v>
      </c>
      <c r="I137" s="103">
        <v>140</v>
      </c>
      <c r="J137" s="103">
        <v>0</v>
      </c>
      <c r="K137" s="103">
        <v>3.4</v>
      </c>
      <c r="L137" s="103">
        <v>32.9</v>
      </c>
      <c r="M137" s="103">
        <v>22.1</v>
      </c>
      <c r="N137" s="103">
        <v>30.4</v>
      </c>
      <c r="O137" s="103">
        <v>110</v>
      </c>
      <c r="P137" s="103">
        <v>20</v>
      </c>
      <c r="Q137" s="103">
        <v>50</v>
      </c>
      <c r="R137" s="103">
        <v>30</v>
      </c>
      <c r="T137" s="103" t="str">
        <f t="shared" si="2"/>
        <v>Ebb and Flow First Nation</v>
      </c>
      <c r="W137">
        <v>15238</v>
      </c>
      <c r="X137">
        <v>13837</v>
      </c>
      <c r="Y137">
        <v>16763</v>
      </c>
      <c r="Z137">
        <v>4720</v>
      </c>
      <c r="AA137">
        <v>9664</v>
      </c>
      <c r="AB137" s="103">
        <v>485</v>
      </c>
      <c r="AC137" s="103">
        <v>680</v>
      </c>
      <c r="AD137" s="103">
        <v>145</v>
      </c>
      <c r="AE137" s="103">
        <v>40</v>
      </c>
      <c r="AF137" s="102">
        <v>0.73570633368436888</v>
      </c>
      <c r="AG137" s="102">
        <v>0</v>
      </c>
      <c r="AH137" s="102">
        <v>0.73570633368436888</v>
      </c>
      <c r="AI137" s="102">
        <v>0.73570633368436888</v>
      </c>
      <c r="AJ137" s="102">
        <v>0</v>
      </c>
      <c r="AK137" s="102">
        <v>0.73570633368436888</v>
      </c>
      <c r="AL137" s="102">
        <v>0</v>
      </c>
      <c r="AM137" s="102">
        <v>0.73570633368436888</v>
      </c>
      <c r="AN137" s="102">
        <v>0</v>
      </c>
      <c r="AO137" s="102">
        <v>0</v>
      </c>
      <c r="AP137" s="102">
        <v>0</v>
      </c>
      <c r="AQ137" s="102">
        <v>0</v>
      </c>
      <c r="AR137" s="102">
        <v>0</v>
      </c>
      <c r="AS137" s="102">
        <v>0</v>
      </c>
      <c r="AT137" s="102">
        <v>3.6785316684218445</v>
      </c>
      <c r="AU137" s="102">
        <v>4.0463848352640293</v>
      </c>
      <c r="AV137" s="102">
        <v>0</v>
      </c>
      <c r="AW137" s="102">
        <v>0</v>
      </c>
      <c r="AX137" s="102">
        <v>0</v>
      </c>
      <c r="AY137" s="102">
        <v>2.2071190010531065</v>
      </c>
    </row>
    <row r="138" spans="1:51">
      <c r="A138" s="102" t="s">
        <v>624</v>
      </c>
      <c r="B138" s="102">
        <v>620</v>
      </c>
      <c r="C138" s="102">
        <v>620</v>
      </c>
      <c r="D138" s="102">
        <v>0.9</v>
      </c>
      <c r="E138" s="102">
        <v>78948</v>
      </c>
      <c r="F138" s="102">
        <v>0</v>
      </c>
      <c r="G138" s="102">
        <v>265</v>
      </c>
      <c r="H138" s="102">
        <v>115</v>
      </c>
      <c r="I138" s="102">
        <v>30</v>
      </c>
      <c r="J138" s="102">
        <v>84.9</v>
      </c>
      <c r="K138" s="102">
        <v>13.2</v>
      </c>
      <c r="L138" s="102">
        <v>74.099999999999994</v>
      </c>
      <c r="M138" s="102">
        <v>72.2</v>
      </c>
      <c r="N138" s="102">
        <v>2.5</v>
      </c>
      <c r="O138" s="102">
        <v>170</v>
      </c>
      <c r="P138" s="102">
        <v>30</v>
      </c>
      <c r="Q138" s="102">
        <v>60</v>
      </c>
      <c r="R138" s="102">
        <v>30</v>
      </c>
      <c r="T138" s="102">
        <f t="shared" si="2"/>
        <v>0</v>
      </c>
      <c r="W138">
        <v>27981</v>
      </c>
      <c r="X138">
        <v>29761</v>
      </c>
      <c r="Y138">
        <v>25447</v>
      </c>
      <c r="Z138">
        <v>29708</v>
      </c>
      <c r="AA138">
        <v>21453</v>
      </c>
      <c r="AB138" s="102">
        <v>85</v>
      </c>
      <c r="AC138" s="102">
        <v>420</v>
      </c>
      <c r="AD138" s="102">
        <v>235</v>
      </c>
      <c r="AE138" s="102">
        <v>140</v>
      </c>
      <c r="AF138" s="102">
        <v>6.1339515570934253</v>
      </c>
      <c r="AG138" s="102">
        <v>1.9036401384083046</v>
      </c>
      <c r="AH138" s="102">
        <v>0.6345467128027682</v>
      </c>
      <c r="AI138" s="102">
        <v>0.42303114186851215</v>
      </c>
      <c r="AJ138" s="102">
        <v>0</v>
      </c>
      <c r="AK138" s="102">
        <v>0</v>
      </c>
      <c r="AL138" s="102">
        <v>1.0575778546712802</v>
      </c>
      <c r="AM138" s="102">
        <v>1.4806089965397924</v>
      </c>
      <c r="AN138" s="102">
        <v>0</v>
      </c>
      <c r="AO138" s="102">
        <v>0.42303114186851215</v>
      </c>
      <c r="AP138" s="102">
        <v>0</v>
      </c>
      <c r="AQ138" s="102">
        <v>0</v>
      </c>
      <c r="AR138" s="102">
        <v>0</v>
      </c>
      <c r="AS138" s="102">
        <v>0.42303114186851215</v>
      </c>
      <c r="AT138" s="102">
        <v>0.42303114186851215</v>
      </c>
      <c r="AU138" s="102">
        <v>1.9036401384083046</v>
      </c>
      <c r="AV138" s="102">
        <v>0</v>
      </c>
      <c r="AW138" s="102">
        <v>0.6345467128027682</v>
      </c>
      <c r="AX138" s="102">
        <v>1.2690934256055364</v>
      </c>
      <c r="AY138" s="102">
        <v>0</v>
      </c>
    </row>
    <row r="139" spans="1:51" s="103" customFormat="1">
      <c r="A139" s="103" t="s">
        <v>329</v>
      </c>
      <c r="T139" s="103">
        <f t="shared" si="2"/>
        <v>0</v>
      </c>
      <c r="W139"/>
      <c r="X139"/>
      <c r="Y139"/>
      <c r="Z139"/>
      <c r="AA139"/>
      <c r="AB139" s="103">
        <v>0</v>
      </c>
      <c r="AC139" s="103">
        <v>0</v>
      </c>
      <c r="AD139" s="103">
        <v>0</v>
      </c>
      <c r="AE139" s="103">
        <v>0</v>
      </c>
      <c r="AF139" s="102" t="e">
        <v>#N/A</v>
      </c>
      <c r="AG139" s="102" t="e">
        <v>#N/A</v>
      </c>
      <c r="AH139" s="102" t="e">
        <v>#N/A</v>
      </c>
      <c r="AI139" s="102" t="e">
        <v>#N/A</v>
      </c>
      <c r="AJ139" s="102" t="e">
        <v>#N/A</v>
      </c>
      <c r="AK139" s="102" t="e">
        <v>#N/A</v>
      </c>
      <c r="AL139" s="102" t="e">
        <v>#N/A</v>
      </c>
      <c r="AM139" s="102" t="e">
        <v>#N/A</v>
      </c>
      <c r="AN139" s="102" t="e">
        <v>#N/A</v>
      </c>
      <c r="AO139" s="102" t="e">
        <v>#N/A</v>
      </c>
      <c r="AP139" s="102" t="e">
        <v>#N/A</v>
      </c>
      <c r="AQ139" s="102" t="e">
        <v>#N/A</v>
      </c>
      <c r="AR139" s="102" t="e">
        <v>#N/A</v>
      </c>
      <c r="AS139" s="102" t="e">
        <v>#N/A</v>
      </c>
      <c r="AT139" s="102" t="e">
        <v>#N/A</v>
      </c>
      <c r="AU139" s="102" t="e">
        <v>#N/A</v>
      </c>
      <c r="AV139" s="102" t="e">
        <v>#N/A</v>
      </c>
      <c r="AW139" s="102" t="e">
        <v>#N/A</v>
      </c>
      <c r="AX139" s="102" t="e">
        <v>#N/A</v>
      </c>
      <c r="AY139" s="102" t="e">
        <v>#N/A</v>
      </c>
    </row>
    <row r="140" spans="1:51" s="103" customFormat="1">
      <c r="A140" s="103" t="s">
        <v>328</v>
      </c>
      <c r="T140" s="103">
        <f t="shared" si="2"/>
        <v>0</v>
      </c>
      <c r="W140"/>
      <c r="X140"/>
      <c r="Y140"/>
      <c r="Z140"/>
      <c r="AA140"/>
      <c r="AB140" s="103">
        <v>0</v>
      </c>
      <c r="AC140" s="103">
        <v>0</v>
      </c>
      <c r="AD140" s="103">
        <v>0</v>
      </c>
      <c r="AE140" s="103">
        <v>0</v>
      </c>
      <c r="AF140" s="102" t="e">
        <v>#N/A</v>
      </c>
      <c r="AG140" s="102" t="e">
        <v>#N/A</v>
      </c>
      <c r="AH140" s="102" t="e">
        <v>#N/A</v>
      </c>
      <c r="AI140" s="102" t="e">
        <v>#N/A</v>
      </c>
      <c r="AJ140" s="102" t="e">
        <v>#N/A</v>
      </c>
      <c r="AK140" s="102" t="e">
        <v>#N/A</v>
      </c>
      <c r="AL140" s="102" t="e">
        <v>#N/A</v>
      </c>
      <c r="AM140" s="102" t="e">
        <v>#N/A</v>
      </c>
      <c r="AN140" s="102" t="e">
        <v>#N/A</v>
      </c>
      <c r="AO140" s="102" t="e">
        <v>#N/A</v>
      </c>
      <c r="AP140" s="102" t="e">
        <v>#N/A</v>
      </c>
      <c r="AQ140" s="102" t="e">
        <v>#N/A</v>
      </c>
      <c r="AR140" s="102" t="e">
        <v>#N/A</v>
      </c>
      <c r="AS140" s="102" t="e">
        <v>#N/A</v>
      </c>
      <c r="AT140" s="102" t="e">
        <v>#N/A</v>
      </c>
      <c r="AU140" s="102" t="e">
        <v>#N/A</v>
      </c>
      <c r="AV140" s="102" t="e">
        <v>#N/A</v>
      </c>
      <c r="AW140" s="102" t="e">
        <v>#N/A</v>
      </c>
      <c r="AX140" s="102" t="e">
        <v>#N/A</v>
      </c>
      <c r="AY140" s="102" t="e">
        <v>#N/A</v>
      </c>
    </row>
    <row r="141" spans="1:51" s="103" customFormat="1">
      <c r="A141" s="103" t="s">
        <v>330</v>
      </c>
      <c r="B141" s="103">
        <v>440</v>
      </c>
      <c r="C141" s="103">
        <v>435</v>
      </c>
      <c r="D141" s="103">
        <v>0.9</v>
      </c>
      <c r="E141" s="103">
        <v>49707</v>
      </c>
      <c r="F141" s="103">
        <v>8.3000000000000007</v>
      </c>
      <c r="G141" s="103">
        <v>210</v>
      </c>
      <c r="H141" s="103">
        <v>95</v>
      </c>
      <c r="I141" s="103">
        <v>40</v>
      </c>
      <c r="J141" s="103">
        <v>81</v>
      </c>
      <c r="K141" s="103">
        <v>19</v>
      </c>
      <c r="L141" s="103">
        <v>50.7</v>
      </c>
      <c r="M141" s="103">
        <v>50.7</v>
      </c>
      <c r="N141" s="103">
        <v>0</v>
      </c>
      <c r="O141" s="103">
        <v>105</v>
      </c>
      <c r="P141" s="103">
        <v>15</v>
      </c>
      <c r="Q141" s="103">
        <v>40</v>
      </c>
      <c r="R141" s="103">
        <v>40</v>
      </c>
      <c r="T141" s="103">
        <f t="shared" si="2"/>
        <v>0</v>
      </c>
      <c r="W141">
        <v>21293</v>
      </c>
      <c r="X141">
        <v>27063</v>
      </c>
      <c r="Y141">
        <v>13694</v>
      </c>
      <c r="Z141">
        <v>18658</v>
      </c>
      <c r="AA141">
        <v>15367</v>
      </c>
      <c r="AB141" s="103">
        <v>70</v>
      </c>
      <c r="AC141" s="103">
        <v>235</v>
      </c>
      <c r="AD141" s="103">
        <v>85</v>
      </c>
      <c r="AE141" s="103">
        <v>130</v>
      </c>
      <c r="AF141" s="102">
        <v>2.7439857850930518</v>
      </c>
      <c r="AG141" s="102">
        <v>0</v>
      </c>
      <c r="AH141" s="102">
        <v>0</v>
      </c>
      <c r="AI141" s="102">
        <v>2.2866548209108766</v>
      </c>
      <c r="AJ141" s="102">
        <v>0.91466192836435056</v>
      </c>
      <c r="AK141" s="102">
        <v>0</v>
      </c>
      <c r="AL141" s="102">
        <v>1.3719928925465259</v>
      </c>
      <c r="AM141" s="102">
        <v>0.91466192836435056</v>
      </c>
      <c r="AN141" s="102">
        <v>0.91466192836435056</v>
      </c>
      <c r="AO141" s="102">
        <v>0</v>
      </c>
      <c r="AP141" s="102">
        <v>0</v>
      </c>
      <c r="AQ141" s="102">
        <v>0.91466192836435056</v>
      </c>
      <c r="AR141" s="102">
        <v>0</v>
      </c>
      <c r="AS141" s="102">
        <v>0</v>
      </c>
      <c r="AT141" s="102">
        <v>2.7439857850930518</v>
      </c>
      <c r="AU141" s="102">
        <v>2.2866548209108766</v>
      </c>
      <c r="AV141" s="102">
        <v>0.91466192836435056</v>
      </c>
      <c r="AW141" s="102">
        <v>1.8293238567287011</v>
      </c>
      <c r="AX141" s="102">
        <v>0.91466192836435056</v>
      </c>
      <c r="AY141" s="102">
        <v>0.91466192836435056</v>
      </c>
    </row>
    <row r="142" spans="1:51" s="103" customFormat="1">
      <c r="A142" s="103" t="s">
        <v>669</v>
      </c>
      <c r="B142" s="103">
        <v>395</v>
      </c>
      <c r="C142" s="103">
        <v>395</v>
      </c>
      <c r="D142" s="103">
        <v>1.4</v>
      </c>
      <c r="E142" s="103">
        <v>60057</v>
      </c>
      <c r="F142" s="103">
        <v>0</v>
      </c>
      <c r="G142" s="103">
        <v>135</v>
      </c>
      <c r="H142" s="103">
        <v>35</v>
      </c>
      <c r="I142" s="103">
        <v>15</v>
      </c>
      <c r="J142" s="103">
        <v>96.3</v>
      </c>
      <c r="K142" s="103">
        <v>0</v>
      </c>
      <c r="L142" s="103">
        <v>70</v>
      </c>
      <c r="M142" s="103">
        <v>66.7</v>
      </c>
      <c r="N142" s="103">
        <v>4.8</v>
      </c>
      <c r="O142" s="103">
        <v>90</v>
      </c>
      <c r="P142" s="103">
        <v>40</v>
      </c>
      <c r="Q142" s="103">
        <v>30</v>
      </c>
      <c r="R142" s="103">
        <v>35</v>
      </c>
      <c r="T142" s="103">
        <f t="shared" si="2"/>
        <v>0</v>
      </c>
      <c r="W142">
        <v>24935</v>
      </c>
      <c r="X142">
        <v>29719</v>
      </c>
      <c r="Y142">
        <v>18465</v>
      </c>
      <c r="Z142">
        <v>23244</v>
      </c>
      <c r="AA142">
        <v>15006</v>
      </c>
      <c r="AB142" s="103">
        <v>105</v>
      </c>
      <c r="AC142" s="103">
        <v>210</v>
      </c>
      <c r="AD142" s="103">
        <v>110</v>
      </c>
      <c r="AE142" s="103">
        <v>65</v>
      </c>
      <c r="AF142" s="102">
        <v>4.0288680177953529</v>
      </c>
      <c r="AG142" s="102">
        <v>1.6115472071181414</v>
      </c>
      <c r="AH142" s="102">
        <v>0</v>
      </c>
      <c r="AI142" s="102">
        <v>0</v>
      </c>
      <c r="AJ142" s="102">
        <v>0.80577360355907068</v>
      </c>
      <c r="AK142" s="102">
        <v>0</v>
      </c>
      <c r="AL142" s="102">
        <v>2.4173208106772117</v>
      </c>
      <c r="AM142" s="102">
        <v>0.80577360355907068</v>
      </c>
      <c r="AN142" s="102">
        <v>0</v>
      </c>
      <c r="AO142" s="102">
        <v>0</v>
      </c>
      <c r="AP142" s="102">
        <v>0.80577360355907068</v>
      </c>
      <c r="AQ142" s="102">
        <v>0</v>
      </c>
      <c r="AR142" s="102">
        <v>0</v>
      </c>
      <c r="AS142" s="102">
        <v>0.80577360355907068</v>
      </c>
      <c r="AT142" s="102">
        <v>0.80577360355907068</v>
      </c>
      <c r="AU142" s="102">
        <v>2.0144340088976764</v>
      </c>
      <c r="AV142" s="102">
        <v>0</v>
      </c>
      <c r="AW142" s="102">
        <v>0.80577360355907068</v>
      </c>
      <c r="AX142" s="102">
        <v>1.2086604053386059</v>
      </c>
      <c r="AY142" s="102">
        <v>0.80577360355907068</v>
      </c>
    </row>
    <row r="143" spans="1:51" s="103" customFormat="1">
      <c r="A143" s="103" t="s">
        <v>331</v>
      </c>
      <c r="T143" s="103">
        <f t="shared" si="2"/>
        <v>0</v>
      </c>
      <c r="W143"/>
      <c r="X143"/>
      <c r="Y143"/>
      <c r="Z143"/>
      <c r="AA143"/>
      <c r="AB143" s="103">
        <v>0</v>
      </c>
      <c r="AC143" s="103">
        <v>0</v>
      </c>
      <c r="AD143" s="103">
        <v>0</v>
      </c>
      <c r="AE143" s="103">
        <v>0</v>
      </c>
      <c r="AF143" s="102" t="e">
        <v>#N/A</v>
      </c>
      <c r="AG143" s="102" t="e">
        <v>#N/A</v>
      </c>
      <c r="AH143" s="102" t="e">
        <v>#N/A</v>
      </c>
      <c r="AI143" s="102" t="e">
        <v>#N/A</v>
      </c>
      <c r="AJ143" s="102" t="e">
        <v>#N/A</v>
      </c>
      <c r="AK143" s="102" t="e">
        <v>#N/A</v>
      </c>
      <c r="AL143" s="102" t="e">
        <v>#N/A</v>
      </c>
      <c r="AM143" s="102" t="e">
        <v>#N/A</v>
      </c>
      <c r="AN143" s="102" t="e">
        <v>#N/A</v>
      </c>
      <c r="AO143" s="102" t="e">
        <v>#N/A</v>
      </c>
      <c r="AP143" s="102" t="e">
        <v>#N/A</v>
      </c>
      <c r="AQ143" s="102" t="e">
        <v>#N/A</v>
      </c>
      <c r="AR143" s="102" t="e">
        <v>#N/A</v>
      </c>
      <c r="AS143" s="102" t="e">
        <v>#N/A</v>
      </c>
      <c r="AT143" s="102" t="e">
        <v>#N/A</v>
      </c>
      <c r="AU143" s="102" t="e">
        <v>#N/A</v>
      </c>
      <c r="AV143" s="102" t="e">
        <v>#N/A</v>
      </c>
      <c r="AW143" s="102" t="e">
        <v>#N/A</v>
      </c>
      <c r="AX143" s="102" t="e">
        <v>#N/A</v>
      </c>
      <c r="AY143" s="102" t="e">
        <v>#N/A</v>
      </c>
    </row>
    <row r="144" spans="1:51" s="103" customFormat="1">
      <c r="A144" s="103" t="s">
        <v>332</v>
      </c>
      <c r="T144" s="103">
        <f t="shared" si="2"/>
        <v>0</v>
      </c>
      <c r="W144"/>
      <c r="X144"/>
      <c r="Y144"/>
      <c r="Z144"/>
      <c r="AA144"/>
      <c r="AB144" s="103">
        <v>0</v>
      </c>
      <c r="AC144" s="103">
        <v>0</v>
      </c>
      <c r="AD144" s="103">
        <v>0</v>
      </c>
      <c r="AE144" s="103">
        <v>0</v>
      </c>
      <c r="AF144" s="102" t="e">
        <v>#N/A</v>
      </c>
      <c r="AG144" s="102" t="e">
        <v>#N/A</v>
      </c>
      <c r="AH144" s="102" t="e">
        <v>#N/A</v>
      </c>
      <c r="AI144" s="102" t="e">
        <v>#N/A</v>
      </c>
      <c r="AJ144" s="102" t="e">
        <v>#N/A</v>
      </c>
      <c r="AK144" s="102" t="e">
        <v>#N/A</v>
      </c>
      <c r="AL144" s="102" t="e">
        <v>#N/A</v>
      </c>
      <c r="AM144" s="102" t="e">
        <v>#N/A</v>
      </c>
      <c r="AN144" s="102" t="e">
        <v>#N/A</v>
      </c>
      <c r="AO144" s="102" t="e">
        <v>#N/A</v>
      </c>
      <c r="AP144" s="102" t="e">
        <v>#N/A</v>
      </c>
      <c r="AQ144" s="102" t="e">
        <v>#N/A</v>
      </c>
      <c r="AR144" s="102" t="e">
        <v>#N/A</v>
      </c>
      <c r="AS144" s="102" t="e">
        <v>#N/A</v>
      </c>
      <c r="AT144" s="102" t="e">
        <v>#N/A</v>
      </c>
      <c r="AU144" s="102" t="e">
        <v>#N/A</v>
      </c>
      <c r="AV144" s="102" t="e">
        <v>#N/A</v>
      </c>
      <c r="AW144" s="102" t="e">
        <v>#N/A</v>
      </c>
      <c r="AX144" s="102" t="e">
        <v>#N/A</v>
      </c>
      <c r="AY144" s="102" t="e">
        <v>#N/A</v>
      </c>
    </row>
    <row r="145" spans="1:51" s="103" customFormat="1">
      <c r="A145" s="103" t="s">
        <v>333</v>
      </c>
      <c r="T145" s="103">
        <f t="shared" si="2"/>
        <v>0</v>
      </c>
      <c r="W145"/>
      <c r="X145"/>
      <c r="Y145"/>
      <c r="Z145"/>
      <c r="AA145"/>
      <c r="AB145" s="103">
        <v>0</v>
      </c>
      <c r="AC145" s="103">
        <v>0</v>
      </c>
      <c r="AD145" s="103">
        <v>0</v>
      </c>
      <c r="AE145" s="103">
        <v>0</v>
      </c>
      <c r="AF145" s="102" t="e">
        <v>#N/A</v>
      </c>
      <c r="AG145" s="102" t="e">
        <v>#N/A</v>
      </c>
      <c r="AH145" s="102" t="e">
        <v>#N/A</v>
      </c>
      <c r="AI145" s="102" t="e">
        <v>#N/A</v>
      </c>
      <c r="AJ145" s="102" t="e">
        <v>#N/A</v>
      </c>
      <c r="AK145" s="102" t="e">
        <v>#N/A</v>
      </c>
      <c r="AL145" s="102" t="e">
        <v>#N/A</v>
      </c>
      <c r="AM145" s="102" t="e">
        <v>#N/A</v>
      </c>
      <c r="AN145" s="102" t="e">
        <v>#N/A</v>
      </c>
      <c r="AO145" s="102" t="e">
        <v>#N/A</v>
      </c>
      <c r="AP145" s="102" t="e">
        <v>#N/A</v>
      </c>
      <c r="AQ145" s="102" t="e">
        <v>#N/A</v>
      </c>
      <c r="AR145" s="102" t="e">
        <v>#N/A</v>
      </c>
      <c r="AS145" s="102" t="e">
        <v>#N/A</v>
      </c>
      <c r="AT145" s="102" t="e">
        <v>#N/A</v>
      </c>
      <c r="AU145" s="102" t="e">
        <v>#N/A</v>
      </c>
      <c r="AV145" s="102" t="e">
        <v>#N/A</v>
      </c>
      <c r="AW145" s="102" t="e">
        <v>#N/A</v>
      </c>
      <c r="AX145" s="102" t="e">
        <v>#N/A</v>
      </c>
      <c r="AY145" s="102" t="e">
        <v>#N/A</v>
      </c>
    </row>
    <row r="146" spans="1:51">
      <c r="A146" s="102" t="s">
        <v>638</v>
      </c>
      <c r="B146" s="102">
        <v>1290</v>
      </c>
      <c r="C146" s="102">
        <v>1235</v>
      </c>
      <c r="D146" s="102">
        <v>1</v>
      </c>
      <c r="E146" s="102">
        <v>65136</v>
      </c>
      <c r="F146" s="102">
        <v>6.8</v>
      </c>
      <c r="G146" s="102">
        <v>450</v>
      </c>
      <c r="H146" s="102">
        <v>150</v>
      </c>
      <c r="I146" s="102">
        <v>95</v>
      </c>
      <c r="J146" s="102">
        <v>93.3</v>
      </c>
      <c r="K146" s="102">
        <v>6.7</v>
      </c>
      <c r="L146" s="102">
        <v>83</v>
      </c>
      <c r="M146" s="102">
        <v>78.900000000000006</v>
      </c>
      <c r="N146" s="102">
        <v>5</v>
      </c>
      <c r="O146" s="102">
        <v>315</v>
      </c>
      <c r="P146" s="102">
        <v>60</v>
      </c>
      <c r="Q146" s="102">
        <v>215</v>
      </c>
      <c r="R146" s="102">
        <v>115</v>
      </c>
      <c r="T146" s="102">
        <f t="shared" si="2"/>
        <v>0</v>
      </c>
      <c r="W146">
        <v>25465</v>
      </c>
      <c r="X146">
        <v>25312</v>
      </c>
      <c r="Y146">
        <v>25677</v>
      </c>
      <c r="Z146">
        <v>24538</v>
      </c>
      <c r="AA146">
        <v>23555</v>
      </c>
      <c r="AB146" s="102">
        <v>200</v>
      </c>
      <c r="AC146" s="102">
        <v>960</v>
      </c>
      <c r="AD146" s="102">
        <v>435</v>
      </c>
      <c r="AE146" s="102">
        <v>125</v>
      </c>
      <c r="AF146" s="102">
        <v>4.0199644420654188</v>
      </c>
      <c r="AG146" s="102">
        <v>0</v>
      </c>
      <c r="AH146" s="102">
        <v>0.18697509032862414</v>
      </c>
      <c r="AI146" s="102">
        <v>0.28046263549293621</v>
      </c>
      <c r="AJ146" s="102">
        <v>1.2153380871360568</v>
      </c>
      <c r="AK146" s="102">
        <v>0.65441281615018443</v>
      </c>
      <c r="AL146" s="102">
        <v>1.0283629968074328</v>
      </c>
      <c r="AM146" s="102">
        <v>1.4023131774646809</v>
      </c>
      <c r="AN146" s="102">
        <v>0</v>
      </c>
      <c r="AO146" s="102">
        <v>0</v>
      </c>
      <c r="AP146" s="102">
        <v>0</v>
      </c>
      <c r="AQ146" s="102">
        <v>0.18697509032862414</v>
      </c>
      <c r="AR146" s="102">
        <v>0</v>
      </c>
      <c r="AS146" s="102">
        <v>1.3088256323003689</v>
      </c>
      <c r="AT146" s="102">
        <v>1.3088256323003689</v>
      </c>
      <c r="AU146" s="102">
        <v>2.2437010839434897</v>
      </c>
      <c r="AV146" s="102">
        <v>0</v>
      </c>
      <c r="AW146" s="102">
        <v>0.56092527098587242</v>
      </c>
      <c r="AX146" s="102">
        <v>0.84138790647880857</v>
      </c>
      <c r="AY146" s="102">
        <v>1.4023131774646809</v>
      </c>
    </row>
    <row r="147" spans="1:51">
      <c r="A147" s="102" t="s">
        <v>334</v>
      </c>
      <c r="B147" s="102">
        <v>665</v>
      </c>
      <c r="C147" s="102">
        <v>665</v>
      </c>
      <c r="D147" s="102">
        <v>0.9</v>
      </c>
      <c r="E147" s="102">
        <v>82413</v>
      </c>
      <c r="F147" s="102">
        <v>5.0999999999999996</v>
      </c>
      <c r="G147" s="102">
        <v>310</v>
      </c>
      <c r="H147" s="102">
        <v>120</v>
      </c>
      <c r="I147" s="102">
        <v>25</v>
      </c>
      <c r="J147" s="102">
        <v>79</v>
      </c>
      <c r="K147" s="102">
        <v>21</v>
      </c>
      <c r="L147" s="102">
        <v>61.6</v>
      </c>
      <c r="M147" s="102">
        <v>59.8</v>
      </c>
      <c r="N147" s="102">
        <v>2.9</v>
      </c>
      <c r="O147" s="102">
        <v>160</v>
      </c>
      <c r="P147" s="102">
        <v>35</v>
      </c>
      <c r="Q147" s="102">
        <v>75</v>
      </c>
      <c r="R147" s="102">
        <v>50</v>
      </c>
      <c r="T147" s="102">
        <f t="shared" si="2"/>
        <v>0</v>
      </c>
      <c r="W147">
        <v>39344</v>
      </c>
      <c r="X147">
        <v>50643</v>
      </c>
      <c r="Y147">
        <v>25865</v>
      </c>
      <c r="Z147">
        <v>29783</v>
      </c>
      <c r="AA147">
        <v>23204</v>
      </c>
      <c r="AB147" s="102">
        <v>100</v>
      </c>
      <c r="AC147" s="102">
        <v>410</v>
      </c>
      <c r="AD147" s="102">
        <v>225</v>
      </c>
      <c r="AE147" s="102">
        <v>135</v>
      </c>
      <c r="AF147" s="102">
        <v>0.73570633368436888</v>
      </c>
      <c r="AG147" s="102">
        <v>0</v>
      </c>
      <c r="AH147" s="102">
        <v>0</v>
      </c>
      <c r="AI147" s="102">
        <v>0.49047088912291259</v>
      </c>
      <c r="AJ147" s="102">
        <v>1.7166481119301942</v>
      </c>
      <c r="AK147" s="102">
        <v>0.98094177824582518</v>
      </c>
      <c r="AL147" s="102">
        <v>1.7166481119301942</v>
      </c>
      <c r="AM147" s="102">
        <v>3.6785316684218445</v>
      </c>
      <c r="AN147" s="102">
        <v>0</v>
      </c>
      <c r="AO147" s="102">
        <v>0.49047088912291259</v>
      </c>
      <c r="AP147" s="102">
        <v>0</v>
      </c>
      <c r="AQ147" s="102">
        <v>0</v>
      </c>
      <c r="AR147" s="102">
        <v>0</v>
      </c>
      <c r="AS147" s="102">
        <v>0.49047088912291259</v>
      </c>
      <c r="AT147" s="102">
        <v>1.4714126673687378</v>
      </c>
      <c r="AU147" s="102">
        <v>1.7166481119301942</v>
      </c>
      <c r="AV147" s="102">
        <v>0</v>
      </c>
      <c r="AW147" s="102">
        <v>0.49047088912291259</v>
      </c>
      <c r="AX147" s="102">
        <v>0</v>
      </c>
      <c r="AY147" s="102">
        <v>2.6975898901760189</v>
      </c>
    </row>
    <row r="148" spans="1:51">
      <c r="A148" s="102" t="s">
        <v>335</v>
      </c>
      <c r="B148" s="102">
        <v>430</v>
      </c>
      <c r="C148" s="102">
        <v>430</v>
      </c>
      <c r="D148" s="102">
        <v>0.7</v>
      </c>
      <c r="E148" s="102">
        <v>54751</v>
      </c>
      <c r="F148" s="102">
        <v>0</v>
      </c>
      <c r="G148" s="102">
        <v>240</v>
      </c>
      <c r="H148" s="102">
        <v>90</v>
      </c>
      <c r="I148" s="102">
        <v>30</v>
      </c>
      <c r="J148" s="102">
        <v>66.7</v>
      </c>
      <c r="K148" s="102">
        <v>33.299999999999997</v>
      </c>
      <c r="L148" s="102">
        <v>57.7</v>
      </c>
      <c r="M148" s="102">
        <v>56.4</v>
      </c>
      <c r="N148" s="102">
        <v>0</v>
      </c>
      <c r="O148" s="102">
        <v>110</v>
      </c>
      <c r="P148" s="102">
        <v>50</v>
      </c>
      <c r="Q148" s="102">
        <v>40</v>
      </c>
      <c r="R148" s="102">
        <v>55</v>
      </c>
      <c r="T148" s="102">
        <f t="shared" si="2"/>
        <v>0</v>
      </c>
      <c r="W148">
        <v>22076</v>
      </c>
      <c r="X148">
        <v>23316</v>
      </c>
      <c r="Y148">
        <v>20475</v>
      </c>
      <c r="Z148">
        <v>22691</v>
      </c>
      <c r="AA148">
        <v>18381</v>
      </c>
      <c r="AB148" s="102">
        <v>40</v>
      </c>
      <c r="AC148" s="102">
        <v>260</v>
      </c>
      <c r="AD148" s="102">
        <v>120</v>
      </c>
      <c r="AE148" s="102">
        <v>150</v>
      </c>
      <c r="AF148" s="102">
        <v>0.75205536332179934</v>
      </c>
      <c r="AG148" s="102">
        <v>0</v>
      </c>
      <c r="AH148" s="102">
        <v>0</v>
      </c>
      <c r="AI148" s="102">
        <v>2.2561660899653977</v>
      </c>
      <c r="AJ148" s="102">
        <v>0</v>
      </c>
      <c r="AK148" s="102">
        <v>0.75205536332179934</v>
      </c>
      <c r="AL148" s="102">
        <v>3.3842491349480972</v>
      </c>
      <c r="AM148" s="102">
        <v>1.1280830449826988</v>
      </c>
      <c r="AN148" s="102">
        <v>0</v>
      </c>
      <c r="AO148" s="102">
        <v>2.2561660899653977</v>
      </c>
      <c r="AP148" s="102">
        <v>0</v>
      </c>
      <c r="AQ148" s="102">
        <v>0</v>
      </c>
      <c r="AR148" s="102">
        <v>0</v>
      </c>
      <c r="AS148" s="102">
        <v>0.75205536332179934</v>
      </c>
      <c r="AT148" s="102">
        <v>1.5041107266435987</v>
      </c>
      <c r="AU148" s="102">
        <v>1.8801384083044981</v>
      </c>
      <c r="AV148" s="102">
        <v>0</v>
      </c>
      <c r="AW148" s="102">
        <v>0.75205536332179934</v>
      </c>
      <c r="AX148" s="102">
        <v>1.1280830449826988</v>
      </c>
      <c r="AY148" s="102">
        <v>0</v>
      </c>
    </row>
    <row r="149" spans="1:51">
      <c r="A149" s="102" t="s">
        <v>500</v>
      </c>
      <c r="B149" s="102">
        <v>890</v>
      </c>
      <c r="C149" s="102">
        <v>890</v>
      </c>
      <c r="D149" s="102">
        <v>1.2</v>
      </c>
      <c r="E149" s="102">
        <v>61288</v>
      </c>
      <c r="F149" s="102">
        <v>6.4</v>
      </c>
      <c r="G149" s="102">
        <v>370</v>
      </c>
      <c r="H149" s="102">
        <v>130</v>
      </c>
      <c r="I149" s="102">
        <v>50</v>
      </c>
      <c r="J149" s="102">
        <v>82.4</v>
      </c>
      <c r="K149" s="102">
        <v>17.600000000000001</v>
      </c>
      <c r="L149" s="102">
        <v>59.1</v>
      </c>
      <c r="M149" s="102">
        <v>55.5</v>
      </c>
      <c r="N149" s="102">
        <v>6.2</v>
      </c>
      <c r="O149" s="102">
        <v>110</v>
      </c>
      <c r="P149" s="102">
        <v>100</v>
      </c>
      <c r="Q149" s="102">
        <v>95</v>
      </c>
      <c r="R149" s="102">
        <v>80</v>
      </c>
      <c r="T149" s="102">
        <f t="shared" si="2"/>
        <v>0</v>
      </c>
      <c r="W149">
        <v>25663</v>
      </c>
      <c r="X149">
        <v>33191</v>
      </c>
      <c r="Y149">
        <v>16181</v>
      </c>
      <c r="Z149">
        <v>25776</v>
      </c>
      <c r="AA149">
        <v>14605</v>
      </c>
      <c r="AB149" s="102">
        <v>190</v>
      </c>
      <c r="AC149" s="102">
        <v>485</v>
      </c>
      <c r="AD149" s="102">
        <v>205</v>
      </c>
      <c r="AE149" s="102">
        <v>175</v>
      </c>
      <c r="AF149" s="102">
        <v>3.3424682814302189</v>
      </c>
      <c r="AG149" s="102">
        <v>0</v>
      </c>
      <c r="AH149" s="102">
        <v>1.4623298731257208</v>
      </c>
      <c r="AI149" s="102">
        <v>2.2979469434832756</v>
      </c>
      <c r="AJ149" s="102">
        <v>0.83561707035755473</v>
      </c>
      <c r="AK149" s="102">
        <v>0.41780853517877736</v>
      </c>
      <c r="AL149" s="102">
        <v>1.8801384083044981</v>
      </c>
      <c r="AM149" s="102">
        <v>0.6267128027681661</v>
      </c>
      <c r="AN149" s="102">
        <v>0</v>
      </c>
      <c r="AO149" s="102">
        <v>0.41780853517877736</v>
      </c>
      <c r="AP149" s="102">
        <v>0</v>
      </c>
      <c r="AQ149" s="102">
        <v>0</v>
      </c>
      <c r="AR149" s="102">
        <v>0</v>
      </c>
      <c r="AS149" s="102">
        <v>0</v>
      </c>
      <c r="AT149" s="102">
        <v>1.4623298731257208</v>
      </c>
      <c r="AU149" s="102">
        <v>1.2534256055363322</v>
      </c>
      <c r="AV149" s="102">
        <v>0</v>
      </c>
      <c r="AW149" s="102">
        <v>0.41780853517877736</v>
      </c>
      <c r="AX149" s="102">
        <v>0.41780853517877736</v>
      </c>
      <c r="AY149" s="102">
        <v>1.6712341407151095</v>
      </c>
    </row>
    <row r="150" spans="1:51">
      <c r="A150" s="102" t="s">
        <v>683</v>
      </c>
      <c r="B150" s="102">
        <v>315</v>
      </c>
      <c r="C150" s="102">
        <v>310</v>
      </c>
      <c r="D150" s="102">
        <v>0.6</v>
      </c>
      <c r="E150" s="102">
        <v>34612</v>
      </c>
      <c r="F150" s="102">
        <v>16.7</v>
      </c>
      <c r="G150" s="102">
        <v>160</v>
      </c>
      <c r="H150" s="102">
        <v>40</v>
      </c>
      <c r="I150" s="102">
        <v>60</v>
      </c>
      <c r="J150" s="102">
        <v>81.3</v>
      </c>
      <c r="K150" s="102">
        <v>15.6</v>
      </c>
      <c r="L150" s="102">
        <v>46.3</v>
      </c>
      <c r="M150" s="102">
        <v>38.9</v>
      </c>
      <c r="N150" s="102">
        <v>12</v>
      </c>
      <c r="O150" s="102">
        <v>40</v>
      </c>
      <c r="P150" s="102">
        <v>0</v>
      </c>
      <c r="Q150" s="102">
        <v>35</v>
      </c>
      <c r="R150" s="102">
        <v>25</v>
      </c>
      <c r="T150" s="102">
        <f t="shared" si="2"/>
        <v>0</v>
      </c>
      <c r="W150">
        <v>27987</v>
      </c>
      <c r="X150">
        <v>33494</v>
      </c>
      <c r="Y150">
        <v>11863</v>
      </c>
      <c r="Z150">
        <v>24483</v>
      </c>
      <c r="AA150">
        <v>9342</v>
      </c>
      <c r="AB150" s="102">
        <v>35</v>
      </c>
      <c r="AC150" s="102">
        <v>185</v>
      </c>
      <c r="AD150" s="102">
        <v>80</v>
      </c>
      <c r="AE150" s="102">
        <v>80</v>
      </c>
      <c r="AF150" s="102">
        <v>5.414798615916955</v>
      </c>
      <c r="AG150" s="102">
        <v>1.3536996539792387</v>
      </c>
      <c r="AH150" s="102">
        <v>0</v>
      </c>
      <c r="AI150" s="102">
        <v>0</v>
      </c>
      <c r="AJ150" s="102">
        <v>0</v>
      </c>
      <c r="AK150" s="102">
        <v>0</v>
      </c>
      <c r="AL150" s="102">
        <v>0</v>
      </c>
      <c r="AM150" s="102">
        <v>2.0305494809688582</v>
      </c>
      <c r="AN150" s="102">
        <v>0</v>
      </c>
      <c r="AO150" s="102">
        <v>0</v>
      </c>
      <c r="AP150" s="102">
        <v>0</v>
      </c>
      <c r="AQ150" s="102">
        <v>0</v>
      </c>
      <c r="AR150" s="102">
        <v>0</v>
      </c>
      <c r="AS150" s="102">
        <v>1.3536996539792387</v>
      </c>
      <c r="AT150" s="102">
        <v>1.3536996539792387</v>
      </c>
      <c r="AU150" s="102">
        <v>3.3842491349480972</v>
      </c>
      <c r="AV150" s="102">
        <v>0</v>
      </c>
      <c r="AW150" s="102">
        <v>0</v>
      </c>
      <c r="AX150" s="102">
        <v>0</v>
      </c>
      <c r="AY150" s="102">
        <v>0</v>
      </c>
    </row>
    <row r="151" spans="1:51" s="103" customFormat="1">
      <c r="A151" s="108" t="s">
        <v>775</v>
      </c>
      <c r="B151" s="103">
        <v>380</v>
      </c>
      <c r="C151" s="103">
        <v>385</v>
      </c>
      <c r="D151" s="103">
        <v>1.1000000000000001</v>
      </c>
      <c r="E151" s="103">
        <v>56827</v>
      </c>
      <c r="F151" s="103">
        <v>13</v>
      </c>
      <c r="G151" s="103">
        <v>155</v>
      </c>
      <c r="H151" s="103">
        <v>85</v>
      </c>
      <c r="I151" s="103">
        <v>10</v>
      </c>
      <c r="J151" s="103">
        <v>93.5</v>
      </c>
      <c r="K151" s="103">
        <v>6.5</v>
      </c>
      <c r="L151" s="103">
        <v>58.5</v>
      </c>
      <c r="M151" s="103">
        <v>56.9</v>
      </c>
      <c r="N151" s="103">
        <v>5.3</v>
      </c>
      <c r="O151" s="103">
        <v>75</v>
      </c>
      <c r="P151" s="103">
        <v>85</v>
      </c>
      <c r="Q151" s="103">
        <v>30</v>
      </c>
      <c r="R151" s="103">
        <v>20</v>
      </c>
      <c r="T151" s="103">
        <f t="shared" si="2"/>
        <v>0</v>
      </c>
      <c r="W151">
        <v>18973</v>
      </c>
      <c r="X151">
        <v>22122</v>
      </c>
      <c r="Y151">
        <v>13107</v>
      </c>
      <c r="Z151">
        <v>22583</v>
      </c>
      <c r="AA151">
        <v>14263</v>
      </c>
      <c r="AB151" s="103">
        <v>55</v>
      </c>
      <c r="AC151" s="103">
        <v>230</v>
      </c>
      <c r="AD151" s="103">
        <v>135</v>
      </c>
      <c r="AE151" s="103">
        <v>80</v>
      </c>
      <c r="AF151" s="102">
        <v>5.7888472045164816</v>
      </c>
      <c r="AG151" s="102">
        <v>0</v>
      </c>
      <c r="AH151" s="102">
        <v>0</v>
      </c>
      <c r="AI151" s="102">
        <v>0.89059187761792014</v>
      </c>
      <c r="AJ151" s="102">
        <v>0</v>
      </c>
      <c r="AK151" s="102">
        <v>0.89059187761792014</v>
      </c>
      <c r="AL151" s="102">
        <v>4.0076634492806411</v>
      </c>
      <c r="AM151" s="102">
        <v>0.89059187761792014</v>
      </c>
      <c r="AN151" s="102">
        <v>0</v>
      </c>
      <c r="AO151" s="102">
        <v>0</v>
      </c>
      <c r="AP151" s="102">
        <v>0</v>
      </c>
      <c r="AQ151" s="102">
        <v>0</v>
      </c>
      <c r="AR151" s="102">
        <v>0</v>
      </c>
      <c r="AS151" s="102">
        <v>0</v>
      </c>
      <c r="AT151" s="102">
        <v>0</v>
      </c>
      <c r="AU151" s="102">
        <v>0.89059187761792014</v>
      </c>
      <c r="AV151" s="102">
        <v>0</v>
      </c>
      <c r="AW151" s="102">
        <v>1.3358878164268804</v>
      </c>
      <c r="AX151" s="102">
        <v>0.89059187761792014</v>
      </c>
      <c r="AY151" s="102">
        <v>0.89059187761792014</v>
      </c>
    </row>
    <row r="152" spans="1:51" s="103" customFormat="1">
      <c r="A152" s="103" t="s">
        <v>499</v>
      </c>
      <c r="B152" s="103">
        <v>905</v>
      </c>
      <c r="C152" s="103">
        <v>905</v>
      </c>
      <c r="D152" s="103">
        <v>2.2000000000000002</v>
      </c>
      <c r="E152" s="103">
        <v>23373</v>
      </c>
      <c r="F152" s="103">
        <v>0</v>
      </c>
      <c r="G152" s="103">
        <v>235</v>
      </c>
      <c r="H152" s="103">
        <v>95</v>
      </c>
      <c r="I152" s="103">
        <v>115</v>
      </c>
      <c r="J152" s="103">
        <v>10.6</v>
      </c>
      <c r="K152" s="103">
        <v>6.4</v>
      </c>
      <c r="L152" s="103">
        <v>43.1</v>
      </c>
      <c r="M152" s="103">
        <v>17.899999999999999</v>
      </c>
      <c r="N152" s="103">
        <v>56.6</v>
      </c>
      <c r="T152" s="103">
        <f t="shared" si="2"/>
        <v>0</v>
      </c>
      <c r="W152">
        <v>15155</v>
      </c>
      <c r="X152">
        <v>13630</v>
      </c>
      <c r="Y152">
        <v>16347</v>
      </c>
      <c r="Z152">
        <v>2565</v>
      </c>
      <c r="AA152">
        <v>8448</v>
      </c>
      <c r="AB152" s="103">
        <v>290</v>
      </c>
      <c r="AC152" s="103">
        <v>575</v>
      </c>
      <c r="AD152" s="103">
        <v>130</v>
      </c>
      <c r="AE152" s="103">
        <v>60</v>
      </c>
      <c r="AF152" s="102" t="e">
        <v>#N/A</v>
      </c>
      <c r="AG152" s="102" t="e">
        <v>#N/A</v>
      </c>
      <c r="AH152" s="102" t="e">
        <v>#N/A</v>
      </c>
      <c r="AI152" s="102" t="e">
        <v>#N/A</v>
      </c>
      <c r="AJ152" s="102" t="e">
        <v>#N/A</v>
      </c>
      <c r="AK152" s="102" t="e">
        <v>#N/A</v>
      </c>
      <c r="AL152" s="102" t="e">
        <v>#N/A</v>
      </c>
      <c r="AM152" s="102" t="e">
        <v>#N/A</v>
      </c>
      <c r="AN152" s="102" t="e">
        <v>#N/A</v>
      </c>
      <c r="AO152" s="102" t="e">
        <v>#N/A</v>
      </c>
      <c r="AP152" s="102" t="e">
        <v>#N/A</v>
      </c>
      <c r="AQ152" s="102" t="e">
        <v>#N/A</v>
      </c>
      <c r="AR152" s="102" t="e">
        <v>#N/A</v>
      </c>
      <c r="AS152" s="102" t="e">
        <v>#N/A</v>
      </c>
      <c r="AT152" s="102" t="e">
        <v>#N/A</v>
      </c>
      <c r="AU152" s="102" t="e">
        <v>#N/A</v>
      </c>
      <c r="AV152" s="102" t="e">
        <v>#N/A</v>
      </c>
      <c r="AW152" s="102" t="e">
        <v>#N/A</v>
      </c>
      <c r="AX152" s="102" t="e">
        <v>#N/A</v>
      </c>
      <c r="AY152" s="102" t="e">
        <v>#N/A</v>
      </c>
    </row>
    <row r="153" spans="1:51" s="103" customFormat="1">
      <c r="A153" s="103" t="s">
        <v>336</v>
      </c>
      <c r="T153" s="103">
        <f t="shared" si="2"/>
        <v>0</v>
      </c>
      <c r="W153"/>
      <c r="X153"/>
      <c r="Y153"/>
      <c r="Z153"/>
      <c r="AA153"/>
      <c r="AB153" s="103">
        <v>0</v>
      </c>
      <c r="AC153" s="103">
        <v>0</v>
      </c>
      <c r="AD153" s="103">
        <v>0</v>
      </c>
      <c r="AE153" s="103">
        <v>0</v>
      </c>
      <c r="AF153" s="102" t="e">
        <v>#N/A</v>
      </c>
      <c r="AG153" s="102" t="e">
        <v>#N/A</v>
      </c>
      <c r="AH153" s="102" t="e">
        <v>#N/A</v>
      </c>
      <c r="AI153" s="102" t="e">
        <v>#N/A</v>
      </c>
      <c r="AJ153" s="102" t="e">
        <v>#N/A</v>
      </c>
      <c r="AK153" s="102" t="e">
        <v>#N/A</v>
      </c>
      <c r="AL153" s="102" t="e">
        <v>#N/A</v>
      </c>
      <c r="AM153" s="102" t="e">
        <v>#N/A</v>
      </c>
      <c r="AN153" s="102" t="e">
        <v>#N/A</v>
      </c>
      <c r="AO153" s="102" t="e">
        <v>#N/A</v>
      </c>
      <c r="AP153" s="102" t="e">
        <v>#N/A</v>
      </c>
      <c r="AQ153" s="102" t="e">
        <v>#N/A</v>
      </c>
      <c r="AR153" s="102" t="e">
        <v>#N/A</v>
      </c>
      <c r="AS153" s="102" t="e">
        <v>#N/A</v>
      </c>
      <c r="AT153" s="102" t="e">
        <v>#N/A</v>
      </c>
      <c r="AU153" s="102" t="e">
        <v>#N/A</v>
      </c>
      <c r="AV153" s="102" t="e">
        <v>#N/A</v>
      </c>
      <c r="AW153" s="102" t="e">
        <v>#N/A</v>
      </c>
      <c r="AX153" s="102" t="e">
        <v>#N/A</v>
      </c>
      <c r="AY153" s="102" t="e">
        <v>#N/A</v>
      </c>
    </row>
    <row r="154" spans="1:51">
      <c r="A154" s="102" t="s">
        <v>691</v>
      </c>
      <c r="B154" s="102">
        <v>1915</v>
      </c>
      <c r="C154" s="102">
        <v>1720</v>
      </c>
      <c r="D154" s="102">
        <v>1.1000000000000001</v>
      </c>
      <c r="E154" s="102">
        <v>54779</v>
      </c>
      <c r="F154" s="102">
        <v>5.2</v>
      </c>
      <c r="G154" s="102">
        <v>700</v>
      </c>
      <c r="H154" s="102">
        <v>265</v>
      </c>
      <c r="I154" s="102">
        <v>115</v>
      </c>
      <c r="J154" s="102">
        <v>82.1</v>
      </c>
      <c r="K154" s="102">
        <v>17.899999999999999</v>
      </c>
      <c r="L154" s="102">
        <v>63.1</v>
      </c>
      <c r="M154" s="102">
        <v>60.8</v>
      </c>
      <c r="N154" s="102">
        <v>3.6</v>
      </c>
      <c r="O154" s="102">
        <v>250</v>
      </c>
      <c r="P154" s="102">
        <v>130</v>
      </c>
      <c r="Q154" s="102">
        <v>205</v>
      </c>
      <c r="R154" s="102">
        <v>125</v>
      </c>
      <c r="T154" s="102">
        <f t="shared" si="2"/>
        <v>0</v>
      </c>
      <c r="W154">
        <v>23165</v>
      </c>
      <c r="X154">
        <v>26348</v>
      </c>
      <c r="Y154">
        <v>19743</v>
      </c>
      <c r="Z154">
        <v>21237</v>
      </c>
      <c r="AA154">
        <v>16728</v>
      </c>
      <c r="AB154" s="102">
        <v>385</v>
      </c>
      <c r="AC154" s="102">
        <v>1180</v>
      </c>
      <c r="AD154" s="102">
        <v>505</v>
      </c>
      <c r="AE154" s="102">
        <v>325</v>
      </c>
      <c r="AF154" s="102">
        <v>6.0495645158398625</v>
      </c>
      <c r="AG154" s="102">
        <v>0</v>
      </c>
      <c r="AH154" s="102">
        <v>0</v>
      </c>
      <c r="AI154" s="102">
        <v>0.43837424027825089</v>
      </c>
      <c r="AJ154" s="102">
        <v>0.87674848055650179</v>
      </c>
      <c r="AK154" s="102">
        <v>0.26302454416695054</v>
      </c>
      <c r="AL154" s="102">
        <v>1.3151227208347527</v>
      </c>
      <c r="AM154" s="102">
        <v>0.35069939222260071</v>
      </c>
      <c r="AN154" s="102">
        <v>0.26302454416695054</v>
      </c>
      <c r="AO154" s="102">
        <v>0.43837424027825089</v>
      </c>
      <c r="AP154" s="102">
        <v>0</v>
      </c>
      <c r="AQ154" s="102">
        <v>0.26302454416695054</v>
      </c>
      <c r="AR154" s="102">
        <v>0</v>
      </c>
      <c r="AS154" s="102">
        <v>0.43837424027825089</v>
      </c>
      <c r="AT154" s="102">
        <v>1.2274478727791025</v>
      </c>
      <c r="AU154" s="102">
        <v>2.454895745558205</v>
      </c>
      <c r="AV154" s="102">
        <v>0.17534969611130036</v>
      </c>
      <c r="AW154" s="102">
        <v>0.61372393638955125</v>
      </c>
      <c r="AX154" s="102">
        <v>1.0520981766678021</v>
      </c>
      <c r="AY154" s="102">
        <v>0.61372393638955125</v>
      </c>
    </row>
    <row r="155" spans="1:51" s="103" customFormat="1">
      <c r="A155" s="103" t="s">
        <v>215</v>
      </c>
      <c r="B155" s="103">
        <v>45</v>
      </c>
      <c r="T155" s="103">
        <f t="shared" si="2"/>
        <v>0</v>
      </c>
      <c r="W155"/>
      <c r="X155"/>
      <c r="Y155"/>
      <c r="Z155"/>
      <c r="AA155"/>
      <c r="AB155" s="103">
        <v>0</v>
      </c>
      <c r="AC155" s="103">
        <v>0</v>
      </c>
      <c r="AD155" s="103">
        <v>0</v>
      </c>
      <c r="AE155" s="103">
        <v>0</v>
      </c>
      <c r="AF155" s="102" t="e">
        <v>#N/A</v>
      </c>
      <c r="AG155" s="102" t="e">
        <v>#N/A</v>
      </c>
      <c r="AH155" s="102" t="e">
        <v>#N/A</v>
      </c>
      <c r="AI155" s="102" t="e">
        <v>#N/A</v>
      </c>
      <c r="AJ155" s="102" t="e">
        <v>#N/A</v>
      </c>
      <c r="AK155" s="102" t="e">
        <v>#N/A</v>
      </c>
      <c r="AL155" s="102" t="e">
        <v>#N/A</v>
      </c>
      <c r="AM155" s="102" t="e">
        <v>#N/A</v>
      </c>
      <c r="AN155" s="102" t="e">
        <v>#N/A</v>
      </c>
      <c r="AO155" s="102" t="e">
        <v>#N/A</v>
      </c>
      <c r="AP155" s="102" t="e">
        <v>#N/A</v>
      </c>
      <c r="AQ155" s="102" t="e">
        <v>#N/A</v>
      </c>
      <c r="AR155" s="102" t="e">
        <v>#N/A</v>
      </c>
      <c r="AS155" s="102" t="e">
        <v>#N/A</v>
      </c>
      <c r="AT155" s="102" t="e">
        <v>#N/A</v>
      </c>
      <c r="AU155" s="102" t="e">
        <v>#N/A</v>
      </c>
      <c r="AV155" s="102" t="e">
        <v>#N/A</v>
      </c>
      <c r="AW155" s="102" t="e">
        <v>#N/A</v>
      </c>
      <c r="AX155" s="102" t="e">
        <v>#N/A</v>
      </c>
      <c r="AY155" s="102" t="e">
        <v>#N/A</v>
      </c>
    </row>
    <row r="156" spans="1:51" s="103" customFormat="1">
      <c r="A156" s="103" t="s">
        <v>337</v>
      </c>
      <c r="T156" s="103">
        <f t="shared" si="2"/>
        <v>0</v>
      </c>
      <c r="W156"/>
      <c r="X156"/>
      <c r="Y156"/>
      <c r="Z156"/>
      <c r="AA156"/>
      <c r="AB156" s="103">
        <v>0</v>
      </c>
      <c r="AC156" s="103">
        <v>0</v>
      </c>
      <c r="AD156" s="103">
        <v>0</v>
      </c>
      <c r="AE156" s="103">
        <v>0</v>
      </c>
      <c r="AF156" s="102" t="e">
        <v>#N/A</v>
      </c>
      <c r="AG156" s="102" t="e">
        <v>#N/A</v>
      </c>
      <c r="AH156" s="102" t="e">
        <v>#N/A</v>
      </c>
      <c r="AI156" s="102" t="e">
        <v>#N/A</v>
      </c>
      <c r="AJ156" s="102" t="e">
        <v>#N/A</v>
      </c>
      <c r="AK156" s="102" t="e">
        <v>#N/A</v>
      </c>
      <c r="AL156" s="102" t="e">
        <v>#N/A</v>
      </c>
      <c r="AM156" s="102" t="e">
        <v>#N/A</v>
      </c>
      <c r="AN156" s="102" t="e">
        <v>#N/A</v>
      </c>
      <c r="AO156" s="102" t="e">
        <v>#N/A</v>
      </c>
      <c r="AP156" s="102" t="e">
        <v>#N/A</v>
      </c>
      <c r="AQ156" s="102" t="e">
        <v>#N/A</v>
      </c>
      <c r="AR156" s="102" t="e">
        <v>#N/A</v>
      </c>
      <c r="AS156" s="102" t="e">
        <v>#N/A</v>
      </c>
      <c r="AT156" s="102" t="e">
        <v>#N/A</v>
      </c>
      <c r="AU156" s="102" t="e">
        <v>#N/A</v>
      </c>
      <c r="AV156" s="102" t="e">
        <v>#N/A</v>
      </c>
      <c r="AW156" s="102" t="e">
        <v>#N/A</v>
      </c>
      <c r="AX156" s="102" t="e">
        <v>#N/A</v>
      </c>
      <c r="AY156" s="102" t="e">
        <v>#N/A</v>
      </c>
    </row>
    <row r="157" spans="1:51" s="103" customFormat="1">
      <c r="A157" s="103" t="s">
        <v>216</v>
      </c>
      <c r="B157" s="103">
        <f>SUM(B158:B159)</f>
        <v>1175</v>
      </c>
      <c r="C157" s="103">
        <f>SUM(C158:C159)</f>
        <v>1175</v>
      </c>
      <c r="D157" s="120">
        <f>(D158*$B158+D159*$B159)/$B157</f>
        <v>1.7808510638297872</v>
      </c>
      <c r="E157" s="121">
        <f>(E158*$B158+E159*$B159)/$B157</f>
        <v>39382.663829787234</v>
      </c>
      <c r="F157" s="120">
        <f>(F158*$B158+F159*$B159)/$B157</f>
        <v>0</v>
      </c>
      <c r="G157" s="103">
        <f>SUM(G158:G159)</f>
        <v>375</v>
      </c>
      <c r="H157" s="103">
        <f>SUM(H158:H159)</f>
        <v>110</v>
      </c>
      <c r="I157" s="103">
        <f>SUM(I158:I159)</f>
        <v>195</v>
      </c>
      <c r="J157" s="120">
        <f>(J158*$B158+J159*$B159)/$B157</f>
        <v>4.0391489361702124</v>
      </c>
      <c r="K157" s="120">
        <f>(K158*$B158+K159*$B159)/$B157</f>
        <v>2.6927659574468086</v>
      </c>
      <c r="L157" s="120">
        <f>(L158*$B158+L159*$B159)/$B157</f>
        <v>57.517872340425534</v>
      </c>
      <c r="M157" s="120">
        <f>(M158*$B158+M159*$B159)/$B157</f>
        <v>45.814468085106384</v>
      </c>
      <c r="N157" s="120">
        <f>(N158*$B158+N159*$B159)/$B157</f>
        <v>20.730638297872339</v>
      </c>
      <c r="O157" s="103">
        <f>SUM(O158:O159)</f>
        <v>110</v>
      </c>
      <c r="P157" s="103">
        <f>SUM(P158:P159)</f>
        <v>60</v>
      </c>
      <c r="Q157" s="103">
        <f>SUM(Q158:Q159)</f>
        <v>130</v>
      </c>
      <c r="R157" s="103">
        <f>SUM(R158:R159)</f>
        <v>70</v>
      </c>
      <c r="T157" s="103" t="str">
        <f t="shared" si="2"/>
        <v>Fisher River First Nation</v>
      </c>
      <c r="W157">
        <v>19374.451063829787</v>
      </c>
      <c r="X157">
        <v>17858.808510638297</v>
      </c>
      <c r="Y157">
        <v>21039.157446808509</v>
      </c>
      <c r="Z157">
        <v>13879.285106382978</v>
      </c>
      <c r="AA157">
        <v>15294.910638297872</v>
      </c>
      <c r="AB157" s="103">
        <v>365</v>
      </c>
      <c r="AC157" s="103">
        <v>735</v>
      </c>
      <c r="AD157" s="103">
        <v>215</v>
      </c>
      <c r="AE157" s="103">
        <v>75</v>
      </c>
      <c r="AF157" s="102">
        <v>2.3653354168992071</v>
      </c>
      <c r="AG157" s="102">
        <v>0</v>
      </c>
      <c r="AH157" s="102">
        <v>0</v>
      </c>
      <c r="AI157" s="102">
        <v>1.0916932693380959</v>
      </c>
      <c r="AJ157" s="102">
        <v>0</v>
      </c>
      <c r="AK157" s="102">
        <v>0.36389775644603195</v>
      </c>
      <c r="AL157" s="102">
        <v>1.0916932693380959</v>
      </c>
      <c r="AM157" s="102">
        <v>0</v>
      </c>
      <c r="AN157" s="102">
        <v>0.36389775644603195</v>
      </c>
      <c r="AO157" s="102">
        <v>0</v>
      </c>
      <c r="AP157" s="102">
        <v>0</v>
      </c>
      <c r="AQ157" s="102">
        <v>0.36389775644603195</v>
      </c>
      <c r="AR157" s="102">
        <v>0</v>
      </c>
      <c r="AS157" s="102">
        <v>0.7277955128920639</v>
      </c>
      <c r="AT157" s="102">
        <v>2.3653354168992071</v>
      </c>
      <c r="AU157" s="102">
        <v>4.0028753209063517</v>
      </c>
      <c r="AV157" s="102">
        <v>0.36389775644603195</v>
      </c>
      <c r="AW157" s="102">
        <v>0.7277955128920639</v>
      </c>
      <c r="AX157" s="102">
        <v>0</v>
      </c>
      <c r="AY157" s="102">
        <v>2.1833865386761917</v>
      </c>
    </row>
    <row r="158" spans="1:51" s="103" customFormat="1">
      <c r="A158" s="103" t="s">
        <v>855</v>
      </c>
      <c r="B158" s="103">
        <v>1130</v>
      </c>
      <c r="C158" s="103">
        <v>1130</v>
      </c>
      <c r="D158" s="103">
        <v>1.8</v>
      </c>
      <c r="E158" s="103">
        <v>40951</v>
      </c>
      <c r="F158" s="103">
        <v>0</v>
      </c>
      <c r="G158" s="103">
        <v>360</v>
      </c>
      <c r="H158" s="103">
        <v>110</v>
      </c>
      <c r="I158" s="103">
        <v>195</v>
      </c>
      <c r="J158" s="103">
        <v>4.2</v>
      </c>
      <c r="K158" s="103">
        <v>2.8</v>
      </c>
      <c r="L158" s="103">
        <v>58.1</v>
      </c>
      <c r="M158" s="103">
        <v>46.5</v>
      </c>
      <c r="N158" s="103">
        <v>18.899999999999999</v>
      </c>
      <c r="O158" s="103">
        <v>100</v>
      </c>
      <c r="P158" s="103">
        <v>60</v>
      </c>
      <c r="Q158" s="103">
        <v>130</v>
      </c>
      <c r="R158" s="103">
        <v>70</v>
      </c>
      <c r="T158" s="103">
        <f t="shared" si="2"/>
        <v>0</v>
      </c>
      <c r="W158">
        <v>20146</v>
      </c>
      <c r="X158">
        <v>18570</v>
      </c>
      <c r="Y158">
        <v>21877</v>
      </c>
      <c r="Z158">
        <v>14432</v>
      </c>
      <c r="AA158">
        <v>15904</v>
      </c>
      <c r="AB158" s="103">
        <v>355</v>
      </c>
      <c r="AC158" s="103">
        <v>715</v>
      </c>
      <c r="AD158" s="103">
        <v>215</v>
      </c>
      <c r="AE158" s="103">
        <v>75</v>
      </c>
      <c r="AF158" s="102" t="e">
        <v>#N/A</v>
      </c>
      <c r="AG158" s="102" t="e">
        <v>#N/A</v>
      </c>
      <c r="AH158" s="102" t="e">
        <v>#N/A</v>
      </c>
      <c r="AI158" s="102" t="e">
        <v>#N/A</v>
      </c>
      <c r="AJ158" s="102" t="e">
        <v>#N/A</v>
      </c>
      <c r="AK158" s="102" t="e">
        <v>#N/A</v>
      </c>
      <c r="AL158" s="102" t="e">
        <v>#N/A</v>
      </c>
      <c r="AM158" s="102" t="e">
        <v>#N/A</v>
      </c>
      <c r="AN158" s="102" t="e">
        <v>#N/A</v>
      </c>
      <c r="AO158" s="102" t="e">
        <v>#N/A</v>
      </c>
      <c r="AP158" s="102" t="e">
        <v>#N/A</v>
      </c>
      <c r="AQ158" s="102" t="e">
        <v>#N/A</v>
      </c>
      <c r="AR158" s="102" t="e">
        <v>#N/A</v>
      </c>
      <c r="AS158" s="102" t="e">
        <v>#N/A</v>
      </c>
      <c r="AT158" s="102" t="e">
        <v>#N/A</v>
      </c>
      <c r="AU158" s="102" t="e">
        <v>#N/A</v>
      </c>
      <c r="AV158" s="102" t="e">
        <v>#N/A</v>
      </c>
      <c r="AW158" s="102" t="e">
        <v>#N/A</v>
      </c>
      <c r="AX158" s="102" t="e">
        <v>#N/A</v>
      </c>
      <c r="AY158" s="102" t="e">
        <v>#N/A</v>
      </c>
    </row>
    <row r="159" spans="1:51" s="103" customFormat="1">
      <c r="A159" s="103" t="s">
        <v>771</v>
      </c>
      <c r="B159" s="103">
        <v>45</v>
      </c>
      <c r="C159" s="103">
        <v>45</v>
      </c>
      <c r="D159" s="103">
        <v>1.3</v>
      </c>
      <c r="E159" s="103">
        <v>0</v>
      </c>
      <c r="F159" s="103">
        <v>0</v>
      </c>
      <c r="G159" s="103">
        <v>15</v>
      </c>
      <c r="H159" s="103">
        <v>0</v>
      </c>
      <c r="I159" s="103">
        <v>0</v>
      </c>
      <c r="J159" s="103">
        <v>0</v>
      </c>
      <c r="K159" s="103">
        <v>0</v>
      </c>
      <c r="L159" s="103">
        <v>42.9</v>
      </c>
      <c r="M159" s="103">
        <v>28.6</v>
      </c>
      <c r="N159" s="103">
        <v>66.7</v>
      </c>
      <c r="O159" s="103">
        <v>10</v>
      </c>
      <c r="P159" s="103">
        <v>0</v>
      </c>
      <c r="Q159" s="103">
        <v>0</v>
      </c>
      <c r="R159" s="103">
        <v>0</v>
      </c>
      <c r="T159" s="103">
        <f t="shared" si="2"/>
        <v>0</v>
      </c>
      <c r="W159">
        <v>0</v>
      </c>
      <c r="X159">
        <v>0</v>
      </c>
      <c r="Y159">
        <v>0</v>
      </c>
      <c r="Z159">
        <v>0</v>
      </c>
      <c r="AA159">
        <v>0</v>
      </c>
      <c r="AB159" s="103">
        <v>10</v>
      </c>
      <c r="AC159" s="103">
        <v>20</v>
      </c>
      <c r="AD159" s="103">
        <v>0</v>
      </c>
      <c r="AE159" s="103">
        <v>0</v>
      </c>
      <c r="AF159" s="102" t="e">
        <v>#N/A</v>
      </c>
      <c r="AG159" s="102" t="e">
        <v>#N/A</v>
      </c>
      <c r="AH159" s="102" t="e">
        <v>#N/A</v>
      </c>
      <c r="AI159" s="102" t="e">
        <v>#N/A</v>
      </c>
      <c r="AJ159" s="102" t="e">
        <v>#N/A</v>
      </c>
      <c r="AK159" s="102" t="e">
        <v>#N/A</v>
      </c>
      <c r="AL159" s="102" t="e">
        <v>#N/A</v>
      </c>
      <c r="AM159" s="102" t="e">
        <v>#N/A</v>
      </c>
      <c r="AN159" s="102" t="e">
        <v>#N/A</v>
      </c>
      <c r="AO159" s="102" t="e">
        <v>#N/A</v>
      </c>
      <c r="AP159" s="102" t="e">
        <v>#N/A</v>
      </c>
      <c r="AQ159" s="102" t="e">
        <v>#N/A</v>
      </c>
      <c r="AR159" s="102" t="e">
        <v>#N/A</v>
      </c>
      <c r="AS159" s="102" t="e">
        <v>#N/A</v>
      </c>
      <c r="AT159" s="102" t="e">
        <v>#N/A</v>
      </c>
      <c r="AU159" s="102" t="e">
        <v>#N/A</v>
      </c>
      <c r="AV159" s="102" t="e">
        <v>#N/A</v>
      </c>
      <c r="AW159" s="102" t="e">
        <v>#N/A</v>
      </c>
      <c r="AX159" s="102" t="e">
        <v>#N/A</v>
      </c>
      <c r="AY159" s="102" t="e">
        <v>#N/A</v>
      </c>
    </row>
    <row r="160" spans="1:51" s="103" customFormat="1">
      <c r="A160" s="103" t="s">
        <v>338</v>
      </c>
      <c r="B160" s="103">
        <v>5525</v>
      </c>
      <c r="C160" s="103">
        <v>5515</v>
      </c>
      <c r="D160" s="103">
        <v>1</v>
      </c>
      <c r="E160" s="103">
        <v>72603</v>
      </c>
      <c r="F160" s="103">
        <v>11.1</v>
      </c>
      <c r="G160" s="103">
        <v>2360</v>
      </c>
      <c r="H160" s="103">
        <v>850</v>
      </c>
      <c r="I160" s="103">
        <v>355</v>
      </c>
      <c r="J160" s="103">
        <v>71.400000000000006</v>
      </c>
      <c r="K160" s="103">
        <v>28.4</v>
      </c>
      <c r="L160" s="103">
        <v>70.900000000000006</v>
      </c>
      <c r="M160" s="103">
        <v>67.599999999999994</v>
      </c>
      <c r="N160" s="103">
        <v>4.5999999999999996</v>
      </c>
      <c r="O160" s="103">
        <v>1235</v>
      </c>
      <c r="P160" s="103">
        <v>595</v>
      </c>
      <c r="Q160" s="103">
        <v>715</v>
      </c>
      <c r="R160" s="103">
        <v>445</v>
      </c>
      <c r="T160" s="103">
        <f t="shared" si="2"/>
        <v>0</v>
      </c>
      <c r="W160">
        <v>36633</v>
      </c>
      <c r="X160">
        <v>48095</v>
      </c>
      <c r="Y160">
        <v>23525</v>
      </c>
      <c r="Z160">
        <v>43735</v>
      </c>
      <c r="AA160">
        <v>18188</v>
      </c>
      <c r="AB160" s="103">
        <v>1040</v>
      </c>
      <c r="AC160" s="103">
        <v>3785</v>
      </c>
      <c r="AD160" s="103">
        <v>1650</v>
      </c>
      <c r="AE160" s="103">
        <v>680</v>
      </c>
      <c r="AF160" s="102">
        <v>5.3211464385976369E-2</v>
      </c>
      <c r="AG160" s="102">
        <v>1.9422184500881374</v>
      </c>
      <c r="AH160" s="102">
        <v>0.10642292877195274</v>
      </c>
      <c r="AI160" s="102">
        <v>0.87798916236861013</v>
      </c>
      <c r="AJ160" s="102">
        <v>3.4853509172814521</v>
      </c>
      <c r="AK160" s="102">
        <v>0.39908598289482278</v>
      </c>
      <c r="AL160" s="102">
        <v>2.3146987007899718</v>
      </c>
      <c r="AM160" s="102">
        <v>0.58532610824574005</v>
      </c>
      <c r="AN160" s="102">
        <v>0.10642292877195274</v>
      </c>
      <c r="AO160" s="102">
        <v>0.29266305412287003</v>
      </c>
      <c r="AP160" s="102">
        <v>5.3211464385976369E-2</v>
      </c>
      <c r="AQ160" s="102">
        <v>0.37248025070183455</v>
      </c>
      <c r="AR160" s="102">
        <v>0</v>
      </c>
      <c r="AS160" s="102">
        <v>0.23945158973689365</v>
      </c>
      <c r="AT160" s="102">
        <v>0.77156623359665721</v>
      </c>
      <c r="AU160" s="102">
        <v>1.889006985702161</v>
      </c>
      <c r="AV160" s="102">
        <v>0.23945158973689365</v>
      </c>
      <c r="AW160" s="102">
        <v>1.729372592544232</v>
      </c>
      <c r="AX160" s="102">
        <v>0.61193184043872817</v>
      </c>
      <c r="AY160" s="102">
        <v>0.58532610824574005</v>
      </c>
    </row>
    <row r="161" spans="1:51" s="103" customFormat="1">
      <c r="A161" s="103" t="s">
        <v>339</v>
      </c>
      <c r="T161" s="103">
        <f t="shared" si="2"/>
        <v>0</v>
      </c>
      <c r="W161"/>
      <c r="X161"/>
      <c r="Y161"/>
      <c r="Z161"/>
      <c r="AA161"/>
      <c r="AB161" s="103">
        <v>0</v>
      </c>
      <c r="AC161" s="103">
        <v>0</v>
      </c>
      <c r="AD161" s="103">
        <v>0</v>
      </c>
      <c r="AE161" s="103">
        <v>0</v>
      </c>
      <c r="AF161" s="102" t="e">
        <v>#N/A</v>
      </c>
      <c r="AG161" s="102" t="e">
        <v>#N/A</v>
      </c>
      <c r="AH161" s="102" t="e">
        <v>#N/A</v>
      </c>
      <c r="AI161" s="102" t="e">
        <v>#N/A</v>
      </c>
      <c r="AJ161" s="102" t="e">
        <v>#N/A</v>
      </c>
      <c r="AK161" s="102" t="e">
        <v>#N/A</v>
      </c>
      <c r="AL161" s="102" t="e">
        <v>#N/A</v>
      </c>
      <c r="AM161" s="102" t="e">
        <v>#N/A</v>
      </c>
      <c r="AN161" s="102" t="e">
        <v>#N/A</v>
      </c>
      <c r="AO161" s="102" t="e">
        <v>#N/A</v>
      </c>
      <c r="AP161" s="102" t="e">
        <v>#N/A</v>
      </c>
      <c r="AQ161" s="102" t="e">
        <v>#N/A</v>
      </c>
      <c r="AR161" s="102" t="e">
        <v>#N/A</v>
      </c>
      <c r="AS161" s="102" t="e">
        <v>#N/A</v>
      </c>
      <c r="AT161" s="102" t="e">
        <v>#N/A</v>
      </c>
      <c r="AU161" s="102" t="e">
        <v>#N/A</v>
      </c>
      <c r="AV161" s="102" t="e">
        <v>#N/A</v>
      </c>
      <c r="AW161" s="102" t="e">
        <v>#N/A</v>
      </c>
      <c r="AX161" s="102" t="e">
        <v>#N/A</v>
      </c>
      <c r="AY161" s="102" t="e">
        <v>#N/A</v>
      </c>
    </row>
    <row r="162" spans="1:51">
      <c r="A162" s="102" t="s">
        <v>340</v>
      </c>
      <c r="T162" s="102">
        <f t="shared" si="2"/>
        <v>0</v>
      </c>
      <c r="W162">
        <v>18100</v>
      </c>
      <c r="X162">
        <v>17207</v>
      </c>
      <c r="Y162">
        <v>19138</v>
      </c>
      <c r="Z162">
        <v>7296</v>
      </c>
      <c r="AA162">
        <v>11192</v>
      </c>
      <c r="AB162" s="102">
        <v>790</v>
      </c>
      <c r="AC162" s="102">
        <v>1245</v>
      </c>
      <c r="AD162" s="102">
        <v>345</v>
      </c>
      <c r="AE162" s="102">
        <v>90</v>
      </c>
      <c r="AF162" s="102" t="e">
        <v>#N/A</v>
      </c>
      <c r="AG162" s="102" t="e">
        <v>#N/A</v>
      </c>
      <c r="AH162" s="102" t="e">
        <v>#N/A</v>
      </c>
      <c r="AI162" s="102" t="e">
        <v>#N/A</v>
      </c>
      <c r="AJ162" s="102" t="e">
        <v>#N/A</v>
      </c>
      <c r="AK162" s="102" t="e">
        <v>#N/A</v>
      </c>
      <c r="AL162" s="102" t="e">
        <v>#N/A</v>
      </c>
      <c r="AM162" s="102" t="e">
        <v>#N/A</v>
      </c>
      <c r="AN162" s="102" t="e">
        <v>#N/A</v>
      </c>
      <c r="AO162" s="102" t="e">
        <v>#N/A</v>
      </c>
      <c r="AP162" s="102" t="e">
        <v>#N/A</v>
      </c>
      <c r="AQ162" s="102" t="e">
        <v>#N/A</v>
      </c>
      <c r="AR162" s="102" t="e">
        <v>#N/A</v>
      </c>
      <c r="AS162" s="102" t="e">
        <v>#N/A</v>
      </c>
      <c r="AT162" s="102" t="e">
        <v>#N/A</v>
      </c>
      <c r="AU162" s="102" t="e">
        <v>#N/A</v>
      </c>
      <c r="AV162" s="102" t="e">
        <v>#N/A</v>
      </c>
      <c r="AW162" s="102" t="e">
        <v>#N/A</v>
      </c>
      <c r="AX162" s="102" t="e">
        <v>#N/A</v>
      </c>
      <c r="AY162" s="102" t="e">
        <v>#N/A</v>
      </c>
    </row>
    <row r="163" spans="1:51" s="103" customFormat="1">
      <c r="A163" s="103" t="s">
        <v>217</v>
      </c>
      <c r="B163" s="103">
        <v>103</v>
      </c>
      <c r="E163" s="103">
        <v>0</v>
      </c>
      <c r="F163" s="103">
        <v>0</v>
      </c>
      <c r="G163" s="103">
        <v>40</v>
      </c>
      <c r="J163" s="103">
        <v>0</v>
      </c>
      <c r="K163" s="103">
        <v>0</v>
      </c>
      <c r="L163" s="103">
        <v>0</v>
      </c>
      <c r="M163" s="103">
        <v>0</v>
      </c>
      <c r="N163" s="103">
        <v>0</v>
      </c>
      <c r="O163" s="103">
        <v>0</v>
      </c>
      <c r="P163" s="103">
        <v>0</v>
      </c>
      <c r="Q163" s="103">
        <v>0</v>
      </c>
      <c r="R163" s="103">
        <v>0</v>
      </c>
      <c r="T163" s="103" t="str">
        <f t="shared" si="2"/>
        <v>Fox Lake First Nation</v>
      </c>
      <c r="W163">
        <v>0</v>
      </c>
      <c r="X163">
        <v>0</v>
      </c>
      <c r="Y163">
        <v>0</v>
      </c>
      <c r="Z163">
        <v>0</v>
      </c>
      <c r="AA163">
        <v>0</v>
      </c>
      <c r="AB163" s="103">
        <v>25</v>
      </c>
      <c r="AC163" s="103">
        <v>65</v>
      </c>
      <c r="AD163" s="103">
        <v>20</v>
      </c>
      <c r="AE163" s="103">
        <v>10</v>
      </c>
      <c r="AF163" s="102" t="e">
        <v>#DIV/0!</v>
      </c>
      <c r="AG163" s="102" t="e">
        <v>#DIV/0!</v>
      </c>
      <c r="AH163" s="102" t="e">
        <v>#DIV/0!</v>
      </c>
      <c r="AI163" s="102" t="e">
        <v>#DIV/0!</v>
      </c>
      <c r="AJ163" s="102" t="e">
        <v>#DIV/0!</v>
      </c>
      <c r="AK163" s="102" t="e">
        <v>#DIV/0!</v>
      </c>
      <c r="AL163" s="102" t="e">
        <v>#DIV/0!</v>
      </c>
      <c r="AM163" s="102" t="e">
        <v>#DIV/0!</v>
      </c>
      <c r="AN163" s="102" t="e">
        <v>#DIV/0!</v>
      </c>
      <c r="AO163" s="102" t="e">
        <v>#DIV/0!</v>
      </c>
      <c r="AP163" s="102" t="e">
        <v>#DIV/0!</v>
      </c>
      <c r="AQ163" s="102" t="e">
        <v>#DIV/0!</v>
      </c>
      <c r="AR163" s="102" t="e">
        <v>#DIV/0!</v>
      </c>
      <c r="AS163" s="102" t="e">
        <v>#DIV/0!</v>
      </c>
      <c r="AT163" s="102" t="e">
        <v>#DIV/0!</v>
      </c>
      <c r="AU163" s="102" t="e">
        <v>#DIV/0!</v>
      </c>
      <c r="AV163" s="102" t="e">
        <v>#DIV/0!</v>
      </c>
      <c r="AW163" s="102" t="e">
        <v>#DIV/0!</v>
      </c>
      <c r="AX163" s="102" t="e">
        <v>#DIV/0!</v>
      </c>
      <c r="AY163" s="102" t="e">
        <v>#DIV/0!</v>
      </c>
    </row>
    <row r="164" spans="1:51" s="103" customFormat="1">
      <c r="A164" s="103" t="s">
        <v>341</v>
      </c>
      <c r="T164" s="103">
        <f t="shared" si="2"/>
        <v>0</v>
      </c>
      <c r="W164"/>
      <c r="X164"/>
      <c r="Y164"/>
      <c r="Z164"/>
      <c r="AA164"/>
      <c r="AB164" s="103">
        <v>0</v>
      </c>
      <c r="AC164" s="103">
        <v>0</v>
      </c>
      <c r="AD164" s="103">
        <v>0</v>
      </c>
      <c r="AE164" s="103">
        <v>0</v>
      </c>
      <c r="AF164" s="102" t="e">
        <v>#N/A</v>
      </c>
      <c r="AG164" s="102" t="e">
        <v>#N/A</v>
      </c>
      <c r="AH164" s="102" t="e">
        <v>#N/A</v>
      </c>
      <c r="AI164" s="102" t="e">
        <v>#N/A</v>
      </c>
      <c r="AJ164" s="102" t="e">
        <v>#N/A</v>
      </c>
      <c r="AK164" s="102" t="e">
        <v>#N/A</v>
      </c>
      <c r="AL164" s="102" t="e">
        <v>#N/A</v>
      </c>
      <c r="AM164" s="102" t="e">
        <v>#N/A</v>
      </c>
      <c r="AN164" s="102" t="e">
        <v>#N/A</v>
      </c>
      <c r="AO164" s="102" t="e">
        <v>#N/A</v>
      </c>
      <c r="AP164" s="102" t="e">
        <v>#N/A</v>
      </c>
      <c r="AQ164" s="102" t="e">
        <v>#N/A</v>
      </c>
      <c r="AR164" s="102" t="e">
        <v>#N/A</v>
      </c>
      <c r="AS164" s="102" t="e">
        <v>#N/A</v>
      </c>
      <c r="AT164" s="102" t="e">
        <v>#N/A</v>
      </c>
      <c r="AU164" s="102" t="e">
        <v>#N/A</v>
      </c>
      <c r="AV164" s="102" t="e">
        <v>#N/A</v>
      </c>
      <c r="AW164" s="102" t="e">
        <v>#N/A</v>
      </c>
      <c r="AX164" s="102" t="e">
        <v>#N/A</v>
      </c>
      <c r="AY164" s="102" t="e">
        <v>#N/A</v>
      </c>
    </row>
    <row r="165" spans="1:51">
      <c r="A165" s="102" t="s">
        <v>606</v>
      </c>
      <c r="B165" s="102">
        <v>1765</v>
      </c>
      <c r="C165" s="102">
        <v>1610</v>
      </c>
      <c r="D165" s="102">
        <v>1.2</v>
      </c>
      <c r="E165" s="102">
        <v>60381</v>
      </c>
      <c r="F165" s="102">
        <v>6.7</v>
      </c>
      <c r="G165" s="102">
        <v>620</v>
      </c>
      <c r="H165" s="102">
        <v>290</v>
      </c>
      <c r="I165" s="102">
        <v>65</v>
      </c>
      <c r="J165" s="102">
        <v>87.9</v>
      </c>
      <c r="K165" s="102">
        <v>11.3</v>
      </c>
      <c r="L165" s="102">
        <v>61.3</v>
      </c>
      <c r="M165" s="102">
        <v>60.9</v>
      </c>
      <c r="N165" s="102">
        <v>1.2</v>
      </c>
      <c r="O165" s="102">
        <v>395</v>
      </c>
      <c r="P165" s="102">
        <v>110</v>
      </c>
      <c r="Q165" s="102">
        <v>180</v>
      </c>
      <c r="R165" s="102">
        <v>120</v>
      </c>
      <c r="T165" s="102">
        <f t="shared" si="2"/>
        <v>0</v>
      </c>
      <c r="W165">
        <v>21950</v>
      </c>
      <c r="X165">
        <v>23219</v>
      </c>
      <c r="Y165">
        <v>20286</v>
      </c>
      <c r="Z165">
        <v>25707</v>
      </c>
      <c r="AA165">
        <v>17077</v>
      </c>
      <c r="AB165" s="102">
        <v>375</v>
      </c>
      <c r="AC165" s="102">
        <v>1130</v>
      </c>
      <c r="AD165" s="102">
        <v>485</v>
      </c>
      <c r="AE165" s="102">
        <v>285</v>
      </c>
      <c r="AF165" s="102">
        <v>5.1456419595702059</v>
      </c>
      <c r="AG165" s="102">
        <v>0</v>
      </c>
      <c r="AH165" s="102">
        <v>0.59372791841194683</v>
      </c>
      <c r="AI165" s="102">
        <v>0.59372791841194683</v>
      </c>
      <c r="AJ165" s="102">
        <v>0.98954653068657794</v>
      </c>
      <c r="AK165" s="102">
        <v>0.59372791841194683</v>
      </c>
      <c r="AL165" s="102">
        <v>1.0885011837552359</v>
      </c>
      <c r="AM165" s="102">
        <v>1.8801384083044981</v>
      </c>
      <c r="AN165" s="102">
        <v>0</v>
      </c>
      <c r="AO165" s="102">
        <v>0.89059187761792014</v>
      </c>
      <c r="AP165" s="102">
        <v>0</v>
      </c>
      <c r="AQ165" s="102">
        <v>0.19790930613731561</v>
      </c>
      <c r="AR165" s="102">
        <v>0</v>
      </c>
      <c r="AS165" s="102">
        <v>0.19790930613731561</v>
      </c>
      <c r="AT165" s="102">
        <v>1.7811837552358403</v>
      </c>
      <c r="AU165" s="102">
        <v>1.1874558368238937</v>
      </c>
      <c r="AV165" s="102">
        <v>0</v>
      </c>
      <c r="AW165" s="102">
        <v>0</v>
      </c>
      <c r="AX165" s="102">
        <v>0.39581861227463122</v>
      </c>
      <c r="AY165" s="102">
        <v>1.1874558368238937</v>
      </c>
    </row>
    <row r="166" spans="1:51" s="103" customFormat="1">
      <c r="A166" s="103" t="s">
        <v>342</v>
      </c>
      <c r="T166" s="103">
        <f t="shared" si="2"/>
        <v>0</v>
      </c>
      <c r="W166"/>
      <c r="X166"/>
      <c r="Y166"/>
      <c r="Z166"/>
      <c r="AA166"/>
      <c r="AB166" s="103">
        <v>0</v>
      </c>
      <c r="AC166" s="103">
        <v>0</v>
      </c>
      <c r="AD166" s="103">
        <v>0</v>
      </c>
      <c r="AE166" s="103">
        <v>0</v>
      </c>
      <c r="AF166" s="102" t="e">
        <v>#N/A</v>
      </c>
      <c r="AG166" s="102" t="e">
        <v>#N/A</v>
      </c>
      <c r="AH166" s="102" t="e">
        <v>#N/A</v>
      </c>
      <c r="AI166" s="102" t="e">
        <v>#N/A</v>
      </c>
      <c r="AJ166" s="102" t="e">
        <v>#N/A</v>
      </c>
      <c r="AK166" s="102" t="e">
        <v>#N/A</v>
      </c>
      <c r="AL166" s="102" t="e">
        <v>#N/A</v>
      </c>
      <c r="AM166" s="102" t="e">
        <v>#N/A</v>
      </c>
      <c r="AN166" s="102" t="e">
        <v>#N/A</v>
      </c>
      <c r="AO166" s="102" t="e">
        <v>#N/A</v>
      </c>
      <c r="AP166" s="102" t="e">
        <v>#N/A</v>
      </c>
      <c r="AQ166" s="102" t="e">
        <v>#N/A</v>
      </c>
      <c r="AR166" s="102" t="e">
        <v>#N/A</v>
      </c>
      <c r="AS166" s="102" t="e">
        <v>#N/A</v>
      </c>
      <c r="AT166" s="102" t="e">
        <v>#N/A</v>
      </c>
      <c r="AU166" s="102" t="e">
        <v>#N/A</v>
      </c>
      <c r="AV166" s="102" t="e">
        <v>#N/A</v>
      </c>
      <c r="AW166" s="102" t="e">
        <v>#N/A</v>
      </c>
      <c r="AX166" s="102" t="e">
        <v>#N/A</v>
      </c>
      <c r="AY166" s="102" t="e">
        <v>#N/A</v>
      </c>
    </row>
    <row r="167" spans="1:51" s="103" customFormat="1">
      <c r="A167" s="103" t="s">
        <v>343</v>
      </c>
      <c r="T167" s="103">
        <f t="shared" si="2"/>
        <v>0</v>
      </c>
      <c r="W167"/>
      <c r="X167"/>
      <c r="Y167"/>
      <c r="Z167"/>
      <c r="AA167"/>
      <c r="AB167" s="103">
        <v>0</v>
      </c>
      <c r="AC167" s="103">
        <v>0</v>
      </c>
      <c r="AD167" s="103">
        <v>0</v>
      </c>
      <c r="AE167" s="103">
        <v>0</v>
      </c>
      <c r="AF167" s="102" t="e">
        <v>#N/A</v>
      </c>
      <c r="AG167" s="102" t="e">
        <v>#N/A</v>
      </c>
      <c r="AH167" s="102" t="e">
        <v>#N/A</v>
      </c>
      <c r="AI167" s="102" t="e">
        <v>#N/A</v>
      </c>
      <c r="AJ167" s="102" t="e">
        <v>#N/A</v>
      </c>
      <c r="AK167" s="102" t="e">
        <v>#N/A</v>
      </c>
      <c r="AL167" s="102" t="e">
        <v>#N/A</v>
      </c>
      <c r="AM167" s="102" t="e">
        <v>#N/A</v>
      </c>
      <c r="AN167" s="102" t="e">
        <v>#N/A</v>
      </c>
      <c r="AO167" s="102" t="e">
        <v>#N/A</v>
      </c>
      <c r="AP167" s="102" t="e">
        <v>#N/A</v>
      </c>
      <c r="AQ167" s="102" t="e">
        <v>#N/A</v>
      </c>
      <c r="AR167" s="102" t="e">
        <v>#N/A</v>
      </c>
      <c r="AS167" s="102" t="e">
        <v>#N/A</v>
      </c>
      <c r="AT167" s="102" t="e">
        <v>#N/A</v>
      </c>
      <c r="AU167" s="102" t="e">
        <v>#N/A</v>
      </c>
      <c r="AV167" s="102" t="e">
        <v>#N/A</v>
      </c>
      <c r="AW167" s="102" t="e">
        <v>#N/A</v>
      </c>
      <c r="AX167" s="102" t="e">
        <v>#N/A</v>
      </c>
      <c r="AY167" s="102" t="e">
        <v>#N/A</v>
      </c>
    </row>
    <row r="168" spans="1:51" s="103" customFormat="1">
      <c r="A168" s="103" t="s">
        <v>344</v>
      </c>
      <c r="T168" s="103">
        <f t="shared" si="2"/>
        <v>0</v>
      </c>
      <c r="W168"/>
      <c r="X168"/>
      <c r="Y168"/>
      <c r="Z168"/>
      <c r="AA168"/>
      <c r="AB168" s="103">
        <v>0</v>
      </c>
      <c r="AC168" s="103">
        <v>0</v>
      </c>
      <c r="AD168" s="103">
        <v>0</v>
      </c>
      <c r="AE168" s="103">
        <v>0</v>
      </c>
      <c r="AF168" s="102" t="e">
        <v>#N/A</v>
      </c>
      <c r="AG168" s="102" t="e">
        <v>#N/A</v>
      </c>
      <c r="AH168" s="102" t="e">
        <v>#N/A</v>
      </c>
      <c r="AI168" s="102" t="e">
        <v>#N/A</v>
      </c>
      <c r="AJ168" s="102" t="e">
        <v>#N/A</v>
      </c>
      <c r="AK168" s="102" t="e">
        <v>#N/A</v>
      </c>
      <c r="AL168" s="102" t="e">
        <v>#N/A</v>
      </c>
      <c r="AM168" s="102" t="e">
        <v>#N/A</v>
      </c>
      <c r="AN168" s="102" t="e">
        <v>#N/A</v>
      </c>
      <c r="AO168" s="102" t="e">
        <v>#N/A</v>
      </c>
      <c r="AP168" s="102" t="e">
        <v>#N/A</v>
      </c>
      <c r="AQ168" s="102" t="e">
        <v>#N/A</v>
      </c>
      <c r="AR168" s="102" t="e">
        <v>#N/A</v>
      </c>
      <c r="AS168" s="102" t="e">
        <v>#N/A</v>
      </c>
      <c r="AT168" s="102" t="e">
        <v>#N/A</v>
      </c>
      <c r="AU168" s="102" t="e">
        <v>#N/A</v>
      </c>
      <c r="AV168" s="102" t="e">
        <v>#N/A</v>
      </c>
      <c r="AW168" s="102" t="e">
        <v>#N/A</v>
      </c>
      <c r="AX168" s="102" t="e">
        <v>#N/A</v>
      </c>
      <c r="AY168" s="102" t="e">
        <v>#N/A</v>
      </c>
    </row>
    <row r="169" spans="1:51" s="103" customFormat="1">
      <c r="A169" s="103" t="s">
        <v>756</v>
      </c>
      <c r="B169" s="103">
        <v>80</v>
      </c>
      <c r="C169" s="103">
        <v>80</v>
      </c>
      <c r="D169" s="103">
        <v>1.5</v>
      </c>
      <c r="E169" s="103">
        <v>0</v>
      </c>
      <c r="F169" s="103">
        <v>0</v>
      </c>
      <c r="G169" s="103">
        <v>30</v>
      </c>
      <c r="H169" s="103">
        <v>0</v>
      </c>
      <c r="I169" s="103">
        <v>10</v>
      </c>
      <c r="J169" s="103">
        <v>33.299999999999997</v>
      </c>
      <c r="K169" s="103">
        <v>33.299999999999997</v>
      </c>
      <c r="L169" s="103">
        <v>58.3</v>
      </c>
      <c r="M169" s="103">
        <v>41.7</v>
      </c>
      <c r="N169" s="103">
        <v>0</v>
      </c>
      <c r="O169" s="103">
        <v>10</v>
      </c>
      <c r="P169" s="103">
        <v>0</v>
      </c>
      <c r="Q169" s="103">
        <v>0</v>
      </c>
      <c r="R169" s="103">
        <v>0</v>
      </c>
      <c r="T169" s="103" t="str">
        <f t="shared" si="2"/>
        <v>Gamblers First Nation</v>
      </c>
      <c r="W169">
        <v>0</v>
      </c>
      <c r="X169">
        <v>0</v>
      </c>
      <c r="Y169">
        <v>0</v>
      </c>
      <c r="Z169">
        <v>0</v>
      </c>
      <c r="AA169">
        <v>0</v>
      </c>
      <c r="AB169" s="103">
        <v>20</v>
      </c>
      <c r="AC169" s="103">
        <v>30</v>
      </c>
      <c r="AD169" s="103">
        <v>20</v>
      </c>
      <c r="AE169" s="103">
        <v>10</v>
      </c>
      <c r="AF169" s="102">
        <v>0</v>
      </c>
      <c r="AG169" s="102">
        <v>0</v>
      </c>
      <c r="AH169" s="102">
        <v>0</v>
      </c>
      <c r="AI169" s="102">
        <v>0</v>
      </c>
      <c r="AJ169" s="102">
        <v>0</v>
      </c>
      <c r="AK169" s="102">
        <v>0</v>
      </c>
      <c r="AL169" s="102">
        <v>4.8346416213544234</v>
      </c>
      <c r="AM169" s="102">
        <v>0</v>
      </c>
      <c r="AN169" s="102">
        <v>0</v>
      </c>
      <c r="AO169" s="102">
        <v>0</v>
      </c>
      <c r="AP169" s="102">
        <v>0</v>
      </c>
      <c r="AQ169" s="102">
        <v>0</v>
      </c>
      <c r="AR169" s="102">
        <v>0</v>
      </c>
      <c r="AS169" s="102">
        <v>0</v>
      </c>
      <c r="AT169" s="102">
        <v>0</v>
      </c>
      <c r="AU169" s="102">
        <v>4.8346416213544234</v>
      </c>
      <c r="AV169" s="102">
        <v>0</v>
      </c>
      <c r="AW169" s="102">
        <v>0</v>
      </c>
      <c r="AX169" s="102">
        <v>0</v>
      </c>
      <c r="AY169" s="102">
        <v>7.251962432031636</v>
      </c>
    </row>
    <row r="170" spans="1:51">
      <c r="A170" s="102" t="s">
        <v>219</v>
      </c>
      <c r="B170" s="102">
        <v>1895</v>
      </c>
      <c r="C170" s="102">
        <v>1900</v>
      </c>
      <c r="D170" s="102">
        <v>2.2000000000000002</v>
      </c>
      <c r="E170" s="102">
        <v>33256</v>
      </c>
      <c r="F170" s="102">
        <v>0</v>
      </c>
      <c r="G170" s="102">
        <v>435</v>
      </c>
      <c r="H170" s="102">
        <v>140</v>
      </c>
      <c r="I170" s="102">
        <v>215</v>
      </c>
      <c r="J170" s="102">
        <v>2.2999999999999998</v>
      </c>
      <c r="K170" s="102">
        <v>2.2999999999999998</v>
      </c>
      <c r="L170" s="102">
        <v>31.6</v>
      </c>
      <c r="M170" s="102">
        <v>24</v>
      </c>
      <c r="N170" s="102">
        <v>23.9</v>
      </c>
      <c r="O170" s="102">
        <v>70</v>
      </c>
      <c r="P170" s="102">
        <v>50</v>
      </c>
      <c r="Q170" s="102">
        <v>50</v>
      </c>
      <c r="R170" s="102">
        <v>20</v>
      </c>
      <c r="T170" s="102" t="str">
        <f t="shared" si="2"/>
        <v>Garden Hill First Nation</v>
      </c>
      <c r="W170">
        <v>17198</v>
      </c>
      <c r="X170">
        <v>17300</v>
      </c>
      <c r="Y170">
        <v>17059</v>
      </c>
      <c r="Z170">
        <v>9888</v>
      </c>
      <c r="AA170">
        <v>9632</v>
      </c>
      <c r="AB170" s="102">
        <v>775</v>
      </c>
      <c r="AC170" s="102">
        <v>1055</v>
      </c>
      <c r="AD170" s="102">
        <v>230</v>
      </c>
      <c r="AE170" s="102">
        <v>75</v>
      </c>
      <c r="AF170" s="102">
        <v>0</v>
      </c>
      <c r="AG170" s="102">
        <v>0</v>
      </c>
      <c r="AH170" s="102">
        <v>0.47665480773916857</v>
      </c>
      <c r="AI170" s="102">
        <v>0.71498221160875286</v>
      </c>
      <c r="AJ170" s="102">
        <v>0</v>
      </c>
      <c r="AK170" s="102">
        <v>0</v>
      </c>
      <c r="AL170" s="102">
        <v>1.6682918270870899</v>
      </c>
      <c r="AM170" s="102">
        <v>0.71498221160875286</v>
      </c>
      <c r="AN170" s="102">
        <v>0.47665480773916857</v>
      </c>
      <c r="AO170" s="102">
        <v>0</v>
      </c>
      <c r="AP170" s="102">
        <v>0</v>
      </c>
      <c r="AQ170" s="102">
        <v>0</v>
      </c>
      <c r="AR170" s="102">
        <v>0</v>
      </c>
      <c r="AS170" s="102">
        <v>0.47665480773916857</v>
      </c>
      <c r="AT170" s="102">
        <v>3.3365836541741798</v>
      </c>
      <c r="AU170" s="102">
        <v>3.5749110580437642</v>
      </c>
      <c r="AV170" s="102">
        <v>0</v>
      </c>
      <c r="AW170" s="102">
        <v>0.47665480773916857</v>
      </c>
      <c r="AX170" s="102">
        <v>0.47665480773916857</v>
      </c>
      <c r="AY170" s="102">
        <v>3.0982562503045958</v>
      </c>
    </row>
    <row r="171" spans="1:51" s="103" customFormat="1">
      <c r="A171" s="103" t="s">
        <v>345</v>
      </c>
      <c r="T171" s="103">
        <f t="shared" si="2"/>
        <v>0</v>
      </c>
      <c r="W171"/>
      <c r="X171"/>
      <c r="Y171"/>
      <c r="Z171"/>
      <c r="AA171"/>
      <c r="AB171" s="103">
        <v>0</v>
      </c>
      <c r="AC171" s="103">
        <v>0</v>
      </c>
      <c r="AD171" s="103">
        <v>0</v>
      </c>
      <c r="AE171" s="103">
        <v>0</v>
      </c>
      <c r="AF171" s="102" t="e">
        <v>#N/A</v>
      </c>
      <c r="AG171" s="102" t="e">
        <v>#N/A</v>
      </c>
      <c r="AH171" s="102" t="e">
        <v>#N/A</v>
      </c>
      <c r="AI171" s="102" t="e">
        <v>#N/A</v>
      </c>
      <c r="AJ171" s="102" t="e">
        <v>#N/A</v>
      </c>
      <c r="AK171" s="102" t="e">
        <v>#N/A</v>
      </c>
      <c r="AL171" s="102" t="e">
        <v>#N/A</v>
      </c>
      <c r="AM171" s="102" t="e">
        <v>#N/A</v>
      </c>
      <c r="AN171" s="102" t="e">
        <v>#N/A</v>
      </c>
      <c r="AO171" s="102" t="e">
        <v>#N/A</v>
      </c>
      <c r="AP171" s="102" t="e">
        <v>#N/A</v>
      </c>
      <c r="AQ171" s="102" t="e">
        <v>#N/A</v>
      </c>
      <c r="AR171" s="102" t="e">
        <v>#N/A</v>
      </c>
      <c r="AS171" s="102" t="e">
        <v>#N/A</v>
      </c>
      <c r="AT171" s="102" t="e">
        <v>#N/A</v>
      </c>
      <c r="AU171" s="102" t="e">
        <v>#N/A</v>
      </c>
      <c r="AV171" s="102" t="e">
        <v>#N/A</v>
      </c>
      <c r="AW171" s="102" t="e">
        <v>#N/A</v>
      </c>
      <c r="AX171" s="102" t="e">
        <v>#N/A</v>
      </c>
      <c r="AY171" s="102" t="e">
        <v>#N/A</v>
      </c>
    </row>
    <row r="172" spans="1:51" s="103" customFormat="1">
      <c r="A172" s="103" t="s">
        <v>346</v>
      </c>
      <c r="T172" s="103">
        <f t="shared" si="2"/>
        <v>0</v>
      </c>
      <c r="W172"/>
      <c r="X172"/>
      <c r="Y172"/>
      <c r="Z172"/>
      <c r="AA172"/>
      <c r="AB172" s="103">
        <v>0</v>
      </c>
      <c r="AC172" s="103">
        <v>0</v>
      </c>
      <c r="AD172" s="103">
        <v>0</v>
      </c>
      <c r="AE172" s="103">
        <v>0</v>
      </c>
      <c r="AF172" s="102" t="e">
        <v>#N/A</v>
      </c>
      <c r="AG172" s="102" t="e">
        <v>#N/A</v>
      </c>
      <c r="AH172" s="102" t="e">
        <v>#N/A</v>
      </c>
      <c r="AI172" s="102" t="e">
        <v>#N/A</v>
      </c>
      <c r="AJ172" s="102" t="e">
        <v>#N/A</v>
      </c>
      <c r="AK172" s="102" t="e">
        <v>#N/A</v>
      </c>
      <c r="AL172" s="102" t="e">
        <v>#N/A</v>
      </c>
      <c r="AM172" s="102" t="e">
        <v>#N/A</v>
      </c>
      <c r="AN172" s="102" t="e">
        <v>#N/A</v>
      </c>
      <c r="AO172" s="102" t="e">
        <v>#N/A</v>
      </c>
      <c r="AP172" s="102" t="e">
        <v>#N/A</v>
      </c>
      <c r="AQ172" s="102" t="e">
        <v>#N/A</v>
      </c>
      <c r="AR172" s="102" t="e">
        <v>#N/A</v>
      </c>
      <c r="AS172" s="102" t="e">
        <v>#N/A</v>
      </c>
      <c r="AT172" s="102" t="e">
        <v>#N/A</v>
      </c>
      <c r="AU172" s="102" t="e">
        <v>#N/A</v>
      </c>
      <c r="AV172" s="102" t="e">
        <v>#N/A</v>
      </c>
      <c r="AW172" s="102" t="e">
        <v>#N/A</v>
      </c>
      <c r="AX172" s="102" t="e">
        <v>#N/A</v>
      </c>
      <c r="AY172" s="102" t="e">
        <v>#N/A</v>
      </c>
    </row>
    <row r="173" spans="1:51">
      <c r="A173" s="102" t="s">
        <v>347</v>
      </c>
      <c r="B173" s="102">
        <v>730</v>
      </c>
      <c r="C173" s="102">
        <v>730</v>
      </c>
      <c r="D173" s="102">
        <v>1</v>
      </c>
      <c r="E173" s="102">
        <v>53078</v>
      </c>
      <c r="F173" s="102">
        <v>12.8</v>
      </c>
      <c r="G173" s="102">
        <v>355</v>
      </c>
      <c r="H173" s="102">
        <v>115</v>
      </c>
      <c r="I173" s="102">
        <v>30</v>
      </c>
      <c r="J173" s="102">
        <v>78.900000000000006</v>
      </c>
      <c r="K173" s="102">
        <v>21.1</v>
      </c>
      <c r="L173" s="102">
        <v>47.5</v>
      </c>
      <c r="M173" s="102">
        <v>45.1</v>
      </c>
      <c r="N173" s="102">
        <v>6.9</v>
      </c>
      <c r="O173" s="102">
        <v>115</v>
      </c>
      <c r="P173" s="102">
        <v>40</v>
      </c>
      <c r="Q173" s="102">
        <v>80</v>
      </c>
      <c r="R173" s="102">
        <v>80</v>
      </c>
      <c r="T173" s="102">
        <f t="shared" si="2"/>
        <v>0</v>
      </c>
      <c r="W173">
        <v>24051</v>
      </c>
      <c r="X173">
        <v>23630</v>
      </c>
      <c r="Y173">
        <v>24542</v>
      </c>
      <c r="Z173">
        <v>19977</v>
      </c>
      <c r="AA173">
        <v>18040</v>
      </c>
      <c r="AB173" s="102">
        <v>120</v>
      </c>
      <c r="AC173" s="102">
        <v>410</v>
      </c>
      <c r="AD173" s="102">
        <v>180</v>
      </c>
      <c r="AE173" s="102">
        <v>200</v>
      </c>
      <c r="AF173" s="102">
        <v>2.0422193055721274</v>
      </c>
      <c r="AG173" s="102">
        <v>0</v>
      </c>
      <c r="AH173" s="102">
        <v>0</v>
      </c>
      <c r="AI173" s="102">
        <v>1.4587280754086625</v>
      </c>
      <c r="AJ173" s="102">
        <v>0</v>
      </c>
      <c r="AK173" s="102">
        <v>0.58349123016346494</v>
      </c>
      <c r="AL173" s="102">
        <v>3.7926929960625224</v>
      </c>
      <c r="AM173" s="102">
        <v>0</v>
      </c>
      <c r="AN173" s="102">
        <v>0</v>
      </c>
      <c r="AO173" s="102">
        <v>0.87523684524519751</v>
      </c>
      <c r="AP173" s="102">
        <v>0</v>
      </c>
      <c r="AQ173" s="102">
        <v>0.58349123016346494</v>
      </c>
      <c r="AR173" s="102">
        <v>0</v>
      </c>
      <c r="AS173" s="102">
        <v>0</v>
      </c>
      <c r="AT173" s="102">
        <v>0.58349123016346494</v>
      </c>
      <c r="AU173" s="102">
        <v>3.5009473809807901</v>
      </c>
      <c r="AV173" s="102">
        <v>0.58349123016346494</v>
      </c>
      <c r="AW173" s="102">
        <v>1.4587280754086625</v>
      </c>
      <c r="AX173" s="102">
        <v>0</v>
      </c>
      <c r="AY173" s="102">
        <v>0.87523684524519751</v>
      </c>
    </row>
    <row r="174" spans="1:51" s="103" customFormat="1">
      <c r="A174" s="108" t="s">
        <v>776</v>
      </c>
      <c r="B174" s="103">
        <v>835</v>
      </c>
      <c r="C174" s="103">
        <v>830</v>
      </c>
      <c r="D174" s="103">
        <v>0.9</v>
      </c>
      <c r="E174" s="103">
        <v>58457</v>
      </c>
      <c r="F174" s="103">
        <v>9.4</v>
      </c>
      <c r="G174" s="103">
        <v>320</v>
      </c>
      <c r="H174" s="103">
        <v>155</v>
      </c>
      <c r="I174" s="103">
        <v>45</v>
      </c>
      <c r="J174" s="103">
        <v>92.2</v>
      </c>
      <c r="K174" s="103">
        <v>7.8</v>
      </c>
      <c r="L174" s="103">
        <v>79.099999999999994</v>
      </c>
      <c r="M174" s="103">
        <v>75.400000000000006</v>
      </c>
      <c r="N174" s="103">
        <v>4.7</v>
      </c>
      <c r="O174" s="103">
        <v>195</v>
      </c>
      <c r="P174" s="103">
        <v>80</v>
      </c>
      <c r="Q174" s="103">
        <v>130</v>
      </c>
      <c r="R174" s="103">
        <v>45</v>
      </c>
      <c r="T174" s="103">
        <f t="shared" si="2"/>
        <v>0</v>
      </c>
      <c r="W174">
        <v>21251</v>
      </c>
      <c r="X174">
        <v>25731</v>
      </c>
      <c r="Y174">
        <v>15115</v>
      </c>
      <c r="Z174">
        <v>26471</v>
      </c>
      <c r="AA174">
        <v>16720</v>
      </c>
      <c r="AB174" s="103">
        <v>165</v>
      </c>
      <c r="AC174" s="103">
        <v>555</v>
      </c>
      <c r="AD174" s="103">
        <v>250</v>
      </c>
      <c r="AE174" s="103">
        <v>85</v>
      </c>
      <c r="AF174" s="102">
        <v>6.7046445126330223</v>
      </c>
      <c r="AG174" s="102">
        <v>0</v>
      </c>
      <c r="AH174" s="102">
        <v>0</v>
      </c>
      <c r="AI174" s="102">
        <v>0.6385375726317164</v>
      </c>
      <c r="AJ174" s="102">
        <v>0.6385375726317164</v>
      </c>
      <c r="AK174" s="102">
        <v>1.5963439315792911</v>
      </c>
      <c r="AL174" s="102">
        <v>1.4367095384213617</v>
      </c>
      <c r="AM174" s="102">
        <v>0.3192687863158582</v>
      </c>
      <c r="AN174" s="102">
        <v>0.4789031794737873</v>
      </c>
      <c r="AO174" s="102">
        <v>0</v>
      </c>
      <c r="AP174" s="102">
        <v>0</v>
      </c>
      <c r="AQ174" s="102">
        <v>0.4789031794737873</v>
      </c>
      <c r="AR174" s="102">
        <v>0</v>
      </c>
      <c r="AS174" s="102">
        <v>0</v>
      </c>
      <c r="AT174" s="102">
        <v>0.3192687863158582</v>
      </c>
      <c r="AU174" s="102">
        <v>1.5963439315792911</v>
      </c>
      <c r="AV174" s="102">
        <v>0.3192687863158582</v>
      </c>
      <c r="AW174" s="102">
        <v>0.9578063589475746</v>
      </c>
      <c r="AX174" s="102">
        <v>0.6385375726317164</v>
      </c>
      <c r="AY174" s="102">
        <v>0</v>
      </c>
    </row>
    <row r="175" spans="1:51">
      <c r="A175" s="102" t="s">
        <v>348</v>
      </c>
      <c r="B175" s="102">
        <v>1250</v>
      </c>
      <c r="C175" s="102">
        <v>1250</v>
      </c>
      <c r="D175" s="102">
        <v>1.5</v>
      </c>
      <c r="E175" s="102">
        <v>91662</v>
      </c>
      <c r="F175" s="102">
        <v>6</v>
      </c>
      <c r="G175" s="102">
        <v>435</v>
      </c>
      <c r="H175" s="102">
        <v>105</v>
      </c>
      <c r="I175" s="102">
        <v>45</v>
      </c>
      <c r="J175" s="102">
        <v>20.7</v>
      </c>
      <c r="K175" s="102">
        <v>79.3</v>
      </c>
      <c r="L175" s="102">
        <v>77.8</v>
      </c>
      <c r="M175" s="102">
        <v>70.8</v>
      </c>
      <c r="N175" s="102">
        <v>8.3000000000000007</v>
      </c>
      <c r="O175" s="102">
        <v>160</v>
      </c>
      <c r="P175" s="102">
        <v>125</v>
      </c>
      <c r="Q175" s="102">
        <v>190</v>
      </c>
      <c r="R175" s="102">
        <v>100</v>
      </c>
      <c r="T175" s="102">
        <f t="shared" si="2"/>
        <v>0</v>
      </c>
      <c r="W175">
        <v>51039</v>
      </c>
      <c r="X175">
        <v>70252</v>
      </c>
      <c r="Y175">
        <v>27864</v>
      </c>
      <c r="Z175">
        <v>59588</v>
      </c>
      <c r="AA175">
        <v>17658</v>
      </c>
      <c r="AB175" s="102">
        <v>390</v>
      </c>
      <c r="AC175" s="102">
        <v>810</v>
      </c>
      <c r="AD175" s="102">
        <v>215</v>
      </c>
      <c r="AE175" s="102">
        <v>30</v>
      </c>
      <c r="AF175" s="102">
        <v>0</v>
      </c>
      <c r="AG175" s="102">
        <v>0</v>
      </c>
      <c r="AH175" s="102">
        <v>7.6336446652964591</v>
      </c>
      <c r="AI175" s="102">
        <v>0.63613705544137156</v>
      </c>
      <c r="AJ175" s="102">
        <v>0</v>
      </c>
      <c r="AK175" s="102">
        <v>0</v>
      </c>
      <c r="AL175" s="102">
        <v>1.0178192887061945</v>
      </c>
      <c r="AM175" s="102">
        <v>1.2722741108827431</v>
      </c>
      <c r="AN175" s="102">
        <v>0.25445482217654863</v>
      </c>
      <c r="AO175" s="102">
        <v>0.50890964435309727</v>
      </c>
      <c r="AP175" s="102">
        <v>0.25445482217654863</v>
      </c>
      <c r="AQ175" s="102">
        <v>0.38168223326482292</v>
      </c>
      <c r="AR175" s="102">
        <v>0</v>
      </c>
      <c r="AS175" s="102">
        <v>0</v>
      </c>
      <c r="AT175" s="102">
        <v>1.3995015219710174</v>
      </c>
      <c r="AU175" s="102">
        <v>1.0178192887061945</v>
      </c>
      <c r="AV175" s="102">
        <v>0.25445482217654863</v>
      </c>
      <c r="AW175" s="102">
        <v>0.76336446652964585</v>
      </c>
      <c r="AX175" s="102">
        <v>0.38168223326482292</v>
      </c>
      <c r="AY175" s="102">
        <v>1.3995015219710174</v>
      </c>
    </row>
    <row r="176" spans="1:51">
      <c r="A176" s="102" t="s">
        <v>845</v>
      </c>
      <c r="T176" s="102">
        <f t="shared" si="2"/>
        <v>0</v>
      </c>
      <c r="W176">
        <v>0</v>
      </c>
      <c r="X176">
        <v>0</v>
      </c>
      <c r="Y176">
        <v>0</v>
      </c>
      <c r="Z176">
        <v>0</v>
      </c>
      <c r="AA176">
        <v>0</v>
      </c>
      <c r="AB176" s="102">
        <v>0</v>
      </c>
      <c r="AC176" s="102">
        <v>0</v>
      </c>
      <c r="AD176" s="102">
        <v>0</v>
      </c>
      <c r="AE176" s="102">
        <v>0</v>
      </c>
      <c r="AF176" s="102" t="e">
        <v>#N/A</v>
      </c>
      <c r="AG176" s="102" t="e">
        <v>#N/A</v>
      </c>
      <c r="AH176" s="102" t="e">
        <v>#N/A</v>
      </c>
      <c r="AI176" s="102" t="e">
        <v>#N/A</v>
      </c>
      <c r="AJ176" s="102" t="e">
        <v>#N/A</v>
      </c>
      <c r="AK176" s="102" t="e">
        <v>#N/A</v>
      </c>
      <c r="AL176" s="102" t="e">
        <v>#N/A</v>
      </c>
      <c r="AM176" s="102" t="e">
        <v>#N/A</v>
      </c>
      <c r="AN176" s="102" t="e">
        <v>#N/A</v>
      </c>
      <c r="AO176" s="102" t="e">
        <v>#N/A</v>
      </c>
      <c r="AP176" s="102" t="e">
        <v>#N/A</v>
      </c>
      <c r="AQ176" s="102" t="e">
        <v>#N/A</v>
      </c>
      <c r="AR176" s="102" t="e">
        <v>#N/A</v>
      </c>
      <c r="AS176" s="102" t="e">
        <v>#N/A</v>
      </c>
      <c r="AT176" s="102" t="e">
        <v>#N/A</v>
      </c>
      <c r="AU176" s="102" t="e">
        <v>#N/A</v>
      </c>
      <c r="AV176" s="102" t="e">
        <v>#N/A</v>
      </c>
      <c r="AW176" s="102" t="e">
        <v>#N/A</v>
      </c>
      <c r="AX176" s="102" t="e">
        <v>#N/A</v>
      </c>
      <c r="AY176" s="102" t="e">
        <v>#N/A</v>
      </c>
    </row>
    <row r="177" spans="1:51">
      <c r="A177" s="102" t="s">
        <v>349</v>
      </c>
      <c r="B177" s="102">
        <v>5695</v>
      </c>
      <c r="C177" s="102">
        <v>5670</v>
      </c>
      <c r="D177" s="102">
        <v>0.6</v>
      </c>
      <c r="E177" s="102">
        <v>66828</v>
      </c>
      <c r="F177" s="102">
        <v>4</v>
      </c>
      <c r="G177" s="102">
        <v>2675</v>
      </c>
      <c r="H177" s="102">
        <v>620</v>
      </c>
      <c r="I177" s="102">
        <v>205</v>
      </c>
      <c r="J177" s="102">
        <v>85.2</v>
      </c>
      <c r="K177" s="102">
        <v>14.8</v>
      </c>
      <c r="L177" s="102">
        <v>54.9</v>
      </c>
      <c r="M177" s="102">
        <v>52</v>
      </c>
      <c r="N177" s="102">
        <v>5.5</v>
      </c>
      <c r="O177" s="102">
        <v>1270</v>
      </c>
      <c r="P177" s="102">
        <v>685</v>
      </c>
      <c r="Q177" s="102">
        <v>875</v>
      </c>
      <c r="R177" s="102">
        <v>820</v>
      </c>
      <c r="T177" s="102">
        <f t="shared" si="2"/>
        <v>0</v>
      </c>
      <c r="W177">
        <v>28481</v>
      </c>
      <c r="X177">
        <v>32112</v>
      </c>
      <c r="Y177">
        <v>24273</v>
      </c>
      <c r="Z177">
        <v>31855</v>
      </c>
      <c r="AA177">
        <v>19437</v>
      </c>
      <c r="AB177" s="102">
        <v>705</v>
      </c>
      <c r="AC177" s="102">
        <v>3410</v>
      </c>
      <c r="AD177" s="102">
        <v>1975</v>
      </c>
      <c r="AE177" s="102">
        <v>1575</v>
      </c>
      <c r="AF177" s="102">
        <v>1.4539278733323635</v>
      </c>
      <c r="AG177" s="102">
        <v>6.1869271205632487E-2</v>
      </c>
      <c r="AH177" s="102">
        <v>0.1546731780140812</v>
      </c>
      <c r="AI177" s="102">
        <v>1.020842974892936</v>
      </c>
      <c r="AJ177" s="102">
        <v>1.1755161529070173</v>
      </c>
      <c r="AK177" s="102">
        <v>0.49495416964505989</v>
      </c>
      <c r="AL177" s="102">
        <v>2.196359127799953</v>
      </c>
      <c r="AM177" s="102">
        <v>0.9589737036873035</v>
      </c>
      <c r="AN177" s="102">
        <v>0.27841172042534618</v>
      </c>
      <c r="AO177" s="102">
        <v>0.6496273476591411</v>
      </c>
      <c r="AP177" s="102">
        <v>0.46401953404224361</v>
      </c>
      <c r="AQ177" s="102">
        <v>0.37121562723379486</v>
      </c>
      <c r="AR177" s="102">
        <v>0</v>
      </c>
      <c r="AS177" s="102">
        <v>0.21654244921971372</v>
      </c>
      <c r="AT177" s="102">
        <v>1.2373854241126496</v>
      </c>
      <c r="AU177" s="102">
        <v>2.0416859497858719</v>
      </c>
      <c r="AV177" s="102">
        <v>0.92803906808448722</v>
      </c>
      <c r="AW177" s="102">
        <v>1.2683200597154658</v>
      </c>
      <c r="AX177" s="102">
        <v>0.61869271205632481</v>
      </c>
      <c r="AY177" s="102">
        <v>1.2373854241126496</v>
      </c>
    </row>
    <row r="178" spans="1:51">
      <c r="A178" s="102" t="s">
        <v>350</v>
      </c>
      <c r="B178" s="102">
        <v>745</v>
      </c>
      <c r="C178" s="102">
        <v>745</v>
      </c>
      <c r="D178" s="102">
        <v>0.7</v>
      </c>
      <c r="E178" s="102">
        <v>55682</v>
      </c>
      <c r="F178" s="102">
        <v>14</v>
      </c>
      <c r="G178" s="102">
        <v>375</v>
      </c>
      <c r="H178" s="102">
        <v>105</v>
      </c>
      <c r="I178" s="102">
        <v>65</v>
      </c>
      <c r="J178" s="102">
        <v>77.3</v>
      </c>
      <c r="K178" s="102">
        <v>24</v>
      </c>
      <c r="L178" s="102">
        <v>57.3</v>
      </c>
      <c r="M178" s="102">
        <v>55.7</v>
      </c>
      <c r="N178" s="102">
        <v>2.7</v>
      </c>
      <c r="O178" s="102">
        <v>160</v>
      </c>
      <c r="P178" s="102">
        <v>85</v>
      </c>
      <c r="Q178" s="102">
        <v>105</v>
      </c>
      <c r="R178" s="102">
        <v>65</v>
      </c>
      <c r="T178" s="102">
        <f t="shared" si="2"/>
        <v>0</v>
      </c>
      <c r="W178">
        <v>22578</v>
      </c>
      <c r="X178">
        <v>26344</v>
      </c>
      <c r="Y178">
        <v>19178</v>
      </c>
      <c r="Z178">
        <v>20532</v>
      </c>
      <c r="AA178">
        <v>16258</v>
      </c>
      <c r="AB178" s="102">
        <v>80</v>
      </c>
      <c r="AC178" s="102">
        <v>430</v>
      </c>
      <c r="AD178" s="102">
        <v>245</v>
      </c>
      <c r="AE178" s="102">
        <v>215</v>
      </c>
      <c r="AF178" s="102">
        <v>0.67684982698961937</v>
      </c>
      <c r="AG178" s="102">
        <v>0</v>
      </c>
      <c r="AH178" s="102">
        <v>0</v>
      </c>
      <c r="AI178" s="102">
        <v>0.45123321799307964</v>
      </c>
      <c r="AJ178" s="102">
        <v>1.1280830449826988</v>
      </c>
      <c r="AK178" s="102">
        <v>0.90246643598615928</v>
      </c>
      <c r="AL178" s="102">
        <v>0.90246643598615928</v>
      </c>
      <c r="AM178" s="102">
        <v>0.90246643598615928</v>
      </c>
      <c r="AN178" s="102">
        <v>0</v>
      </c>
      <c r="AO178" s="102">
        <v>0.45123321799307964</v>
      </c>
      <c r="AP178" s="102">
        <v>0.45123321799307964</v>
      </c>
      <c r="AQ178" s="102">
        <v>0</v>
      </c>
      <c r="AR178" s="102">
        <v>0</v>
      </c>
      <c r="AS178" s="102">
        <v>0</v>
      </c>
      <c r="AT178" s="102">
        <v>1.5793162629757787</v>
      </c>
      <c r="AU178" s="102">
        <v>3.6098657439446371</v>
      </c>
      <c r="AV178" s="102">
        <v>0</v>
      </c>
      <c r="AW178" s="102">
        <v>2.4817826989619376</v>
      </c>
      <c r="AX178" s="102">
        <v>1.8049328719723186</v>
      </c>
      <c r="AY178" s="102">
        <v>1.8049328719723186</v>
      </c>
    </row>
    <row r="179" spans="1:51">
      <c r="A179" s="102" t="s">
        <v>351</v>
      </c>
      <c r="B179" s="102">
        <v>610</v>
      </c>
      <c r="C179" s="102">
        <v>610</v>
      </c>
      <c r="D179" s="102">
        <v>0.9</v>
      </c>
      <c r="E179" s="102">
        <v>59671</v>
      </c>
      <c r="F179" s="102">
        <v>0</v>
      </c>
      <c r="G179" s="102">
        <v>295</v>
      </c>
      <c r="H179" s="102">
        <v>125</v>
      </c>
      <c r="I179" s="102">
        <v>10</v>
      </c>
      <c r="J179" s="102">
        <v>78</v>
      </c>
      <c r="K179" s="102">
        <v>20.3</v>
      </c>
      <c r="L179" s="102">
        <v>54.5</v>
      </c>
      <c r="M179" s="102">
        <v>52.5</v>
      </c>
      <c r="N179" s="102">
        <v>3.7</v>
      </c>
      <c r="O179" s="102">
        <v>140</v>
      </c>
      <c r="P179" s="102">
        <v>40</v>
      </c>
      <c r="Q179" s="102">
        <v>65</v>
      </c>
      <c r="R179" s="102">
        <v>90</v>
      </c>
      <c r="T179" s="102">
        <f t="shared" si="2"/>
        <v>0</v>
      </c>
      <c r="W179">
        <v>28084</v>
      </c>
      <c r="X179">
        <v>34172</v>
      </c>
      <c r="Y179">
        <v>21525</v>
      </c>
      <c r="Z179">
        <v>30859</v>
      </c>
      <c r="AA179">
        <v>16756</v>
      </c>
      <c r="AB179" s="102">
        <v>110</v>
      </c>
      <c r="AC179" s="102">
        <v>310</v>
      </c>
      <c r="AD179" s="102">
        <v>160</v>
      </c>
      <c r="AE179" s="102">
        <v>160</v>
      </c>
      <c r="AF179" s="102">
        <v>1.2534256055363322</v>
      </c>
      <c r="AG179" s="102">
        <v>0</v>
      </c>
      <c r="AH179" s="102">
        <v>0</v>
      </c>
      <c r="AI179" s="102">
        <v>0.94006920415224904</v>
      </c>
      <c r="AJ179" s="102">
        <v>0.6267128027681661</v>
      </c>
      <c r="AK179" s="102">
        <v>1.2534256055363322</v>
      </c>
      <c r="AL179" s="102">
        <v>1.8801384083044981</v>
      </c>
      <c r="AM179" s="102">
        <v>0.6267128027681661</v>
      </c>
      <c r="AN179" s="102">
        <v>0</v>
      </c>
      <c r="AO179" s="102">
        <v>0</v>
      </c>
      <c r="AP179" s="102">
        <v>0</v>
      </c>
      <c r="AQ179" s="102">
        <v>0</v>
      </c>
      <c r="AR179" s="102">
        <v>0</v>
      </c>
      <c r="AS179" s="102">
        <v>0</v>
      </c>
      <c r="AT179" s="102">
        <v>3.1335640138408305</v>
      </c>
      <c r="AU179" s="102">
        <v>1.8801384083044981</v>
      </c>
      <c r="AV179" s="102">
        <v>0</v>
      </c>
      <c r="AW179" s="102">
        <v>0.6267128027681661</v>
      </c>
      <c r="AX179" s="102">
        <v>1.5667820069204152</v>
      </c>
      <c r="AY179" s="102">
        <v>1.8801384083044981</v>
      </c>
    </row>
    <row r="180" spans="1:51">
      <c r="A180" s="102" t="s">
        <v>648</v>
      </c>
      <c r="B180" s="102">
        <v>515</v>
      </c>
      <c r="C180" s="102">
        <v>415</v>
      </c>
      <c r="D180" s="102">
        <v>1</v>
      </c>
      <c r="E180" s="102">
        <v>45188</v>
      </c>
      <c r="F180" s="102">
        <v>12.5</v>
      </c>
      <c r="G180" s="102">
        <v>180</v>
      </c>
      <c r="H180" s="102">
        <v>110</v>
      </c>
      <c r="I180" s="102">
        <v>25</v>
      </c>
      <c r="J180" s="102">
        <v>88.9</v>
      </c>
      <c r="K180" s="102">
        <v>8.3000000000000007</v>
      </c>
      <c r="L180" s="102">
        <v>59.7</v>
      </c>
      <c r="M180" s="102">
        <v>61</v>
      </c>
      <c r="N180" s="102">
        <v>0</v>
      </c>
      <c r="O180" s="102">
        <v>85</v>
      </c>
      <c r="P180" s="102">
        <v>20</v>
      </c>
      <c r="Q180" s="102">
        <v>50</v>
      </c>
      <c r="R180" s="102">
        <v>20</v>
      </c>
      <c r="T180" s="102">
        <f t="shared" si="2"/>
        <v>0</v>
      </c>
      <c r="W180">
        <v>18896</v>
      </c>
      <c r="X180">
        <v>18657</v>
      </c>
      <c r="Y180">
        <v>19222</v>
      </c>
      <c r="Z180">
        <v>18782</v>
      </c>
      <c r="AA180">
        <v>15004</v>
      </c>
      <c r="AB180" s="102">
        <v>125</v>
      </c>
      <c r="AC180" s="102">
        <v>295</v>
      </c>
      <c r="AD180" s="102">
        <v>160</v>
      </c>
      <c r="AE180" s="102">
        <v>85</v>
      </c>
      <c r="AF180" s="102">
        <v>8.4606228373702415</v>
      </c>
      <c r="AG180" s="102">
        <v>0</v>
      </c>
      <c r="AH180" s="102">
        <v>0</v>
      </c>
      <c r="AI180" s="102">
        <v>1.1035595005265533</v>
      </c>
      <c r="AJ180" s="102">
        <v>0.73570633368436888</v>
      </c>
      <c r="AK180" s="102">
        <v>0.73570633368436888</v>
      </c>
      <c r="AL180" s="102">
        <v>0.73570633368436888</v>
      </c>
      <c r="AM180" s="102">
        <v>0</v>
      </c>
      <c r="AN180" s="102">
        <v>0</v>
      </c>
      <c r="AO180" s="102">
        <v>0.73570633368436888</v>
      </c>
      <c r="AP180" s="102">
        <v>0.73570633368436888</v>
      </c>
      <c r="AQ180" s="102">
        <v>0</v>
      </c>
      <c r="AR180" s="102">
        <v>0</v>
      </c>
      <c r="AS180" s="102">
        <v>0</v>
      </c>
      <c r="AT180" s="102">
        <v>0.73570633368436888</v>
      </c>
      <c r="AU180" s="102">
        <v>1.1035595005265533</v>
      </c>
      <c r="AV180" s="102">
        <v>0</v>
      </c>
      <c r="AW180" s="102">
        <v>0.73570633368436888</v>
      </c>
      <c r="AX180" s="102">
        <v>0</v>
      </c>
      <c r="AY180" s="102">
        <v>0.73570633368436888</v>
      </c>
    </row>
    <row r="181" spans="1:51">
      <c r="A181" s="102" t="s">
        <v>634</v>
      </c>
      <c r="B181" s="102">
        <v>640</v>
      </c>
      <c r="C181" s="102">
        <v>510</v>
      </c>
      <c r="D181" s="102">
        <v>1.1000000000000001</v>
      </c>
      <c r="E181" s="102">
        <v>57990</v>
      </c>
      <c r="F181" s="102">
        <v>13.3</v>
      </c>
      <c r="G181" s="102">
        <v>175</v>
      </c>
      <c r="H181" s="102">
        <v>110</v>
      </c>
      <c r="I181" s="102">
        <v>25</v>
      </c>
      <c r="J181" s="102">
        <v>91.4</v>
      </c>
      <c r="K181" s="102">
        <v>5.7</v>
      </c>
      <c r="L181" s="102">
        <v>73.400000000000006</v>
      </c>
      <c r="M181" s="102">
        <v>70.2</v>
      </c>
      <c r="N181" s="102">
        <v>2.9</v>
      </c>
      <c r="O181" s="102">
        <v>120</v>
      </c>
      <c r="P181" s="102">
        <v>30</v>
      </c>
      <c r="Q181" s="102">
        <v>85</v>
      </c>
      <c r="R181" s="102">
        <v>60</v>
      </c>
      <c r="T181" s="102">
        <f t="shared" si="2"/>
        <v>0</v>
      </c>
      <c r="W181">
        <v>22973</v>
      </c>
      <c r="X181">
        <v>23320</v>
      </c>
      <c r="Y181">
        <v>22531</v>
      </c>
      <c r="Z181">
        <v>23662</v>
      </c>
      <c r="AA181">
        <v>20640</v>
      </c>
      <c r="AB181" s="102">
        <v>160</v>
      </c>
      <c r="AC181" s="102">
        <v>405</v>
      </c>
      <c r="AD181" s="102">
        <v>165</v>
      </c>
      <c r="AE181" s="102">
        <v>60</v>
      </c>
      <c r="AF181" s="102">
        <v>6.1308861140364073</v>
      </c>
      <c r="AG181" s="102">
        <v>0</v>
      </c>
      <c r="AH181" s="102">
        <v>0</v>
      </c>
      <c r="AI181" s="102">
        <v>0.49047088912291259</v>
      </c>
      <c r="AJ181" s="102">
        <v>0.49047088912291259</v>
      </c>
      <c r="AK181" s="102">
        <v>0</v>
      </c>
      <c r="AL181" s="102">
        <v>3.1880607792989317</v>
      </c>
      <c r="AM181" s="102">
        <v>0.49047088912291259</v>
      </c>
      <c r="AN181" s="102">
        <v>0</v>
      </c>
      <c r="AO181" s="102">
        <v>0</v>
      </c>
      <c r="AP181" s="102">
        <v>0</v>
      </c>
      <c r="AQ181" s="102">
        <v>0.73570633368436888</v>
      </c>
      <c r="AR181" s="102">
        <v>0</v>
      </c>
      <c r="AS181" s="102">
        <v>0</v>
      </c>
      <c r="AT181" s="102">
        <v>0.98094177824582518</v>
      </c>
      <c r="AU181" s="102">
        <v>1.7166481119301942</v>
      </c>
      <c r="AV181" s="102">
        <v>0.49047088912291259</v>
      </c>
      <c r="AW181" s="102">
        <v>0.98094177824582518</v>
      </c>
      <c r="AX181" s="102">
        <v>0</v>
      </c>
      <c r="AY181" s="102">
        <v>0</v>
      </c>
    </row>
    <row r="182" spans="1:51" s="103" customFormat="1">
      <c r="A182" s="103" t="s">
        <v>352</v>
      </c>
      <c r="B182" s="103">
        <v>88</v>
      </c>
      <c r="T182" s="103">
        <f t="shared" si="2"/>
        <v>0</v>
      </c>
      <c r="W182"/>
      <c r="X182"/>
      <c r="Y182"/>
      <c r="Z182"/>
      <c r="AA182"/>
      <c r="AB182" s="103">
        <v>0</v>
      </c>
      <c r="AC182" s="103">
        <v>0</v>
      </c>
      <c r="AD182" s="103">
        <v>0</v>
      </c>
      <c r="AE182" s="103">
        <v>0</v>
      </c>
      <c r="AF182" s="102" t="e">
        <v>#N/A</v>
      </c>
      <c r="AG182" s="102" t="e">
        <v>#N/A</v>
      </c>
      <c r="AH182" s="102" t="e">
        <v>#N/A</v>
      </c>
      <c r="AI182" s="102" t="e">
        <v>#N/A</v>
      </c>
      <c r="AJ182" s="102" t="e">
        <v>#N/A</v>
      </c>
      <c r="AK182" s="102" t="e">
        <v>#N/A</v>
      </c>
      <c r="AL182" s="102" t="e">
        <v>#N/A</v>
      </c>
      <c r="AM182" s="102" t="e">
        <v>#N/A</v>
      </c>
      <c r="AN182" s="102" t="e">
        <v>#N/A</v>
      </c>
      <c r="AO182" s="102" t="e">
        <v>#N/A</v>
      </c>
      <c r="AP182" s="102" t="e">
        <v>#N/A</v>
      </c>
      <c r="AQ182" s="102" t="e">
        <v>#N/A</v>
      </c>
      <c r="AR182" s="102" t="e">
        <v>#N/A</v>
      </c>
      <c r="AS182" s="102" t="e">
        <v>#N/A</v>
      </c>
      <c r="AT182" s="102" t="e">
        <v>#N/A</v>
      </c>
      <c r="AU182" s="102" t="e">
        <v>#N/A</v>
      </c>
      <c r="AV182" s="102" t="e">
        <v>#N/A</v>
      </c>
      <c r="AW182" s="102" t="e">
        <v>#N/A</v>
      </c>
      <c r="AX182" s="102" t="e">
        <v>#N/A</v>
      </c>
      <c r="AY182" s="102" t="e">
        <v>#N/A</v>
      </c>
    </row>
    <row r="183" spans="1:51" s="103" customFormat="1">
      <c r="A183" s="103" t="s">
        <v>492</v>
      </c>
      <c r="B183" s="103">
        <v>1105</v>
      </c>
      <c r="C183" s="103">
        <v>1105</v>
      </c>
      <c r="D183" s="103">
        <v>2.2999999999999998</v>
      </c>
      <c r="E183" s="103">
        <v>33833</v>
      </c>
      <c r="F183" s="103">
        <v>0</v>
      </c>
      <c r="G183" s="103">
        <v>250</v>
      </c>
      <c r="H183" s="103">
        <v>110</v>
      </c>
      <c r="I183" s="103">
        <v>105</v>
      </c>
      <c r="J183" s="103">
        <v>4</v>
      </c>
      <c r="K183" s="103">
        <v>6</v>
      </c>
      <c r="L183" s="103">
        <v>40.700000000000003</v>
      </c>
      <c r="M183" s="103">
        <v>27.1</v>
      </c>
      <c r="N183" s="103">
        <v>33.299999999999997</v>
      </c>
      <c r="O183" s="103">
        <v>60</v>
      </c>
      <c r="P183" s="103">
        <v>25</v>
      </c>
      <c r="Q183" s="103">
        <v>15</v>
      </c>
      <c r="R183" s="103">
        <v>20</v>
      </c>
      <c r="T183" s="103" t="str">
        <f t="shared" si="2"/>
        <v>God's Lake Narrows First Nation</v>
      </c>
      <c r="W183">
        <v>14437</v>
      </c>
      <c r="X183">
        <v>14129</v>
      </c>
      <c r="Y183">
        <v>14817</v>
      </c>
      <c r="Z183">
        <v>6896</v>
      </c>
      <c r="AA183">
        <v>10064</v>
      </c>
      <c r="AB183" s="103">
        <v>410</v>
      </c>
      <c r="AC183" s="103">
        <v>630</v>
      </c>
      <c r="AD183" s="103">
        <v>120</v>
      </c>
      <c r="AE183" s="103">
        <v>55</v>
      </c>
      <c r="AF183" s="102">
        <v>0</v>
      </c>
      <c r="AG183" s="102">
        <v>0</v>
      </c>
      <c r="AH183" s="102">
        <v>0</v>
      </c>
      <c r="AI183" s="102">
        <v>1.7811837552358403</v>
      </c>
      <c r="AJ183" s="102">
        <v>0</v>
      </c>
      <c r="AK183" s="102">
        <v>0</v>
      </c>
      <c r="AL183" s="102">
        <v>1.1874558368238937</v>
      </c>
      <c r="AM183" s="102">
        <v>0.89059187761792014</v>
      </c>
      <c r="AN183" s="102">
        <v>0.59372791841194683</v>
      </c>
      <c r="AO183" s="102">
        <v>0</v>
      </c>
      <c r="AP183" s="102">
        <v>0</v>
      </c>
      <c r="AQ183" s="102">
        <v>0</v>
      </c>
      <c r="AR183" s="102">
        <v>0</v>
      </c>
      <c r="AS183" s="102">
        <v>0.59372791841194683</v>
      </c>
      <c r="AT183" s="102">
        <v>2.6717756328537607</v>
      </c>
      <c r="AU183" s="102">
        <v>2.3749116736477873</v>
      </c>
      <c r="AV183" s="102">
        <v>0</v>
      </c>
      <c r="AW183" s="102">
        <v>0.89059187761792014</v>
      </c>
      <c r="AX183" s="102">
        <v>0.59372791841194683</v>
      </c>
      <c r="AY183" s="102">
        <v>2.6717756328537607</v>
      </c>
    </row>
    <row r="184" spans="1:51" s="103" customFormat="1">
      <c r="A184" s="103" t="s">
        <v>353</v>
      </c>
      <c r="T184" s="103">
        <f t="shared" si="2"/>
        <v>0</v>
      </c>
      <c r="W184"/>
      <c r="X184"/>
      <c r="Y184"/>
      <c r="Z184"/>
      <c r="AA184"/>
      <c r="AB184" s="103">
        <v>0</v>
      </c>
      <c r="AC184" s="103">
        <v>0</v>
      </c>
      <c r="AD184" s="103">
        <v>0</v>
      </c>
      <c r="AE184" s="103">
        <v>0</v>
      </c>
      <c r="AF184" s="102" t="e">
        <v>#N/A</v>
      </c>
      <c r="AG184" s="102" t="e">
        <v>#N/A</v>
      </c>
      <c r="AH184" s="102" t="e">
        <v>#N/A</v>
      </c>
      <c r="AI184" s="102" t="e">
        <v>#N/A</v>
      </c>
      <c r="AJ184" s="102" t="e">
        <v>#N/A</v>
      </c>
      <c r="AK184" s="102" t="e">
        <v>#N/A</v>
      </c>
      <c r="AL184" s="102" t="e">
        <v>#N/A</v>
      </c>
      <c r="AM184" s="102" t="e">
        <v>#N/A</v>
      </c>
      <c r="AN184" s="102" t="e">
        <v>#N/A</v>
      </c>
      <c r="AO184" s="102" t="e">
        <v>#N/A</v>
      </c>
      <c r="AP184" s="102" t="e">
        <v>#N/A</v>
      </c>
      <c r="AQ184" s="102" t="e">
        <v>#N/A</v>
      </c>
      <c r="AR184" s="102" t="e">
        <v>#N/A</v>
      </c>
      <c r="AS184" s="102" t="e">
        <v>#N/A</v>
      </c>
      <c r="AT184" s="102" t="e">
        <v>#N/A</v>
      </c>
      <c r="AU184" s="102" t="e">
        <v>#N/A</v>
      </c>
      <c r="AV184" s="102" t="e">
        <v>#N/A</v>
      </c>
      <c r="AW184" s="102" t="e">
        <v>#N/A</v>
      </c>
      <c r="AX184" s="102" t="e">
        <v>#N/A</v>
      </c>
      <c r="AY184" s="102" t="e">
        <v>#N/A</v>
      </c>
    </row>
    <row r="185" spans="1:51">
      <c r="A185" s="102" t="s">
        <v>690</v>
      </c>
      <c r="B185" s="102">
        <v>1415</v>
      </c>
      <c r="C185" s="102">
        <v>1415</v>
      </c>
      <c r="D185" s="102">
        <v>0.9</v>
      </c>
      <c r="E185" s="102">
        <v>49816</v>
      </c>
      <c r="F185" s="102">
        <v>12.4</v>
      </c>
      <c r="G185" s="102">
        <v>605</v>
      </c>
      <c r="H185" s="102">
        <v>245</v>
      </c>
      <c r="I185" s="102">
        <v>60</v>
      </c>
      <c r="J185" s="102">
        <v>85.1</v>
      </c>
      <c r="K185" s="102">
        <v>13.2</v>
      </c>
      <c r="L185" s="102">
        <v>66.5</v>
      </c>
      <c r="M185" s="102">
        <v>65.7</v>
      </c>
      <c r="N185" s="102">
        <v>1.9</v>
      </c>
      <c r="O185" s="102">
        <v>340</v>
      </c>
      <c r="P185" s="102">
        <v>110</v>
      </c>
      <c r="Q185" s="102">
        <v>150</v>
      </c>
      <c r="R185" s="102">
        <v>165</v>
      </c>
      <c r="T185" s="102">
        <f t="shared" si="2"/>
        <v>0</v>
      </c>
      <c r="W185">
        <v>21575</v>
      </c>
      <c r="X185">
        <v>22604</v>
      </c>
      <c r="Y185">
        <v>20229</v>
      </c>
      <c r="Z185">
        <v>18309</v>
      </c>
      <c r="AA185">
        <v>15487</v>
      </c>
      <c r="AB185" s="102">
        <v>215</v>
      </c>
      <c r="AC185" s="102">
        <v>875</v>
      </c>
      <c r="AD185" s="102">
        <v>430</v>
      </c>
      <c r="AE185" s="102">
        <v>310</v>
      </c>
      <c r="AF185" s="102">
        <v>4.2569171508781096</v>
      </c>
      <c r="AG185" s="102">
        <v>0.3192687863158582</v>
      </c>
      <c r="AH185" s="102">
        <v>0</v>
      </c>
      <c r="AI185" s="102">
        <v>1.2770751452634328</v>
      </c>
      <c r="AJ185" s="102">
        <v>0.8513834301756219</v>
      </c>
      <c r="AK185" s="102">
        <v>0.21284585754390548</v>
      </c>
      <c r="AL185" s="102">
        <v>1.5963439315792911</v>
      </c>
      <c r="AM185" s="102">
        <v>0.3192687863158582</v>
      </c>
      <c r="AN185" s="102">
        <v>0.21284585754390548</v>
      </c>
      <c r="AO185" s="102">
        <v>0.42569171508781095</v>
      </c>
      <c r="AP185" s="102">
        <v>0</v>
      </c>
      <c r="AQ185" s="102">
        <v>0.21284585754390548</v>
      </c>
      <c r="AR185" s="102">
        <v>0</v>
      </c>
      <c r="AS185" s="102">
        <v>0.21284585754390548</v>
      </c>
      <c r="AT185" s="102">
        <v>1.7027668603512438</v>
      </c>
      <c r="AU185" s="102">
        <v>2.0220356466671019</v>
      </c>
      <c r="AV185" s="102">
        <v>0</v>
      </c>
      <c r="AW185" s="102">
        <v>0.6385375726317164</v>
      </c>
      <c r="AX185" s="102">
        <v>1.7027668603512438</v>
      </c>
      <c r="AY185" s="102">
        <v>0.8513834301756219</v>
      </c>
    </row>
    <row r="186" spans="1:51">
      <c r="A186" s="102" t="s">
        <v>354</v>
      </c>
      <c r="B186" s="102">
        <v>335</v>
      </c>
      <c r="C186" s="102">
        <v>335</v>
      </c>
      <c r="D186" s="102">
        <v>1.2</v>
      </c>
      <c r="E186" s="102">
        <v>55235</v>
      </c>
      <c r="F186" s="102">
        <v>22.2</v>
      </c>
      <c r="G186" s="102">
        <v>135</v>
      </c>
      <c r="H186" s="102">
        <v>45</v>
      </c>
      <c r="I186" s="102">
        <v>40</v>
      </c>
      <c r="J186" s="102">
        <v>55.6</v>
      </c>
      <c r="K186" s="102">
        <v>40.700000000000003</v>
      </c>
      <c r="L186" s="102">
        <v>65.3</v>
      </c>
      <c r="M186" s="102">
        <v>65.3</v>
      </c>
      <c r="N186" s="102">
        <v>0</v>
      </c>
      <c r="O186" s="102">
        <v>40</v>
      </c>
      <c r="P186" s="102">
        <v>30</v>
      </c>
      <c r="Q186" s="102">
        <v>10</v>
      </c>
      <c r="R186" s="102">
        <v>90</v>
      </c>
      <c r="T186" s="102">
        <f>IFERROR(VLOOKUP(A186,$U$12:$U$74,1,0),0)</f>
        <v>0</v>
      </c>
      <c r="W186">
        <v>32856</v>
      </c>
      <c r="X186">
        <v>41838</v>
      </c>
      <c r="Y186">
        <v>23074</v>
      </c>
      <c r="Z186">
        <v>30795</v>
      </c>
      <c r="AA186">
        <v>15988</v>
      </c>
      <c r="AB186" s="102">
        <v>85</v>
      </c>
      <c r="AC186" s="102">
        <v>255</v>
      </c>
      <c r="AD186" s="102">
        <v>120</v>
      </c>
      <c r="AE186" s="102">
        <v>10</v>
      </c>
      <c r="AF186" s="102">
        <v>0</v>
      </c>
      <c r="AG186" s="102">
        <v>0</v>
      </c>
      <c r="AH186" s="102">
        <v>3.172733564013841</v>
      </c>
      <c r="AI186" s="102">
        <v>0</v>
      </c>
      <c r="AJ186" s="102">
        <v>0</v>
      </c>
      <c r="AK186" s="102">
        <v>0</v>
      </c>
      <c r="AL186" s="102">
        <v>4.2303114186851207</v>
      </c>
      <c r="AM186" s="102">
        <v>0</v>
      </c>
      <c r="AN186" s="102">
        <v>0</v>
      </c>
      <c r="AO186" s="102">
        <v>0</v>
      </c>
      <c r="AP186" s="102">
        <v>0</v>
      </c>
      <c r="AQ186" s="102">
        <v>0</v>
      </c>
      <c r="AR186" s="102">
        <v>0</v>
      </c>
      <c r="AS186" s="102">
        <v>0</v>
      </c>
      <c r="AT186" s="102">
        <v>3.7015224913494809</v>
      </c>
      <c r="AU186" s="102">
        <v>0</v>
      </c>
      <c r="AV186" s="102">
        <v>0</v>
      </c>
      <c r="AW186" s="102">
        <v>3.7015224913494809</v>
      </c>
      <c r="AX186" s="102">
        <v>0</v>
      </c>
      <c r="AY186" s="102">
        <v>2.1151557093425604</v>
      </c>
    </row>
    <row r="187" spans="1:51">
      <c r="A187" s="102" t="s">
        <v>355</v>
      </c>
      <c r="B187" s="102">
        <v>785</v>
      </c>
      <c r="C187" s="102">
        <v>785</v>
      </c>
      <c r="D187" s="102">
        <v>0.5</v>
      </c>
      <c r="E187" s="102">
        <v>42722</v>
      </c>
      <c r="F187" s="102">
        <v>6.7</v>
      </c>
      <c r="G187" s="102">
        <v>420</v>
      </c>
      <c r="H187" s="102">
        <v>155</v>
      </c>
      <c r="I187" s="102">
        <v>45</v>
      </c>
      <c r="J187" s="102">
        <v>76.2</v>
      </c>
      <c r="K187" s="102">
        <v>22.6</v>
      </c>
      <c r="L187" s="102">
        <v>44</v>
      </c>
      <c r="M187" s="102">
        <v>40.4</v>
      </c>
      <c r="N187" s="102">
        <v>6.5</v>
      </c>
      <c r="O187" s="102">
        <v>90</v>
      </c>
      <c r="P187" s="102">
        <v>50</v>
      </c>
      <c r="Q187" s="102">
        <v>100</v>
      </c>
      <c r="R187" s="102">
        <v>85</v>
      </c>
      <c r="T187" s="102">
        <f>IFERROR(VLOOKUP(A187,$U$12:$U$74,1,0),0)</f>
        <v>0</v>
      </c>
      <c r="W187">
        <v>17885</v>
      </c>
      <c r="X187">
        <v>18056</v>
      </c>
      <c r="Y187">
        <v>17662</v>
      </c>
      <c r="Z187">
        <v>19125</v>
      </c>
      <c r="AA187">
        <v>15378</v>
      </c>
      <c r="AB187" s="102">
        <v>80</v>
      </c>
      <c r="AC187" s="102">
        <v>395</v>
      </c>
      <c r="AD187" s="102">
        <v>205</v>
      </c>
      <c r="AE187" s="102">
        <v>305</v>
      </c>
      <c r="AF187" s="102">
        <v>2.7292331733452393</v>
      </c>
      <c r="AG187" s="102">
        <v>0.54584663466904793</v>
      </c>
      <c r="AH187" s="102">
        <v>0</v>
      </c>
      <c r="AI187" s="102">
        <v>1.9104632213416675</v>
      </c>
      <c r="AJ187" s="102">
        <v>0</v>
      </c>
      <c r="AK187" s="102">
        <v>1.0916932693380959</v>
      </c>
      <c r="AL187" s="102">
        <v>1.6375399040071437</v>
      </c>
      <c r="AM187" s="102">
        <v>0.54584663466904793</v>
      </c>
      <c r="AN187" s="102">
        <v>0</v>
      </c>
      <c r="AO187" s="102">
        <v>0.54584663466904793</v>
      </c>
      <c r="AP187" s="102">
        <v>0</v>
      </c>
      <c r="AQ187" s="102">
        <v>0.81876995200357183</v>
      </c>
      <c r="AR187" s="102">
        <v>0</v>
      </c>
      <c r="AS187" s="102">
        <v>0</v>
      </c>
      <c r="AT187" s="102">
        <v>1.3646165866726196</v>
      </c>
      <c r="AU187" s="102">
        <v>3.2750798080142873</v>
      </c>
      <c r="AV187" s="102">
        <v>0.54584663466904793</v>
      </c>
      <c r="AW187" s="102">
        <v>0.54584663466904793</v>
      </c>
      <c r="AX187" s="102">
        <v>0</v>
      </c>
      <c r="AY187" s="102">
        <v>0</v>
      </c>
    </row>
    <row r="188" spans="1:51" s="103" customFormat="1">
      <c r="A188" s="108" t="s">
        <v>789</v>
      </c>
      <c r="B188" s="103">
        <v>720</v>
      </c>
      <c r="C188" s="103">
        <v>720</v>
      </c>
      <c r="D188" s="103">
        <v>0.9</v>
      </c>
      <c r="E188" s="103">
        <v>66573</v>
      </c>
      <c r="F188" s="103">
        <v>10.6</v>
      </c>
      <c r="G188" s="103">
        <v>280</v>
      </c>
      <c r="H188" s="103">
        <v>145</v>
      </c>
      <c r="I188" s="103">
        <v>25</v>
      </c>
      <c r="J188" s="103">
        <v>94.6</v>
      </c>
      <c r="K188" s="103">
        <v>7.1</v>
      </c>
      <c r="L188" s="103">
        <v>82.2</v>
      </c>
      <c r="M188" s="103">
        <v>79.7</v>
      </c>
      <c r="N188" s="103">
        <v>3.1</v>
      </c>
      <c r="O188" s="103">
        <v>150</v>
      </c>
      <c r="P188" s="103">
        <v>100</v>
      </c>
      <c r="Q188" s="103">
        <v>75</v>
      </c>
      <c r="R188" s="103">
        <v>55</v>
      </c>
      <c r="T188" s="103">
        <f>IFERROR(VLOOKUP(A188,$U$12:$U$74,1,0),0)</f>
        <v>0</v>
      </c>
      <c r="W188">
        <v>22615</v>
      </c>
      <c r="X188">
        <v>17131</v>
      </c>
      <c r="Y188">
        <v>30328</v>
      </c>
      <c r="Z188">
        <v>20851</v>
      </c>
      <c r="AA188">
        <v>23762</v>
      </c>
      <c r="AB188" s="103">
        <v>120</v>
      </c>
      <c r="AC188" s="103">
        <v>495</v>
      </c>
      <c r="AD188" s="103">
        <v>280</v>
      </c>
      <c r="AE188" s="103">
        <v>75</v>
      </c>
      <c r="AF188" s="102">
        <v>6.9778332679342201</v>
      </c>
      <c r="AG188" s="102">
        <v>0</v>
      </c>
      <c r="AH188" s="102">
        <v>0</v>
      </c>
      <c r="AI188" s="102">
        <v>0.87222915849177751</v>
      </c>
      <c r="AJ188" s="102">
        <v>0.52333749509506655</v>
      </c>
      <c r="AK188" s="102">
        <v>0.34889166339671102</v>
      </c>
      <c r="AL188" s="102">
        <v>0.87222915849177751</v>
      </c>
      <c r="AM188" s="102">
        <v>1.0466749901901331</v>
      </c>
      <c r="AN188" s="102">
        <v>0</v>
      </c>
      <c r="AO188" s="102">
        <v>0</v>
      </c>
      <c r="AP188" s="102">
        <v>0</v>
      </c>
      <c r="AQ188" s="102">
        <v>0</v>
      </c>
      <c r="AR188" s="102">
        <v>0</v>
      </c>
      <c r="AS188" s="102">
        <v>0</v>
      </c>
      <c r="AT188" s="102">
        <v>0.34889166339671102</v>
      </c>
      <c r="AU188" s="102">
        <v>4.0122541290621765</v>
      </c>
      <c r="AV188" s="102">
        <v>0</v>
      </c>
      <c r="AW188" s="102">
        <v>0.34889166339671102</v>
      </c>
      <c r="AX188" s="102">
        <v>0.34889166339671102</v>
      </c>
      <c r="AY188" s="102">
        <v>0</v>
      </c>
    </row>
    <row r="189" spans="1:51">
      <c r="A189" t="s">
        <v>220</v>
      </c>
      <c r="B189" s="103">
        <v>60</v>
      </c>
      <c r="C189"/>
      <c r="D189"/>
      <c r="E189"/>
      <c r="F189"/>
      <c r="G189"/>
      <c r="H189"/>
      <c r="I189"/>
      <c r="J189"/>
      <c r="K189"/>
      <c r="L189"/>
      <c r="M189"/>
      <c r="N189"/>
      <c r="T189" s="102">
        <f>IFERROR(VLOOKUP(A189,$U$12:$U$74,1,0),0)</f>
        <v>0</v>
      </c>
      <c r="W189">
        <v>0</v>
      </c>
      <c r="X189">
        <v>0</v>
      </c>
      <c r="Y189">
        <v>0</v>
      </c>
      <c r="Z189">
        <v>0</v>
      </c>
      <c r="AA189">
        <v>0</v>
      </c>
      <c r="AB189" s="102">
        <v>65</v>
      </c>
      <c r="AC189" s="102">
        <v>70</v>
      </c>
      <c r="AD189" s="102">
        <v>10</v>
      </c>
      <c r="AE189" s="102">
        <v>0</v>
      </c>
      <c r="AF189" s="102">
        <v>0</v>
      </c>
      <c r="AG189" s="102">
        <v>0</v>
      </c>
      <c r="AH189" s="102">
        <v>0</v>
      </c>
      <c r="AI189" s="102">
        <v>0</v>
      </c>
      <c r="AJ189" s="102">
        <v>0</v>
      </c>
      <c r="AK189" s="102">
        <v>0</v>
      </c>
      <c r="AL189" s="102">
        <v>0</v>
      </c>
      <c r="AM189" s="102">
        <v>0</v>
      </c>
      <c r="AN189" s="102">
        <v>0</v>
      </c>
      <c r="AO189" s="102">
        <v>0</v>
      </c>
      <c r="AP189" s="102">
        <v>0</v>
      </c>
      <c r="AQ189" s="102">
        <v>0</v>
      </c>
      <c r="AR189" s="102">
        <v>0</v>
      </c>
      <c r="AS189" s="102">
        <v>0</v>
      </c>
      <c r="AT189" s="102">
        <v>0</v>
      </c>
      <c r="AU189" s="102">
        <v>0</v>
      </c>
      <c r="AV189" s="102">
        <v>0</v>
      </c>
      <c r="AW189" s="102">
        <v>0</v>
      </c>
      <c r="AX189" s="102">
        <v>0</v>
      </c>
      <c r="AY189" s="102">
        <v>0</v>
      </c>
    </row>
    <row r="190" spans="1:51">
      <c r="A190" s="102" t="s">
        <v>356</v>
      </c>
      <c r="B190" s="102">
        <v>575</v>
      </c>
      <c r="C190" s="102">
        <v>560</v>
      </c>
      <c r="D190" s="102">
        <v>1.7</v>
      </c>
      <c r="E190" s="102">
        <v>62824</v>
      </c>
      <c r="F190" s="102">
        <v>0</v>
      </c>
      <c r="G190" s="102">
        <v>190</v>
      </c>
      <c r="H190" s="102">
        <v>80</v>
      </c>
      <c r="I190" s="102">
        <v>15</v>
      </c>
      <c r="J190" s="102">
        <v>81.599999999999994</v>
      </c>
      <c r="K190" s="102">
        <v>18.399999999999999</v>
      </c>
      <c r="L190" s="102">
        <v>71.8</v>
      </c>
      <c r="M190" s="102">
        <v>70.5</v>
      </c>
      <c r="N190" s="102">
        <v>3.6</v>
      </c>
      <c r="O190" s="102">
        <v>140</v>
      </c>
      <c r="P190" s="102">
        <v>30</v>
      </c>
      <c r="Q190" s="102">
        <v>10</v>
      </c>
      <c r="R190" s="102">
        <v>65</v>
      </c>
      <c r="T190" s="102">
        <f>IFERROR(VLOOKUP(A190,$U$12:$U$74,1,0),0)</f>
        <v>0</v>
      </c>
      <c r="W190">
        <v>25821</v>
      </c>
      <c r="X190">
        <v>29776</v>
      </c>
      <c r="Y190">
        <v>21508</v>
      </c>
      <c r="Z190">
        <v>30027</v>
      </c>
      <c r="AA190">
        <v>20537</v>
      </c>
      <c r="AB190" s="102">
        <v>180</v>
      </c>
      <c r="AC190" s="102">
        <v>355</v>
      </c>
      <c r="AD190" s="102">
        <v>95</v>
      </c>
      <c r="AE190" s="102">
        <v>30</v>
      </c>
      <c r="AF190" s="102">
        <v>1.812990608007909</v>
      </c>
      <c r="AG190" s="102">
        <v>0</v>
      </c>
      <c r="AH190" s="102">
        <v>0.60433020266930293</v>
      </c>
      <c r="AI190" s="102">
        <v>1.812990608007909</v>
      </c>
      <c r="AJ190" s="102">
        <v>1.812990608007909</v>
      </c>
      <c r="AK190" s="102">
        <v>0.90649530400395451</v>
      </c>
      <c r="AL190" s="102">
        <v>1.2086604053386059</v>
      </c>
      <c r="AM190" s="102">
        <v>1.2086604053386059</v>
      </c>
      <c r="AN190" s="102">
        <v>0</v>
      </c>
      <c r="AO190" s="102">
        <v>0.60433020266930293</v>
      </c>
      <c r="AP190" s="102">
        <v>0</v>
      </c>
      <c r="AQ190" s="102">
        <v>0</v>
      </c>
      <c r="AR190" s="102">
        <v>0</v>
      </c>
      <c r="AS190" s="102">
        <v>0</v>
      </c>
      <c r="AT190" s="102">
        <v>3.9281463173504698</v>
      </c>
      <c r="AU190" s="102">
        <v>1.2086604053386059</v>
      </c>
      <c r="AV190" s="102">
        <v>0</v>
      </c>
      <c r="AW190" s="102">
        <v>0.60433020266930293</v>
      </c>
      <c r="AX190" s="102">
        <v>0.60433020266930293</v>
      </c>
      <c r="AY190" s="102">
        <v>0.90649530400395451</v>
      </c>
    </row>
    <row r="191" spans="1:51">
      <c r="A191" s="102" t="s">
        <v>649</v>
      </c>
      <c r="B191" s="102">
        <v>2000</v>
      </c>
      <c r="C191" s="102">
        <v>1825</v>
      </c>
      <c r="D191" s="102">
        <v>1.2</v>
      </c>
      <c r="E191" s="102">
        <v>58354</v>
      </c>
      <c r="F191" s="102">
        <v>8.1999999999999993</v>
      </c>
      <c r="G191" s="102">
        <v>680</v>
      </c>
      <c r="H191" s="102">
        <v>235</v>
      </c>
      <c r="I191" s="102">
        <v>50</v>
      </c>
      <c r="J191" s="102">
        <v>92.6</v>
      </c>
      <c r="K191" s="102">
        <v>7.4</v>
      </c>
      <c r="L191" s="102">
        <v>74.2</v>
      </c>
      <c r="M191" s="102">
        <v>72.599999999999994</v>
      </c>
      <c r="N191" s="102">
        <v>2.2000000000000002</v>
      </c>
      <c r="O191" s="102">
        <v>375</v>
      </c>
      <c r="P191" s="102">
        <v>140</v>
      </c>
      <c r="Q191" s="102">
        <v>185</v>
      </c>
      <c r="R191" s="102">
        <v>170</v>
      </c>
      <c r="T191" s="102">
        <f t="shared" si="2"/>
        <v>0</v>
      </c>
      <c r="W191">
        <v>22742</v>
      </c>
      <c r="X191">
        <v>23805</v>
      </c>
      <c r="Y191">
        <v>21379</v>
      </c>
      <c r="Z191">
        <v>27861</v>
      </c>
      <c r="AA191">
        <v>18605</v>
      </c>
      <c r="AB191" s="102">
        <v>455</v>
      </c>
      <c r="AC191" s="102">
        <v>1225</v>
      </c>
      <c r="AD191" s="102">
        <v>550</v>
      </c>
      <c r="AE191" s="102">
        <v>305</v>
      </c>
      <c r="AF191" s="102">
        <v>7.2099220701068152</v>
      </c>
      <c r="AG191" s="102">
        <v>0</v>
      </c>
      <c r="AH191" s="102">
        <v>0.14714126673687378</v>
      </c>
      <c r="AI191" s="102">
        <v>1.4714126673687378</v>
      </c>
      <c r="AJ191" s="102">
        <v>1.0299888671581166</v>
      </c>
      <c r="AK191" s="102">
        <v>0.51499443357905828</v>
      </c>
      <c r="AL191" s="102">
        <v>0.66213570031593205</v>
      </c>
      <c r="AM191" s="102">
        <v>1.1035595005265533</v>
      </c>
      <c r="AN191" s="102">
        <v>0.14714126673687378</v>
      </c>
      <c r="AO191" s="102">
        <v>0.22071190010531067</v>
      </c>
      <c r="AP191" s="102">
        <v>0</v>
      </c>
      <c r="AQ191" s="102">
        <v>0.22071190010531067</v>
      </c>
      <c r="AR191" s="102">
        <v>0</v>
      </c>
      <c r="AS191" s="102">
        <v>0.29428253347374755</v>
      </c>
      <c r="AT191" s="102">
        <v>1.3978420340003008</v>
      </c>
      <c r="AU191" s="102">
        <v>1.1771301338949902</v>
      </c>
      <c r="AV191" s="102">
        <v>0.14714126673687378</v>
      </c>
      <c r="AW191" s="102">
        <v>0.58856506694749511</v>
      </c>
      <c r="AX191" s="102">
        <v>0.14714126673687378</v>
      </c>
      <c r="AY191" s="102">
        <v>0.44142380021062133</v>
      </c>
    </row>
    <row r="192" spans="1:51" s="103" customFormat="1">
      <c r="A192" s="105" t="s">
        <v>534</v>
      </c>
      <c r="O192" s="105"/>
      <c r="P192" s="105"/>
      <c r="Q192" s="105"/>
      <c r="R192" s="105"/>
      <c r="S192" s="105"/>
      <c r="T192" s="103">
        <f t="shared" si="2"/>
        <v>0</v>
      </c>
      <c r="U192" s="105"/>
      <c r="V192" s="105"/>
      <c r="W192"/>
      <c r="X192"/>
      <c r="Y192"/>
      <c r="Z192"/>
      <c r="AA192"/>
      <c r="AB192" s="103">
        <v>0</v>
      </c>
      <c r="AC192" s="103">
        <v>0</v>
      </c>
      <c r="AD192" s="103">
        <v>0</v>
      </c>
      <c r="AE192" s="103">
        <v>0</v>
      </c>
      <c r="AF192" s="102" t="e">
        <v>#N/A</v>
      </c>
      <c r="AG192" s="102" t="e">
        <v>#N/A</v>
      </c>
      <c r="AH192" s="102" t="e">
        <v>#N/A</v>
      </c>
      <c r="AI192" s="102" t="e">
        <v>#N/A</v>
      </c>
      <c r="AJ192" s="102" t="e">
        <v>#N/A</v>
      </c>
      <c r="AK192" s="102" t="e">
        <v>#N/A</v>
      </c>
      <c r="AL192" s="102" t="e">
        <v>#N/A</v>
      </c>
      <c r="AM192" s="102" t="e">
        <v>#N/A</v>
      </c>
      <c r="AN192" s="102" t="e">
        <v>#N/A</v>
      </c>
      <c r="AO192" s="102" t="e">
        <v>#N/A</v>
      </c>
      <c r="AP192" s="102" t="e">
        <v>#N/A</v>
      </c>
      <c r="AQ192" s="102" t="e">
        <v>#N/A</v>
      </c>
      <c r="AR192" s="102" t="e">
        <v>#N/A</v>
      </c>
      <c r="AS192" s="102" t="e">
        <v>#N/A</v>
      </c>
      <c r="AT192" s="102" t="e">
        <v>#N/A</v>
      </c>
      <c r="AU192" s="102" t="e">
        <v>#N/A</v>
      </c>
      <c r="AV192" s="102" t="e">
        <v>#N/A</v>
      </c>
      <c r="AW192" s="102" t="e">
        <v>#N/A</v>
      </c>
      <c r="AX192" s="102" t="e">
        <v>#N/A</v>
      </c>
      <c r="AY192" s="102" t="e">
        <v>#N/A</v>
      </c>
    </row>
    <row r="193" spans="1:51" s="105" customFormat="1">
      <c r="A193" s="105" t="s">
        <v>357</v>
      </c>
      <c r="B193" s="103"/>
      <c r="C193" s="103"/>
      <c r="D193" s="103"/>
      <c r="E193" s="103"/>
      <c r="F193" s="103"/>
      <c r="G193" s="103"/>
      <c r="H193" s="103"/>
      <c r="I193" s="103"/>
      <c r="J193" s="103"/>
      <c r="K193" s="103"/>
      <c r="L193" s="103"/>
      <c r="M193" s="103"/>
      <c r="N193" s="103"/>
      <c r="T193" s="103">
        <f t="shared" si="2"/>
        <v>0</v>
      </c>
      <c r="W193"/>
      <c r="X193"/>
      <c r="Y193"/>
      <c r="Z193"/>
      <c r="AA193"/>
      <c r="AB193" s="105">
        <v>0</v>
      </c>
      <c r="AC193" s="105">
        <v>0</v>
      </c>
      <c r="AD193" s="105">
        <v>0</v>
      </c>
      <c r="AE193" s="105">
        <v>0</v>
      </c>
      <c r="AF193" s="102" t="e">
        <v>#N/A</v>
      </c>
      <c r="AG193" s="102" t="e">
        <v>#N/A</v>
      </c>
      <c r="AH193" s="102" t="e">
        <v>#N/A</v>
      </c>
      <c r="AI193" s="102" t="e">
        <v>#N/A</v>
      </c>
      <c r="AJ193" s="102" t="e">
        <v>#N/A</v>
      </c>
      <c r="AK193" s="102" t="e">
        <v>#N/A</v>
      </c>
      <c r="AL193" s="102" t="e">
        <v>#N/A</v>
      </c>
      <c r="AM193" s="102" t="e">
        <v>#N/A</v>
      </c>
      <c r="AN193" s="102" t="e">
        <v>#N/A</v>
      </c>
      <c r="AO193" s="102" t="e">
        <v>#N/A</v>
      </c>
      <c r="AP193" s="102" t="e">
        <v>#N/A</v>
      </c>
      <c r="AQ193" s="102" t="e">
        <v>#N/A</v>
      </c>
      <c r="AR193" s="102" t="e">
        <v>#N/A</v>
      </c>
      <c r="AS193" s="102" t="e">
        <v>#N/A</v>
      </c>
      <c r="AT193" s="102" t="e">
        <v>#N/A</v>
      </c>
      <c r="AU193" s="102" t="e">
        <v>#N/A</v>
      </c>
      <c r="AV193" s="102" t="e">
        <v>#N/A</v>
      </c>
      <c r="AW193" s="102" t="e">
        <v>#N/A</v>
      </c>
      <c r="AX193" s="102" t="e">
        <v>#N/A</v>
      </c>
      <c r="AY193" s="102" t="e">
        <v>#N/A</v>
      </c>
    </row>
    <row r="194" spans="1:51" s="105" customFormat="1">
      <c r="A194" s="105" t="s">
        <v>358</v>
      </c>
      <c r="B194" s="103"/>
      <c r="C194" s="103"/>
      <c r="D194" s="103"/>
      <c r="E194" s="103"/>
      <c r="F194" s="103"/>
      <c r="G194" s="103"/>
      <c r="H194" s="103"/>
      <c r="I194" s="103"/>
      <c r="J194" s="103"/>
      <c r="K194" s="103"/>
      <c r="L194" s="103"/>
      <c r="M194" s="103"/>
      <c r="N194" s="103"/>
      <c r="T194" s="103">
        <f t="shared" si="2"/>
        <v>0</v>
      </c>
      <c r="W194"/>
      <c r="X194"/>
      <c r="Y194"/>
      <c r="Z194"/>
      <c r="AA194"/>
      <c r="AB194" s="105">
        <v>0</v>
      </c>
      <c r="AC194" s="105">
        <v>0</v>
      </c>
      <c r="AD194" s="105">
        <v>0</v>
      </c>
      <c r="AE194" s="105">
        <v>0</v>
      </c>
      <c r="AF194" s="102" t="e">
        <v>#N/A</v>
      </c>
      <c r="AG194" s="102" t="e">
        <v>#N/A</v>
      </c>
      <c r="AH194" s="102" t="e">
        <v>#N/A</v>
      </c>
      <c r="AI194" s="102" t="e">
        <v>#N/A</v>
      </c>
      <c r="AJ194" s="102" t="e">
        <v>#N/A</v>
      </c>
      <c r="AK194" s="102" t="e">
        <v>#N/A</v>
      </c>
      <c r="AL194" s="102" t="e">
        <v>#N/A</v>
      </c>
      <c r="AM194" s="102" t="e">
        <v>#N/A</v>
      </c>
      <c r="AN194" s="102" t="e">
        <v>#N/A</v>
      </c>
      <c r="AO194" s="102" t="e">
        <v>#N/A</v>
      </c>
      <c r="AP194" s="102" t="e">
        <v>#N/A</v>
      </c>
      <c r="AQ194" s="102" t="e">
        <v>#N/A</v>
      </c>
      <c r="AR194" s="102" t="e">
        <v>#N/A</v>
      </c>
      <c r="AS194" s="102" t="e">
        <v>#N/A</v>
      </c>
      <c r="AT194" s="102" t="e">
        <v>#N/A</v>
      </c>
      <c r="AU194" s="102" t="e">
        <v>#N/A</v>
      </c>
      <c r="AV194" s="102" t="e">
        <v>#N/A</v>
      </c>
      <c r="AW194" s="102" t="e">
        <v>#N/A</v>
      </c>
      <c r="AX194" s="102" t="e">
        <v>#N/A</v>
      </c>
      <c r="AY194" s="102" t="e">
        <v>#N/A</v>
      </c>
    </row>
    <row r="195" spans="1:51" s="105" customFormat="1">
      <c r="A195" s="105" t="s">
        <v>496</v>
      </c>
      <c r="B195" s="103"/>
      <c r="C195" s="103"/>
      <c r="D195" s="103"/>
      <c r="E195" s="103"/>
      <c r="F195" s="103"/>
      <c r="G195" s="103"/>
      <c r="H195" s="103"/>
      <c r="I195" s="103"/>
      <c r="J195" s="103"/>
      <c r="K195" s="103"/>
      <c r="L195" s="103"/>
      <c r="M195" s="103"/>
      <c r="N195" s="103"/>
      <c r="T195" s="103">
        <f t="shared" si="2"/>
        <v>0</v>
      </c>
      <c r="W195"/>
      <c r="X195"/>
      <c r="Y195"/>
      <c r="Z195"/>
      <c r="AA195"/>
      <c r="AB195" s="105">
        <v>0</v>
      </c>
      <c r="AC195" s="105">
        <v>0</v>
      </c>
      <c r="AD195" s="105">
        <v>0</v>
      </c>
      <c r="AE195" s="105">
        <v>0</v>
      </c>
      <c r="AF195" s="102" t="e">
        <v>#N/A</v>
      </c>
      <c r="AG195" s="102" t="e">
        <v>#N/A</v>
      </c>
      <c r="AH195" s="102" t="e">
        <v>#N/A</v>
      </c>
      <c r="AI195" s="102" t="e">
        <v>#N/A</v>
      </c>
      <c r="AJ195" s="102" t="e">
        <v>#N/A</v>
      </c>
      <c r="AK195" s="102" t="e">
        <v>#N/A</v>
      </c>
      <c r="AL195" s="102" t="e">
        <v>#N/A</v>
      </c>
      <c r="AM195" s="102" t="e">
        <v>#N/A</v>
      </c>
      <c r="AN195" s="102" t="e">
        <v>#N/A</v>
      </c>
      <c r="AO195" s="102" t="e">
        <v>#N/A</v>
      </c>
      <c r="AP195" s="102" t="e">
        <v>#N/A</v>
      </c>
      <c r="AQ195" s="102" t="e">
        <v>#N/A</v>
      </c>
      <c r="AR195" s="102" t="e">
        <v>#N/A</v>
      </c>
      <c r="AS195" s="102" t="e">
        <v>#N/A</v>
      </c>
      <c r="AT195" s="102" t="e">
        <v>#N/A</v>
      </c>
      <c r="AU195" s="102" t="e">
        <v>#N/A</v>
      </c>
      <c r="AV195" s="102" t="e">
        <v>#N/A</v>
      </c>
      <c r="AW195" s="102" t="e">
        <v>#N/A</v>
      </c>
      <c r="AX195" s="102" t="e">
        <v>#N/A</v>
      </c>
      <c r="AY195" s="102" t="e">
        <v>#N/A</v>
      </c>
    </row>
    <row r="196" spans="1:51" s="105" customFormat="1">
      <c r="A196" s="105" t="s">
        <v>359</v>
      </c>
      <c r="B196" s="103"/>
      <c r="C196" s="103"/>
      <c r="D196" s="103"/>
      <c r="E196" s="103"/>
      <c r="F196" s="103"/>
      <c r="G196" s="103"/>
      <c r="H196" s="103"/>
      <c r="I196" s="103"/>
      <c r="J196" s="103"/>
      <c r="K196" s="103"/>
      <c r="L196" s="103"/>
      <c r="M196" s="103"/>
      <c r="N196" s="103"/>
      <c r="T196" s="103">
        <f t="shared" si="2"/>
        <v>0</v>
      </c>
      <c r="W196"/>
      <c r="X196"/>
      <c r="Y196"/>
      <c r="Z196"/>
      <c r="AA196"/>
      <c r="AB196" s="105">
        <v>0</v>
      </c>
      <c r="AC196" s="105">
        <v>0</v>
      </c>
      <c r="AD196" s="105">
        <v>0</v>
      </c>
      <c r="AE196" s="105">
        <v>0</v>
      </c>
      <c r="AF196" s="102" t="e">
        <v>#N/A</v>
      </c>
      <c r="AG196" s="102" t="e">
        <v>#N/A</v>
      </c>
      <c r="AH196" s="102" t="e">
        <v>#N/A</v>
      </c>
      <c r="AI196" s="102" t="e">
        <v>#N/A</v>
      </c>
      <c r="AJ196" s="102" t="e">
        <v>#N/A</v>
      </c>
      <c r="AK196" s="102" t="e">
        <v>#N/A</v>
      </c>
      <c r="AL196" s="102" t="e">
        <v>#N/A</v>
      </c>
      <c r="AM196" s="102" t="e">
        <v>#N/A</v>
      </c>
      <c r="AN196" s="102" t="e">
        <v>#N/A</v>
      </c>
      <c r="AO196" s="102" t="e">
        <v>#N/A</v>
      </c>
      <c r="AP196" s="102" t="e">
        <v>#N/A</v>
      </c>
      <c r="AQ196" s="102" t="e">
        <v>#N/A</v>
      </c>
      <c r="AR196" s="102" t="e">
        <v>#N/A</v>
      </c>
      <c r="AS196" s="102" t="e">
        <v>#N/A</v>
      </c>
      <c r="AT196" s="102" t="e">
        <v>#N/A</v>
      </c>
      <c r="AU196" s="102" t="e">
        <v>#N/A</v>
      </c>
      <c r="AV196" s="102" t="e">
        <v>#N/A</v>
      </c>
      <c r="AW196" s="102" t="e">
        <v>#N/A</v>
      </c>
      <c r="AX196" s="102" t="e">
        <v>#N/A</v>
      </c>
      <c r="AY196" s="102" t="e">
        <v>#N/A</v>
      </c>
    </row>
    <row r="197" spans="1:51" customFormat="1">
      <c r="A197" s="102" t="s">
        <v>360</v>
      </c>
      <c r="B197" s="102">
        <v>790</v>
      </c>
      <c r="C197" s="102">
        <v>765</v>
      </c>
      <c r="D197" s="102">
        <v>0.7</v>
      </c>
      <c r="E197" s="102">
        <v>65285</v>
      </c>
      <c r="F197" s="102">
        <v>0</v>
      </c>
      <c r="G197" s="102">
        <v>360</v>
      </c>
      <c r="H197" s="102">
        <v>100</v>
      </c>
      <c r="I197" s="102">
        <v>10</v>
      </c>
      <c r="J197" s="102">
        <v>90.3</v>
      </c>
      <c r="K197" s="102">
        <v>11.1</v>
      </c>
      <c r="L197" s="102">
        <v>59.1</v>
      </c>
      <c r="M197" s="102">
        <v>57.6</v>
      </c>
      <c r="N197" s="102">
        <v>2.6</v>
      </c>
      <c r="O197" s="102">
        <v>180</v>
      </c>
      <c r="P197" s="102">
        <v>55</v>
      </c>
      <c r="Q197" s="102">
        <v>125</v>
      </c>
      <c r="R197" s="102">
        <v>75</v>
      </c>
      <c r="S197" s="102"/>
      <c r="T197" s="102">
        <f t="shared" ref="T197:T260" si="3">IFERROR(VLOOKUP(A197,$U$12:$U$74,1,0),0)</f>
        <v>0</v>
      </c>
      <c r="U197" s="102"/>
      <c r="V197" s="102"/>
      <c r="W197">
        <v>28515</v>
      </c>
      <c r="X197">
        <v>35650</v>
      </c>
      <c r="Y197">
        <v>20912</v>
      </c>
      <c r="Z197">
        <v>32066</v>
      </c>
      <c r="AA197">
        <v>18862</v>
      </c>
      <c r="AB197">
        <v>135</v>
      </c>
      <c r="AC197">
        <v>400</v>
      </c>
      <c r="AD197">
        <v>210</v>
      </c>
      <c r="AE197">
        <v>255</v>
      </c>
      <c r="AF197" s="102">
        <v>2.1693904711205749</v>
      </c>
      <c r="AG197" s="102">
        <v>0</v>
      </c>
      <c r="AH197" s="102">
        <v>0</v>
      </c>
      <c r="AI197" s="102">
        <v>0.433878094224115</v>
      </c>
      <c r="AJ197" s="102">
        <v>0.65081714133617252</v>
      </c>
      <c r="AK197" s="102">
        <v>0.65081714133617252</v>
      </c>
      <c r="AL197" s="102">
        <v>2.1693904711205749</v>
      </c>
      <c r="AM197" s="102">
        <v>1.301634282672345</v>
      </c>
      <c r="AN197" s="102">
        <v>0</v>
      </c>
      <c r="AO197" s="102">
        <v>0.65081714133617252</v>
      </c>
      <c r="AP197" s="102">
        <v>0</v>
      </c>
      <c r="AQ197" s="102">
        <v>0</v>
      </c>
      <c r="AR197" s="102">
        <v>0</v>
      </c>
      <c r="AS197" s="102">
        <v>0.433878094224115</v>
      </c>
      <c r="AT197" s="102">
        <v>1.5185733297844024</v>
      </c>
      <c r="AU197" s="102">
        <v>2.3863295182326323</v>
      </c>
      <c r="AV197" s="102">
        <v>0</v>
      </c>
      <c r="AW197" s="102">
        <v>0.86775618844822999</v>
      </c>
      <c r="AX197" s="102">
        <v>1.5185733297844024</v>
      </c>
      <c r="AY197" s="102">
        <v>1.9524514240085176</v>
      </c>
    </row>
    <row r="198" spans="1:51" s="103" customFormat="1">
      <c r="A198" s="108" t="s">
        <v>777</v>
      </c>
      <c r="B198" s="103">
        <v>440</v>
      </c>
      <c r="C198" s="103">
        <v>440</v>
      </c>
      <c r="D198" s="103">
        <v>1.1000000000000001</v>
      </c>
      <c r="E198" s="103">
        <v>57387</v>
      </c>
      <c r="F198" s="103">
        <v>11.1</v>
      </c>
      <c r="G198" s="103">
        <v>160</v>
      </c>
      <c r="H198" s="103">
        <v>55</v>
      </c>
      <c r="I198" s="103">
        <v>30</v>
      </c>
      <c r="J198" s="103">
        <v>100</v>
      </c>
      <c r="K198" s="103">
        <v>0</v>
      </c>
      <c r="L198" s="103">
        <v>92.5</v>
      </c>
      <c r="M198" s="103">
        <v>89.6</v>
      </c>
      <c r="N198" s="103">
        <v>3.2</v>
      </c>
      <c r="O198" s="103">
        <v>65</v>
      </c>
      <c r="P198" s="103">
        <v>45</v>
      </c>
      <c r="Q198" s="103">
        <v>105</v>
      </c>
      <c r="R198" s="103">
        <v>60</v>
      </c>
      <c r="T198" s="103">
        <f t="shared" si="3"/>
        <v>0</v>
      </c>
      <c r="W198">
        <v>22464</v>
      </c>
      <c r="X198">
        <v>26824</v>
      </c>
      <c r="Y198">
        <v>17572</v>
      </c>
      <c r="Z198">
        <v>30996</v>
      </c>
      <c r="AA198">
        <v>21225</v>
      </c>
      <c r="AB198" s="103">
        <v>100</v>
      </c>
      <c r="AC198" s="103">
        <v>325</v>
      </c>
      <c r="AD198" s="103">
        <v>130</v>
      </c>
      <c r="AE198" s="103">
        <v>30</v>
      </c>
      <c r="AF198" s="102">
        <v>7.0960062506976227</v>
      </c>
      <c r="AG198" s="102">
        <v>0</v>
      </c>
      <c r="AH198" s="102">
        <v>0</v>
      </c>
      <c r="AI198" s="102">
        <v>0.81876995200357183</v>
      </c>
      <c r="AJ198" s="102">
        <v>0</v>
      </c>
      <c r="AK198" s="102">
        <v>0</v>
      </c>
      <c r="AL198" s="102">
        <v>2.1833865386761917</v>
      </c>
      <c r="AM198" s="102">
        <v>0.54584663466904793</v>
      </c>
      <c r="AN198" s="102">
        <v>0</v>
      </c>
      <c r="AO198" s="102">
        <v>0</v>
      </c>
      <c r="AP198" s="102">
        <v>0</v>
      </c>
      <c r="AQ198" s="102">
        <v>0</v>
      </c>
      <c r="AR198" s="102">
        <v>0</v>
      </c>
      <c r="AS198" s="102">
        <v>0</v>
      </c>
      <c r="AT198" s="102">
        <v>0</v>
      </c>
      <c r="AU198" s="102">
        <v>3.8209264426833349</v>
      </c>
      <c r="AV198" s="102">
        <v>0.54584663466904793</v>
      </c>
      <c r="AW198" s="102">
        <v>0.54584663466904793</v>
      </c>
      <c r="AX198" s="102">
        <v>0.54584663466904793</v>
      </c>
      <c r="AY198" s="102">
        <v>0.54584663466904793</v>
      </c>
    </row>
    <row r="199" spans="1:51">
      <c r="A199" s="102" t="s">
        <v>608</v>
      </c>
      <c r="B199" s="102">
        <v>11815</v>
      </c>
      <c r="C199" s="102">
        <v>11765</v>
      </c>
      <c r="D199" s="102">
        <v>1.8</v>
      </c>
      <c r="E199" s="102">
        <v>63678</v>
      </c>
      <c r="F199" s="102">
        <v>6.4</v>
      </c>
      <c r="G199" s="102">
        <v>3370</v>
      </c>
      <c r="H199" s="102">
        <v>1030</v>
      </c>
      <c r="I199" s="102">
        <v>270</v>
      </c>
      <c r="J199" s="102">
        <v>86.1</v>
      </c>
      <c r="K199" s="102">
        <v>13.5</v>
      </c>
      <c r="L199" s="102">
        <v>75.099999999999994</v>
      </c>
      <c r="M199" s="102">
        <v>73.2</v>
      </c>
      <c r="N199" s="102">
        <v>2.6</v>
      </c>
      <c r="O199" s="102">
        <v>2045</v>
      </c>
      <c r="P199" s="102">
        <v>595</v>
      </c>
      <c r="Q199" s="102">
        <v>955</v>
      </c>
      <c r="R199" s="102">
        <v>750</v>
      </c>
      <c r="T199" s="102">
        <f t="shared" si="3"/>
        <v>0</v>
      </c>
      <c r="W199">
        <v>25408</v>
      </c>
      <c r="X199">
        <v>31155</v>
      </c>
      <c r="Y199">
        <v>18167</v>
      </c>
      <c r="Z199">
        <v>28749</v>
      </c>
      <c r="AA199">
        <v>15592</v>
      </c>
      <c r="AB199" s="102">
        <v>3750</v>
      </c>
      <c r="AC199" s="102">
        <v>7310</v>
      </c>
      <c r="AD199" s="102">
        <v>2240</v>
      </c>
      <c r="AE199" s="102">
        <v>750</v>
      </c>
      <c r="AF199" s="102">
        <v>2.8760533077529207</v>
      </c>
      <c r="AG199" s="102">
        <v>0</v>
      </c>
      <c r="AH199" s="102">
        <v>5.5845695296173219E-2</v>
      </c>
      <c r="AI199" s="102">
        <v>1.8149850971256294</v>
      </c>
      <c r="AJ199" s="102">
        <v>3.6578930418993458</v>
      </c>
      <c r="AK199" s="102">
        <v>0.40488129089725583</v>
      </c>
      <c r="AL199" s="102">
        <v>1.4101038062283737</v>
      </c>
      <c r="AM199" s="102">
        <v>1.2006824488677241</v>
      </c>
      <c r="AN199" s="102">
        <v>4.1884271472129912E-2</v>
      </c>
      <c r="AO199" s="102">
        <v>0.25130562883277946</v>
      </c>
      <c r="AP199" s="102">
        <v>0.12565281441638973</v>
      </c>
      <c r="AQ199" s="102">
        <v>0.37695844324916922</v>
      </c>
      <c r="AR199" s="102">
        <v>0</v>
      </c>
      <c r="AS199" s="102">
        <v>0.30715132412895269</v>
      </c>
      <c r="AT199" s="102">
        <v>1.284450991811984</v>
      </c>
      <c r="AU199" s="102">
        <v>0.83768542944259827</v>
      </c>
      <c r="AV199" s="102">
        <v>6.9807119120216518E-2</v>
      </c>
      <c r="AW199" s="102">
        <v>0.65618691973003529</v>
      </c>
      <c r="AX199" s="102">
        <v>0.99126109150707464</v>
      </c>
      <c r="AY199" s="102">
        <v>0.39091986707321247</v>
      </c>
    </row>
    <row r="200" spans="1:51">
      <c r="A200" s="102" t="s">
        <v>671</v>
      </c>
      <c r="B200" s="102">
        <v>775</v>
      </c>
      <c r="C200" s="102">
        <v>775</v>
      </c>
      <c r="D200" s="102">
        <v>0.7</v>
      </c>
      <c r="E200" s="102">
        <v>49722</v>
      </c>
      <c r="F200" s="102">
        <v>7.8</v>
      </c>
      <c r="G200" s="102">
        <v>375</v>
      </c>
      <c r="H200" s="102">
        <v>90</v>
      </c>
      <c r="I200" s="102">
        <v>90</v>
      </c>
      <c r="J200" s="102">
        <v>92</v>
      </c>
      <c r="K200" s="102">
        <v>9.3000000000000007</v>
      </c>
      <c r="L200" s="102">
        <v>59.8</v>
      </c>
      <c r="M200" s="102">
        <v>59.8</v>
      </c>
      <c r="N200" s="102">
        <v>2.5</v>
      </c>
      <c r="O200" s="102">
        <v>175</v>
      </c>
      <c r="P200" s="102">
        <v>90</v>
      </c>
      <c r="Q200" s="102">
        <v>70</v>
      </c>
      <c r="R200" s="102">
        <v>85</v>
      </c>
      <c r="T200" s="102">
        <f t="shared" si="3"/>
        <v>0</v>
      </c>
      <c r="W200">
        <v>20999</v>
      </c>
      <c r="X200">
        <v>24848</v>
      </c>
      <c r="Y200">
        <v>17152</v>
      </c>
      <c r="Z200">
        <v>18093</v>
      </c>
      <c r="AA200">
        <v>19971</v>
      </c>
      <c r="AB200" s="102">
        <v>115</v>
      </c>
      <c r="AC200" s="102">
        <v>425</v>
      </c>
      <c r="AD200" s="102">
        <v>260</v>
      </c>
      <c r="AE200" s="102">
        <v>215</v>
      </c>
      <c r="AF200" s="102">
        <v>5.9974035302877668</v>
      </c>
      <c r="AG200" s="102">
        <v>0</v>
      </c>
      <c r="AH200" s="102">
        <v>0</v>
      </c>
      <c r="AI200" s="102">
        <v>0.42838596644912619</v>
      </c>
      <c r="AJ200" s="102">
        <v>0.64257894967368934</v>
      </c>
      <c r="AK200" s="102">
        <v>0.85677193289825238</v>
      </c>
      <c r="AL200" s="102">
        <v>0.85677193289825238</v>
      </c>
      <c r="AM200" s="102">
        <v>0.64257894967368934</v>
      </c>
      <c r="AN200" s="102">
        <v>0.42838596644912619</v>
      </c>
      <c r="AO200" s="102">
        <v>1.2851578993473787</v>
      </c>
      <c r="AP200" s="102">
        <v>0</v>
      </c>
      <c r="AQ200" s="102">
        <v>0.42838596644912619</v>
      </c>
      <c r="AR200" s="102">
        <v>0</v>
      </c>
      <c r="AS200" s="102">
        <v>0.64257894967368934</v>
      </c>
      <c r="AT200" s="102">
        <v>0.85677193289825238</v>
      </c>
      <c r="AU200" s="102">
        <v>1.9277368490210678</v>
      </c>
      <c r="AV200" s="102">
        <v>0.42838596644912619</v>
      </c>
      <c r="AW200" s="102">
        <v>0</v>
      </c>
      <c r="AX200" s="102">
        <v>0.64257894967368934</v>
      </c>
      <c r="AY200" s="102">
        <v>1.0709649161228156</v>
      </c>
    </row>
    <row r="201" spans="1:51">
      <c r="A201" s="102" t="s">
        <v>361</v>
      </c>
      <c r="B201" s="102">
        <v>380</v>
      </c>
      <c r="C201" s="102">
        <v>380</v>
      </c>
      <c r="D201" s="102">
        <v>0.7</v>
      </c>
      <c r="E201" s="102">
        <v>51064</v>
      </c>
      <c r="F201" s="102">
        <v>12.5</v>
      </c>
      <c r="G201" s="102">
        <v>180</v>
      </c>
      <c r="H201" s="102">
        <v>55</v>
      </c>
      <c r="I201" s="102">
        <v>0</v>
      </c>
      <c r="J201" s="102">
        <v>91.7</v>
      </c>
      <c r="K201" s="102">
        <v>8.3000000000000007</v>
      </c>
      <c r="L201" s="102">
        <v>46.2</v>
      </c>
      <c r="M201" s="102">
        <v>41.5</v>
      </c>
      <c r="N201" s="102">
        <v>10</v>
      </c>
      <c r="O201" s="102">
        <v>80</v>
      </c>
      <c r="P201" s="102">
        <v>45</v>
      </c>
      <c r="Q201" s="102">
        <v>35</v>
      </c>
      <c r="R201" s="102">
        <v>20</v>
      </c>
      <c r="T201" s="102">
        <f t="shared" si="3"/>
        <v>0</v>
      </c>
      <c r="W201">
        <v>22661</v>
      </c>
      <c r="X201">
        <v>27624</v>
      </c>
      <c r="Y201">
        <v>16599</v>
      </c>
      <c r="Z201">
        <v>24976</v>
      </c>
      <c r="AA201">
        <v>18820</v>
      </c>
      <c r="AB201" s="102">
        <v>45</v>
      </c>
      <c r="AC201" s="102">
        <v>215</v>
      </c>
      <c r="AD201" s="102">
        <v>115</v>
      </c>
      <c r="AE201" s="102">
        <v>110</v>
      </c>
      <c r="AF201" s="102">
        <v>3.3842491349480972</v>
      </c>
      <c r="AG201" s="102">
        <v>0</v>
      </c>
      <c r="AH201" s="102">
        <v>0</v>
      </c>
      <c r="AI201" s="102">
        <v>0</v>
      </c>
      <c r="AJ201" s="102">
        <v>0</v>
      </c>
      <c r="AK201" s="102">
        <v>1.1280830449826988</v>
      </c>
      <c r="AL201" s="102">
        <v>1.6921245674740486</v>
      </c>
      <c r="AM201" s="102">
        <v>1.6921245674740486</v>
      </c>
      <c r="AN201" s="102">
        <v>0</v>
      </c>
      <c r="AO201" s="102">
        <v>0</v>
      </c>
      <c r="AP201" s="102">
        <v>0</v>
      </c>
      <c r="AQ201" s="102">
        <v>1.1280830449826988</v>
      </c>
      <c r="AR201" s="102">
        <v>0</v>
      </c>
      <c r="AS201" s="102">
        <v>0</v>
      </c>
      <c r="AT201" s="102">
        <v>1.6921245674740486</v>
      </c>
      <c r="AU201" s="102">
        <v>2.2561660899653977</v>
      </c>
      <c r="AV201" s="102">
        <v>0</v>
      </c>
      <c r="AW201" s="102">
        <v>0</v>
      </c>
      <c r="AX201" s="102">
        <v>1.1280830449826988</v>
      </c>
      <c r="AY201" s="102">
        <v>0</v>
      </c>
    </row>
    <row r="202" spans="1:51" s="103" customFormat="1">
      <c r="A202" s="105" t="s">
        <v>221</v>
      </c>
      <c r="B202" s="103">
        <v>22</v>
      </c>
      <c r="T202" s="103">
        <f t="shared" si="3"/>
        <v>0</v>
      </c>
      <c r="W202"/>
      <c r="X202"/>
      <c r="Y202"/>
      <c r="Z202"/>
      <c r="AA202"/>
      <c r="AB202" s="103">
        <v>0</v>
      </c>
      <c r="AC202" s="103">
        <v>0</v>
      </c>
      <c r="AD202" s="103">
        <v>0</v>
      </c>
      <c r="AE202" s="103">
        <v>0</v>
      </c>
      <c r="AF202" s="102" t="e">
        <v>#N/A</v>
      </c>
      <c r="AG202" s="102" t="e">
        <v>#N/A</v>
      </c>
      <c r="AH202" s="102" t="e">
        <v>#N/A</v>
      </c>
      <c r="AI202" s="102" t="e">
        <v>#N/A</v>
      </c>
      <c r="AJ202" s="102" t="e">
        <v>#N/A</v>
      </c>
      <c r="AK202" s="102" t="e">
        <v>#N/A</v>
      </c>
      <c r="AL202" s="102" t="e">
        <v>#N/A</v>
      </c>
      <c r="AM202" s="102" t="e">
        <v>#N/A</v>
      </c>
      <c r="AN202" s="102" t="e">
        <v>#N/A</v>
      </c>
      <c r="AO202" s="102" t="e">
        <v>#N/A</v>
      </c>
      <c r="AP202" s="102" t="e">
        <v>#N/A</v>
      </c>
      <c r="AQ202" s="102" t="e">
        <v>#N/A</v>
      </c>
      <c r="AR202" s="102" t="e">
        <v>#N/A</v>
      </c>
      <c r="AS202" s="102" t="e">
        <v>#N/A</v>
      </c>
      <c r="AT202" s="102" t="e">
        <v>#N/A</v>
      </c>
      <c r="AU202" s="102" t="e">
        <v>#N/A</v>
      </c>
      <c r="AV202" s="102" t="e">
        <v>#N/A</v>
      </c>
      <c r="AW202" s="102" t="e">
        <v>#N/A</v>
      </c>
      <c r="AX202" s="102" t="e">
        <v>#N/A</v>
      </c>
      <c r="AY202" s="102" t="e">
        <v>#N/A</v>
      </c>
    </row>
    <row r="203" spans="1:51" s="103" customFormat="1">
      <c r="A203" s="103" t="s">
        <v>653</v>
      </c>
      <c r="B203" s="103">
        <v>2085</v>
      </c>
      <c r="C203" s="103">
        <v>2085</v>
      </c>
      <c r="D203" s="103">
        <v>1.1000000000000001</v>
      </c>
      <c r="E203" s="103">
        <v>107252</v>
      </c>
      <c r="F203" s="103">
        <v>2.4</v>
      </c>
      <c r="G203" s="103">
        <v>720</v>
      </c>
      <c r="H203" s="103">
        <v>185</v>
      </c>
      <c r="I203" s="103">
        <v>50</v>
      </c>
      <c r="J203" s="103">
        <v>95.1</v>
      </c>
      <c r="K203" s="103">
        <v>4.9000000000000004</v>
      </c>
      <c r="L203" s="103">
        <v>78</v>
      </c>
      <c r="M203" s="103">
        <v>76.8</v>
      </c>
      <c r="N203" s="103">
        <v>1.5</v>
      </c>
      <c r="O203" s="103">
        <v>500</v>
      </c>
      <c r="P203" s="103">
        <v>165</v>
      </c>
      <c r="Q203" s="103">
        <v>255</v>
      </c>
      <c r="R203" s="103">
        <v>470</v>
      </c>
      <c r="T203" s="103">
        <f t="shared" si="3"/>
        <v>0</v>
      </c>
      <c r="W203">
        <v>42196</v>
      </c>
      <c r="X203">
        <v>49118</v>
      </c>
      <c r="Y203">
        <v>34890</v>
      </c>
      <c r="Z203">
        <v>43826</v>
      </c>
      <c r="AA203">
        <v>25952</v>
      </c>
      <c r="AB203" s="103">
        <v>375</v>
      </c>
      <c r="AC203" s="103">
        <v>1480</v>
      </c>
      <c r="AD203" s="103">
        <v>680</v>
      </c>
      <c r="AE203" s="103">
        <v>210</v>
      </c>
      <c r="AF203" s="102">
        <v>0.38168223326482292</v>
      </c>
      <c r="AG203" s="102">
        <v>0.12722741108827432</v>
      </c>
      <c r="AH203" s="102">
        <v>0.12722741108827432</v>
      </c>
      <c r="AI203" s="102">
        <v>0.89059187761792014</v>
      </c>
      <c r="AJ203" s="102">
        <v>1.5267289330592917</v>
      </c>
      <c r="AK203" s="102">
        <v>0.50890964435309727</v>
      </c>
      <c r="AL203" s="102">
        <v>2.0356385774123891</v>
      </c>
      <c r="AM203" s="102">
        <v>1.1450466997944688</v>
      </c>
      <c r="AN203" s="102">
        <v>0.6997507609855087</v>
      </c>
      <c r="AO203" s="102">
        <v>0.57252334989723441</v>
      </c>
      <c r="AP203" s="102">
        <v>0.38168223326482292</v>
      </c>
      <c r="AQ203" s="102">
        <v>1.1450466997944688</v>
      </c>
      <c r="AR203" s="102">
        <v>0</v>
      </c>
      <c r="AS203" s="102">
        <v>0.25445482217654863</v>
      </c>
      <c r="AT203" s="102">
        <v>1.0178192887061945</v>
      </c>
      <c r="AU203" s="102">
        <v>1.5903426386034289</v>
      </c>
      <c r="AV203" s="102">
        <v>0.12722741108827432</v>
      </c>
      <c r="AW203" s="102">
        <v>1.2086604053386059</v>
      </c>
      <c r="AX203" s="102">
        <v>1.2086604053386059</v>
      </c>
      <c r="AY203" s="102">
        <v>1.7811837552358403</v>
      </c>
    </row>
    <row r="204" spans="1:51" s="103" customFormat="1">
      <c r="A204" s="105" t="s">
        <v>535</v>
      </c>
      <c r="O204" s="105"/>
      <c r="P204" s="105"/>
      <c r="Q204" s="105"/>
      <c r="R204" s="105"/>
      <c r="S204" s="105"/>
      <c r="T204" s="103">
        <f t="shared" si="3"/>
        <v>0</v>
      </c>
      <c r="U204" s="105"/>
      <c r="V204" s="105"/>
      <c r="W204"/>
      <c r="X204"/>
      <c r="Y204"/>
      <c r="Z204"/>
      <c r="AA204"/>
      <c r="AB204" s="103">
        <v>0</v>
      </c>
      <c r="AC204" s="103">
        <v>0</v>
      </c>
      <c r="AD204" s="103">
        <v>0</v>
      </c>
      <c r="AE204" s="103">
        <v>0</v>
      </c>
      <c r="AF204" s="102" t="e">
        <v>#N/A</v>
      </c>
      <c r="AG204" s="102" t="e">
        <v>#N/A</v>
      </c>
      <c r="AH204" s="102" t="e">
        <v>#N/A</v>
      </c>
      <c r="AI204" s="102" t="e">
        <v>#N/A</v>
      </c>
      <c r="AJ204" s="102" t="e">
        <v>#N/A</v>
      </c>
      <c r="AK204" s="102" t="e">
        <v>#N/A</v>
      </c>
      <c r="AL204" s="102" t="e">
        <v>#N/A</v>
      </c>
      <c r="AM204" s="102" t="e">
        <v>#N/A</v>
      </c>
      <c r="AN204" s="102" t="e">
        <v>#N/A</v>
      </c>
      <c r="AO204" s="102" t="e">
        <v>#N/A</v>
      </c>
      <c r="AP204" s="102" t="e">
        <v>#N/A</v>
      </c>
      <c r="AQ204" s="102" t="e">
        <v>#N/A</v>
      </c>
      <c r="AR204" s="102" t="e">
        <v>#N/A</v>
      </c>
      <c r="AS204" s="102" t="e">
        <v>#N/A</v>
      </c>
      <c r="AT204" s="102" t="e">
        <v>#N/A</v>
      </c>
      <c r="AU204" s="102" t="e">
        <v>#N/A</v>
      </c>
      <c r="AV204" s="102" t="e">
        <v>#N/A</v>
      </c>
      <c r="AW204" s="102" t="e">
        <v>#N/A</v>
      </c>
      <c r="AX204" s="102" t="e">
        <v>#N/A</v>
      </c>
      <c r="AY204" s="102" t="e">
        <v>#N/A</v>
      </c>
    </row>
    <row r="205" spans="1:51" s="105" customFormat="1">
      <c r="A205" s="105" t="s">
        <v>222</v>
      </c>
      <c r="B205" s="105">
        <v>10</v>
      </c>
      <c r="C205" s="103"/>
      <c r="D205" s="103"/>
      <c r="E205" s="103"/>
      <c r="F205" s="103"/>
      <c r="G205" s="103"/>
      <c r="H205" s="103"/>
      <c r="I205" s="103"/>
      <c r="J205" s="103"/>
      <c r="K205" s="103"/>
      <c r="L205" s="103"/>
      <c r="M205" s="103"/>
      <c r="N205" s="103"/>
      <c r="T205" s="103">
        <f t="shared" si="3"/>
        <v>0</v>
      </c>
      <c r="W205"/>
      <c r="X205"/>
      <c r="Y205"/>
      <c r="Z205"/>
      <c r="AA205"/>
      <c r="AB205" s="105">
        <v>0</v>
      </c>
      <c r="AC205" s="105">
        <v>0</v>
      </c>
      <c r="AD205" s="105">
        <v>0</v>
      </c>
      <c r="AE205" s="105">
        <v>0</v>
      </c>
      <c r="AF205" s="102" t="e">
        <v>#N/A</v>
      </c>
      <c r="AG205" s="102" t="e">
        <v>#N/A</v>
      </c>
      <c r="AH205" s="102" t="e">
        <v>#N/A</v>
      </c>
      <c r="AI205" s="102" t="e">
        <v>#N/A</v>
      </c>
      <c r="AJ205" s="102" t="e">
        <v>#N/A</v>
      </c>
      <c r="AK205" s="102" t="e">
        <v>#N/A</v>
      </c>
      <c r="AL205" s="102" t="e">
        <v>#N/A</v>
      </c>
      <c r="AM205" s="102" t="e">
        <v>#N/A</v>
      </c>
      <c r="AN205" s="102" t="e">
        <v>#N/A</v>
      </c>
      <c r="AO205" s="102" t="e">
        <v>#N/A</v>
      </c>
      <c r="AP205" s="102" t="e">
        <v>#N/A</v>
      </c>
      <c r="AQ205" s="102" t="e">
        <v>#N/A</v>
      </c>
      <c r="AR205" s="102" t="e">
        <v>#N/A</v>
      </c>
      <c r="AS205" s="102" t="e">
        <v>#N/A</v>
      </c>
      <c r="AT205" s="102" t="e">
        <v>#N/A</v>
      </c>
      <c r="AU205" s="102" t="e">
        <v>#N/A</v>
      </c>
      <c r="AV205" s="102" t="e">
        <v>#N/A</v>
      </c>
      <c r="AW205" s="102" t="e">
        <v>#N/A</v>
      </c>
      <c r="AX205" s="102" t="e">
        <v>#N/A</v>
      </c>
      <c r="AY205" s="102" t="e">
        <v>#N/A</v>
      </c>
    </row>
    <row r="206" spans="1:51" s="105" customFormat="1">
      <c r="A206" s="103" t="s">
        <v>549</v>
      </c>
      <c r="B206" s="103">
        <v>480</v>
      </c>
      <c r="C206" s="103">
        <v>485</v>
      </c>
      <c r="D206" s="103">
        <v>1.2</v>
      </c>
      <c r="E206" s="103">
        <v>47433</v>
      </c>
      <c r="F206" s="103">
        <v>6.9</v>
      </c>
      <c r="G206" s="103">
        <v>165</v>
      </c>
      <c r="H206" s="103">
        <v>55</v>
      </c>
      <c r="I206" s="103">
        <v>25</v>
      </c>
      <c r="J206" s="103">
        <v>87.9</v>
      </c>
      <c r="K206" s="103">
        <v>12.1</v>
      </c>
      <c r="L206" s="103">
        <v>80</v>
      </c>
      <c r="M206" s="103">
        <v>76.2</v>
      </c>
      <c r="N206" s="103">
        <v>3.1</v>
      </c>
      <c r="O206" s="103">
        <v>55</v>
      </c>
      <c r="P206" s="103">
        <v>55</v>
      </c>
      <c r="Q206" s="103">
        <v>55</v>
      </c>
      <c r="R206" s="103">
        <v>20</v>
      </c>
      <c r="S206" s="103"/>
      <c r="T206" s="103">
        <f t="shared" si="3"/>
        <v>0</v>
      </c>
      <c r="U206" s="103"/>
      <c r="V206" s="103"/>
      <c r="W206">
        <v>15742</v>
      </c>
      <c r="X206">
        <v>18534</v>
      </c>
      <c r="Y206">
        <v>12336</v>
      </c>
      <c r="Z206">
        <v>14262</v>
      </c>
      <c r="AA206">
        <v>15354</v>
      </c>
      <c r="AB206" s="105">
        <v>70</v>
      </c>
      <c r="AC206" s="105">
        <v>340</v>
      </c>
      <c r="AD206" s="105">
        <v>175</v>
      </c>
      <c r="AE206" s="105">
        <v>45</v>
      </c>
      <c r="AF206" s="102">
        <v>7.1386505190311418</v>
      </c>
      <c r="AG206" s="102">
        <v>0.52878892733564009</v>
      </c>
      <c r="AH206" s="102">
        <v>0</v>
      </c>
      <c r="AI206" s="102">
        <v>1.0575778546712802</v>
      </c>
      <c r="AJ206" s="102">
        <v>3.172733564013841</v>
      </c>
      <c r="AK206" s="102">
        <v>0</v>
      </c>
      <c r="AL206" s="102">
        <v>1.0575778546712802</v>
      </c>
      <c r="AM206" s="102">
        <v>0.52878892733564009</v>
      </c>
      <c r="AN206" s="102">
        <v>0</v>
      </c>
      <c r="AO206" s="102">
        <v>0.79318339100346025</v>
      </c>
      <c r="AP206" s="102">
        <v>0</v>
      </c>
      <c r="AQ206" s="102">
        <v>0</v>
      </c>
      <c r="AR206" s="102">
        <v>0</v>
      </c>
      <c r="AS206" s="102">
        <v>0</v>
      </c>
      <c r="AT206" s="102">
        <v>0</v>
      </c>
      <c r="AU206" s="102">
        <v>0.52878892733564009</v>
      </c>
      <c r="AV206" s="102">
        <v>1.3219723183391003</v>
      </c>
      <c r="AW206" s="102">
        <v>0</v>
      </c>
      <c r="AX206" s="102">
        <v>0</v>
      </c>
      <c r="AY206" s="102">
        <v>0</v>
      </c>
    </row>
    <row r="207" spans="1:51" s="103" customFormat="1">
      <c r="A207" s="105" t="s">
        <v>362</v>
      </c>
      <c r="O207" s="105"/>
      <c r="P207" s="105"/>
      <c r="Q207" s="105"/>
      <c r="R207" s="105"/>
      <c r="S207" s="105"/>
      <c r="T207" s="103">
        <f t="shared" si="3"/>
        <v>0</v>
      </c>
      <c r="U207" s="105"/>
      <c r="V207" s="105"/>
      <c r="W207"/>
      <c r="X207"/>
      <c r="Y207"/>
      <c r="Z207"/>
      <c r="AA207"/>
      <c r="AB207" s="103">
        <v>0</v>
      </c>
      <c r="AC207" s="103">
        <v>0</v>
      </c>
      <c r="AD207" s="103">
        <v>0</v>
      </c>
      <c r="AE207" s="103">
        <v>0</v>
      </c>
      <c r="AF207" s="102" t="e">
        <v>#N/A</v>
      </c>
      <c r="AG207" s="102" t="e">
        <v>#N/A</v>
      </c>
      <c r="AH207" s="102" t="e">
        <v>#N/A</v>
      </c>
      <c r="AI207" s="102" t="e">
        <v>#N/A</v>
      </c>
      <c r="AJ207" s="102" t="e">
        <v>#N/A</v>
      </c>
      <c r="AK207" s="102" t="e">
        <v>#N/A</v>
      </c>
      <c r="AL207" s="102" t="e">
        <v>#N/A</v>
      </c>
      <c r="AM207" s="102" t="e">
        <v>#N/A</v>
      </c>
      <c r="AN207" s="102" t="e">
        <v>#N/A</v>
      </c>
      <c r="AO207" s="102" t="e">
        <v>#N/A</v>
      </c>
      <c r="AP207" s="102" t="e">
        <v>#N/A</v>
      </c>
      <c r="AQ207" s="102" t="e">
        <v>#N/A</v>
      </c>
      <c r="AR207" s="102" t="e">
        <v>#N/A</v>
      </c>
      <c r="AS207" s="102" t="e">
        <v>#N/A</v>
      </c>
      <c r="AT207" s="102" t="e">
        <v>#N/A</v>
      </c>
      <c r="AU207" s="102" t="e">
        <v>#N/A</v>
      </c>
      <c r="AV207" s="102" t="e">
        <v>#N/A</v>
      </c>
      <c r="AW207" s="102" t="e">
        <v>#N/A</v>
      </c>
      <c r="AX207" s="102" t="e">
        <v>#N/A</v>
      </c>
      <c r="AY207" s="102" t="e">
        <v>#N/A</v>
      </c>
    </row>
    <row r="208" spans="1:51" s="105" customFormat="1">
      <c r="A208" s="105" t="s">
        <v>536</v>
      </c>
      <c r="B208" s="103"/>
      <c r="C208" s="103"/>
      <c r="D208" s="103"/>
      <c r="E208" s="103"/>
      <c r="F208" s="103"/>
      <c r="G208" s="103"/>
      <c r="H208" s="103"/>
      <c r="I208" s="103"/>
      <c r="J208" s="103"/>
      <c r="K208" s="103"/>
      <c r="L208" s="103"/>
      <c r="M208" s="103"/>
      <c r="N208" s="103"/>
      <c r="T208" s="103">
        <f t="shared" si="3"/>
        <v>0</v>
      </c>
      <c r="W208"/>
      <c r="X208"/>
      <c r="Y208"/>
      <c r="Z208"/>
      <c r="AA208"/>
      <c r="AB208" s="105">
        <v>0</v>
      </c>
      <c r="AC208" s="105">
        <v>0</v>
      </c>
      <c r="AD208" s="105">
        <v>0</v>
      </c>
      <c r="AE208" s="105">
        <v>0</v>
      </c>
      <c r="AF208" s="102" t="e">
        <v>#N/A</v>
      </c>
      <c r="AG208" s="102" t="e">
        <v>#N/A</v>
      </c>
      <c r="AH208" s="102" t="e">
        <v>#N/A</v>
      </c>
      <c r="AI208" s="102" t="e">
        <v>#N/A</v>
      </c>
      <c r="AJ208" s="102" t="e">
        <v>#N/A</v>
      </c>
      <c r="AK208" s="102" t="e">
        <v>#N/A</v>
      </c>
      <c r="AL208" s="102" t="e">
        <v>#N/A</v>
      </c>
      <c r="AM208" s="102" t="e">
        <v>#N/A</v>
      </c>
      <c r="AN208" s="102" t="e">
        <v>#N/A</v>
      </c>
      <c r="AO208" s="102" t="e">
        <v>#N/A</v>
      </c>
      <c r="AP208" s="102" t="e">
        <v>#N/A</v>
      </c>
      <c r="AQ208" s="102" t="e">
        <v>#N/A</v>
      </c>
      <c r="AR208" s="102" t="e">
        <v>#N/A</v>
      </c>
      <c r="AS208" s="102" t="e">
        <v>#N/A</v>
      </c>
      <c r="AT208" s="102" t="e">
        <v>#N/A</v>
      </c>
      <c r="AU208" s="102" t="e">
        <v>#N/A</v>
      </c>
      <c r="AV208" s="102" t="e">
        <v>#N/A</v>
      </c>
      <c r="AW208" s="102" t="e">
        <v>#N/A</v>
      </c>
      <c r="AX208" s="102" t="e">
        <v>#N/A</v>
      </c>
      <c r="AY208" s="102" t="e">
        <v>#N/A</v>
      </c>
    </row>
    <row r="209" spans="1:51" s="105" customFormat="1">
      <c r="A209" s="105" t="s">
        <v>363</v>
      </c>
      <c r="B209" s="103"/>
      <c r="C209" s="103"/>
      <c r="D209" s="103"/>
      <c r="E209" s="103"/>
      <c r="F209" s="103"/>
      <c r="G209" s="103"/>
      <c r="H209" s="103"/>
      <c r="I209" s="103"/>
      <c r="J209" s="103"/>
      <c r="K209" s="103"/>
      <c r="L209" s="103"/>
      <c r="M209" s="103"/>
      <c r="N209" s="103"/>
      <c r="T209" s="103">
        <f t="shared" si="3"/>
        <v>0</v>
      </c>
      <c r="W209"/>
      <c r="X209"/>
      <c r="Y209"/>
      <c r="Z209"/>
      <c r="AA209"/>
      <c r="AB209" s="105">
        <v>0</v>
      </c>
      <c r="AC209" s="105">
        <v>0</v>
      </c>
      <c r="AD209" s="105">
        <v>0</v>
      </c>
      <c r="AE209" s="105">
        <v>0</v>
      </c>
      <c r="AF209" s="102" t="e">
        <v>#N/A</v>
      </c>
      <c r="AG209" s="102" t="e">
        <v>#N/A</v>
      </c>
      <c r="AH209" s="102" t="e">
        <v>#N/A</v>
      </c>
      <c r="AI209" s="102" t="e">
        <v>#N/A</v>
      </c>
      <c r="AJ209" s="102" t="e">
        <v>#N/A</v>
      </c>
      <c r="AK209" s="102" t="e">
        <v>#N/A</v>
      </c>
      <c r="AL209" s="102" t="e">
        <v>#N/A</v>
      </c>
      <c r="AM209" s="102" t="e">
        <v>#N/A</v>
      </c>
      <c r="AN209" s="102" t="e">
        <v>#N/A</v>
      </c>
      <c r="AO209" s="102" t="e">
        <v>#N/A</v>
      </c>
      <c r="AP209" s="102" t="e">
        <v>#N/A</v>
      </c>
      <c r="AQ209" s="102" t="e">
        <v>#N/A</v>
      </c>
      <c r="AR209" s="102" t="e">
        <v>#N/A</v>
      </c>
      <c r="AS209" s="102" t="e">
        <v>#N/A</v>
      </c>
      <c r="AT209" s="102" t="e">
        <v>#N/A</v>
      </c>
      <c r="AU209" s="102" t="e">
        <v>#N/A</v>
      </c>
      <c r="AV209" s="102" t="e">
        <v>#N/A</v>
      </c>
      <c r="AW209" s="102" t="e">
        <v>#N/A</v>
      </c>
      <c r="AX209" s="102" t="e">
        <v>#N/A</v>
      </c>
      <c r="AY209" s="102" t="e">
        <v>#N/A</v>
      </c>
    </row>
    <row r="210" spans="1:51" s="105" customFormat="1">
      <c r="A210" s="103" t="s">
        <v>223</v>
      </c>
      <c r="B210" s="103">
        <v>620</v>
      </c>
      <c r="C210" s="103">
        <v>620</v>
      </c>
      <c r="D210" s="103">
        <v>2</v>
      </c>
      <c r="E210" s="103">
        <v>37981</v>
      </c>
      <c r="F210" s="103">
        <v>0</v>
      </c>
      <c r="G210" s="103">
        <v>155</v>
      </c>
      <c r="H210" s="103">
        <v>35</v>
      </c>
      <c r="I210" s="103">
        <v>110</v>
      </c>
      <c r="J210" s="103">
        <v>22.6</v>
      </c>
      <c r="K210" s="103">
        <v>6.5</v>
      </c>
      <c r="L210" s="103">
        <v>51.3</v>
      </c>
      <c r="M210" s="103">
        <v>36.799999999999997</v>
      </c>
      <c r="N210" s="103">
        <v>25.6</v>
      </c>
      <c r="O210" s="103">
        <v>45</v>
      </c>
      <c r="P210" s="103">
        <v>25</v>
      </c>
      <c r="Q210" s="103">
        <v>30</v>
      </c>
      <c r="R210" s="103">
        <v>25</v>
      </c>
      <c r="S210" s="103"/>
      <c r="T210" s="103" t="str">
        <f t="shared" si="3"/>
        <v>Hollow Water First Nation</v>
      </c>
      <c r="U210" s="103"/>
      <c r="V210" s="103"/>
      <c r="W210">
        <v>18077</v>
      </c>
      <c r="X210">
        <v>16274</v>
      </c>
      <c r="Y210">
        <v>20358</v>
      </c>
      <c r="Z210">
        <v>10800</v>
      </c>
      <c r="AA210">
        <v>11408</v>
      </c>
      <c r="AB210" s="105">
        <v>245</v>
      </c>
      <c r="AC210" s="105">
        <v>365</v>
      </c>
      <c r="AD210" s="105">
        <v>105</v>
      </c>
      <c r="AE210" s="105">
        <v>10</v>
      </c>
      <c r="AF210" s="102">
        <v>0.86775618844822999</v>
      </c>
      <c r="AG210" s="102">
        <v>1.73551237689646</v>
      </c>
      <c r="AH210" s="102">
        <v>0</v>
      </c>
      <c r="AI210" s="102">
        <v>1.73551237689646</v>
      </c>
      <c r="AJ210" s="102">
        <v>0</v>
      </c>
      <c r="AK210" s="102">
        <v>0</v>
      </c>
      <c r="AL210" s="102">
        <v>0.86775618844822999</v>
      </c>
      <c r="AM210" s="102">
        <v>0.86775618844822999</v>
      </c>
      <c r="AN210" s="102">
        <v>0</v>
      </c>
      <c r="AO210" s="102">
        <v>0</v>
      </c>
      <c r="AP210" s="102">
        <v>0</v>
      </c>
      <c r="AQ210" s="102">
        <v>0</v>
      </c>
      <c r="AR210" s="102">
        <v>0</v>
      </c>
      <c r="AS210" s="102">
        <v>0</v>
      </c>
      <c r="AT210" s="102">
        <v>2.1693904711205749</v>
      </c>
      <c r="AU210" s="102">
        <v>2.1693904711205749</v>
      </c>
      <c r="AV210" s="102">
        <v>0</v>
      </c>
      <c r="AW210" s="102">
        <v>0.86775618844822999</v>
      </c>
      <c r="AX210" s="102">
        <v>0.86775618844822999</v>
      </c>
      <c r="AY210" s="102">
        <v>3.0371466595688048</v>
      </c>
    </row>
    <row r="211" spans="1:51" s="103" customFormat="1">
      <c r="A211" s="105" t="s">
        <v>224</v>
      </c>
      <c r="B211" s="105">
        <v>56</v>
      </c>
      <c r="O211" s="105"/>
      <c r="P211" s="105"/>
      <c r="Q211" s="105"/>
      <c r="R211" s="105"/>
      <c r="S211" s="105"/>
      <c r="T211" s="103">
        <f t="shared" si="3"/>
        <v>0</v>
      </c>
      <c r="U211" s="105"/>
      <c r="V211" s="105"/>
      <c r="W211"/>
      <c r="X211"/>
      <c r="Y211"/>
      <c r="Z211"/>
      <c r="AA211"/>
      <c r="AB211" s="103">
        <v>0</v>
      </c>
      <c r="AC211" s="103">
        <v>0</v>
      </c>
      <c r="AD211" s="103">
        <v>0</v>
      </c>
      <c r="AE211" s="103">
        <v>0</v>
      </c>
      <c r="AF211" s="102" t="e">
        <v>#N/A</v>
      </c>
      <c r="AG211" s="102" t="e">
        <v>#N/A</v>
      </c>
      <c r="AH211" s="102" t="e">
        <v>#N/A</v>
      </c>
      <c r="AI211" s="102" t="e">
        <v>#N/A</v>
      </c>
      <c r="AJ211" s="102" t="e">
        <v>#N/A</v>
      </c>
      <c r="AK211" s="102" t="e">
        <v>#N/A</v>
      </c>
      <c r="AL211" s="102" t="e">
        <v>#N/A</v>
      </c>
      <c r="AM211" s="102" t="e">
        <v>#N/A</v>
      </c>
      <c r="AN211" s="102" t="e">
        <v>#N/A</v>
      </c>
      <c r="AO211" s="102" t="e">
        <v>#N/A</v>
      </c>
      <c r="AP211" s="102" t="e">
        <v>#N/A</v>
      </c>
      <c r="AQ211" s="102" t="e">
        <v>#N/A</v>
      </c>
      <c r="AR211" s="102" t="e">
        <v>#N/A</v>
      </c>
      <c r="AS211" s="102" t="e">
        <v>#N/A</v>
      </c>
      <c r="AT211" s="102" t="e">
        <v>#N/A</v>
      </c>
      <c r="AU211" s="102" t="e">
        <v>#N/A</v>
      </c>
      <c r="AV211" s="102" t="e">
        <v>#N/A</v>
      </c>
      <c r="AW211" s="102" t="e">
        <v>#N/A</v>
      </c>
      <c r="AX211" s="102" t="e">
        <v>#N/A</v>
      </c>
      <c r="AY211" s="102" t="e">
        <v>#N/A</v>
      </c>
    </row>
    <row r="212" spans="1:51" s="105" customFormat="1">
      <c r="A212" s="105" t="s">
        <v>846</v>
      </c>
      <c r="B212" s="103"/>
      <c r="C212" s="103"/>
      <c r="D212" s="103"/>
      <c r="E212" s="103"/>
      <c r="F212" s="103"/>
      <c r="G212" s="103"/>
      <c r="H212" s="103"/>
      <c r="I212" s="103"/>
      <c r="J212" s="103"/>
      <c r="K212" s="103"/>
      <c r="L212" s="103"/>
      <c r="M212" s="103"/>
      <c r="N212" s="103"/>
      <c r="T212" s="103">
        <f t="shared" si="3"/>
        <v>0</v>
      </c>
      <c r="W212"/>
      <c r="X212"/>
      <c r="Y212"/>
      <c r="Z212"/>
      <c r="AA212"/>
      <c r="AB212" s="105">
        <v>0</v>
      </c>
      <c r="AC212" s="105">
        <v>0</v>
      </c>
      <c r="AD212" s="105">
        <v>0</v>
      </c>
      <c r="AE212" s="105">
        <v>0</v>
      </c>
      <c r="AF212" s="102" t="e">
        <v>#N/A</v>
      </c>
      <c r="AG212" s="102" t="e">
        <v>#N/A</v>
      </c>
      <c r="AH212" s="102" t="e">
        <v>#N/A</v>
      </c>
      <c r="AI212" s="102" t="e">
        <v>#N/A</v>
      </c>
      <c r="AJ212" s="102" t="e">
        <v>#N/A</v>
      </c>
      <c r="AK212" s="102" t="e">
        <v>#N/A</v>
      </c>
      <c r="AL212" s="102" t="e">
        <v>#N/A</v>
      </c>
      <c r="AM212" s="102" t="e">
        <v>#N/A</v>
      </c>
      <c r="AN212" s="102" t="e">
        <v>#N/A</v>
      </c>
      <c r="AO212" s="102" t="e">
        <v>#N/A</v>
      </c>
      <c r="AP212" s="102" t="e">
        <v>#N/A</v>
      </c>
      <c r="AQ212" s="102" t="e">
        <v>#N/A</v>
      </c>
      <c r="AR212" s="102" t="e">
        <v>#N/A</v>
      </c>
      <c r="AS212" s="102" t="e">
        <v>#N/A</v>
      </c>
      <c r="AT212" s="102" t="e">
        <v>#N/A</v>
      </c>
      <c r="AU212" s="102" t="e">
        <v>#N/A</v>
      </c>
      <c r="AV212" s="102" t="e">
        <v>#N/A</v>
      </c>
      <c r="AW212" s="102" t="e">
        <v>#N/A</v>
      </c>
      <c r="AX212" s="102" t="e">
        <v>#N/A</v>
      </c>
      <c r="AY212" s="102" t="e">
        <v>#N/A</v>
      </c>
    </row>
    <row r="213" spans="1:51" customFormat="1">
      <c r="A213" t="s">
        <v>365</v>
      </c>
      <c r="B213" s="102">
        <v>116</v>
      </c>
      <c r="C213" s="102">
        <v>116</v>
      </c>
      <c r="D213" s="102">
        <v>1.8</v>
      </c>
      <c r="E213" s="102">
        <v>0</v>
      </c>
      <c r="F213" s="102">
        <v>0</v>
      </c>
      <c r="G213" s="102">
        <v>35</v>
      </c>
      <c r="H213" s="102">
        <v>15</v>
      </c>
      <c r="I213" s="102">
        <v>10</v>
      </c>
      <c r="J213" s="102">
        <v>0</v>
      </c>
      <c r="K213" s="102">
        <v>57.1</v>
      </c>
      <c r="L213" s="102">
        <v>50</v>
      </c>
      <c r="M213" s="102">
        <v>50</v>
      </c>
      <c r="N213" s="102">
        <v>0</v>
      </c>
      <c r="O213" s="102">
        <v>10</v>
      </c>
      <c r="P213" s="102">
        <v>10</v>
      </c>
      <c r="Q213" s="102">
        <v>0</v>
      </c>
      <c r="R213" s="102">
        <v>0</v>
      </c>
      <c r="T213" s="102">
        <f t="shared" si="3"/>
        <v>0</v>
      </c>
      <c r="W213">
        <v>0</v>
      </c>
      <c r="X213">
        <v>0</v>
      </c>
      <c r="Y213">
        <v>0</v>
      </c>
      <c r="Z213">
        <v>0</v>
      </c>
      <c r="AA213">
        <v>0</v>
      </c>
      <c r="AB213">
        <v>50</v>
      </c>
      <c r="AC213">
        <v>50</v>
      </c>
      <c r="AD213">
        <v>20</v>
      </c>
      <c r="AE213">
        <v>0</v>
      </c>
      <c r="AF213" s="102" t="e">
        <v>#N/A</v>
      </c>
      <c r="AG213" s="102" t="e">
        <v>#N/A</v>
      </c>
      <c r="AH213" s="102" t="e">
        <v>#N/A</v>
      </c>
      <c r="AI213" s="102" t="e">
        <v>#N/A</v>
      </c>
      <c r="AJ213" s="102" t="e">
        <v>#N/A</v>
      </c>
      <c r="AK213" s="102" t="e">
        <v>#N/A</v>
      </c>
      <c r="AL213" s="102" t="e">
        <v>#N/A</v>
      </c>
      <c r="AM213" s="102" t="e">
        <v>#N/A</v>
      </c>
      <c r="AN213" s="102" t="e">
        <v>#N/A</v>
      </c>
      <c r="AO213" s="102" t="e">
        <v>#N/A</v>
      </c>
      <c r="AP213" s="102" t="e">
        <v>#N/A</v>
      </c>
      <c r="AQ213" s="102" t="e">
        <v>#N/A</v>
      </c>
      <c r="AR213" s="102" t="e">
        <v>#N/A</v>
      </c>
      <c r="AS213" s="102" t="e">
        <v>#N/A</v>
      </c>
      <c r="AT213" s="102" t="e">
        <v>#N/A</v>
      </c>
      <c r="AU213" s="102" t="e">
        <v>#N/A</v>
      </c>
      <c r="AV213" s="102" t="e">
        <v>#N/A</v>
      </c>
      <c r="AW213" s="102" t="e">
        <v>#N/A</v>
      </c>
      <c r="AX213" s="102" t="e">
        <v>#N/A</v>
      </c>
      <c r="AY213" s="102" t="e">
        <v>#N/A</v>
      </c>
    </row>
    <row r="214" spans="1:51" s="105" customFormat="1">
      <c r="A214" s="103" t="s">
        <v>497</v>
      </c>
      <c r="B214" s="103">
        <v>85105</v>
      </c>
      <c r="C214" s="103">
        <v>83815</v>
      </c>
      <c r="D214" s="103">
        <v>1.1000000000000001</v>
      </c>
      <c r="E214" s="103">
        <v>75579</v>
      </c>
      <c r="F214" s="103">
        <v>6.7</v>
      </c>
      <c r="G214" s="103">
        <v>32335</v>
      </c>
      <c r="H214" s="103">
        <v>9490</v>
      </c>
      <c r="I214" s="103">
        <v>3065</v>
      </c>
      <c r="J214" s="103">
        <v>85.5</v>
      </c>
      <c r="K214" s="103">
        <v>12.9</v>
      </c>
      <c r="L214" s="103">
        <v>67.599999999999994</v>
      </c>
      <c r="M214" s="103">
        <v>64.400000000000006</v>
      </c>
      <c r="N214" s="103">
        <v>4.8</v>
      </c>
      <c r="O214" s="103">
        <v>18120</v>
      </c>
      <c r="P214" s="103">
        <v>8380</v>
      </c>
      <c r="Q214" s="103">
        <v>11125</v>
      </c>
      <c r="R214" s="103">
        <v>10215</v>
      </c>
      <c r="S214" s="103"/>
      <c r="T214" s="103">
        <f t="shared" si="3"/>
        <v>0</v>
      </c>
      <c r="U214" s="103"/>
      <c r="V214" s="103"/>
      <c r="W214"/>
      <c r="X214"/>
      <c r="Y214"/>
      <c r="Z214"/>
      <c r="AA214"/>
      <c r="AB214" s="105">
        <v>0</v>
      </c>
      <c r="AC214" s="105">
        <v>0</v>
      </c>
      <c r="AD214" s="105">
        <v>0</v>
      </c>
      <c r="AE214" s="105">
        <v>0</v>
      </c>
      <c r="AF214" s="102">
        <v>1.4307335521026272</v>
      </c>
      <c r="AG214" s="102">
        <v>7.8271682875843462E-2</v>
      </c>
      <c r="AH214" s="102">
        <v>0.24027586371189158</v>
      </c>
      <c r="AI214" s="102">
        <v>1.308775348551894</v>
      </c>
      <c r="AJ214" s="102">
        <v>1.5435903971794245</v>
      </c>
      <c r="AK214" s="102">
        <v>0.70080460249301713</v>
      </c>
      <c r="AL214" s="102">
        <v>1.7383594685216397</v>
      </c>
      <c r="AM214" s="102">
        <v>1.206840133643819</v>
      </c>
      <c r="AN214" s="102">
        <v>0.3403908069251797</v>
      </c>
      <c r="AO214" s="102">
        <v>0.49693417267686663</v>
      </c>
      <c r="AP214" s="102">
        <v>0.20569070151093749</v>
      </c>
      <c r="AQ214" s="102">
        <v>0.52059770470909839</v>
      </c>
      <c r="AR214" s="102">
        <v>1.0921630168722345E-2</v>
      </c>
      <c r="AS214" s="102">
        <v>0.44960710861240311</v>
      </c>
      <c r="AT214" s="102">
        <v>1.1595130695793556</v>
      </c>
      <c r="AU214" s="102">
        <v>2.0405245698562915</v>
      </c>
      <c r="AV214" s="102">
        <v>0.32582863336688322</v>
      </c>
      <c r="AW214" s="102">
        <v>0.97202508501628859</v>
      </c>
      <c r="AX214" s="102">
        <v>0.75905329672620281</v>
      </c>
      <c r="AY214" s="102">
        <v>1.1995590468646706</v>
      </c>
    </row>
    <row r="215" spans="1:51" s="105" customFormat="1">
      <c r="A215" s="103" t="s">
        <v>757</v>
      </c>
      <c r="B215" s="103">
        <v>77360</v>
      </c>
      <c r="C215" s="103">
        <v>76115</v>
      </c>
      <c r="D215" s="103">
        <v>1.1000000000000001</v>
      </c>
      <c r="E215" s="103">
        <v>67726</v>
      </c>
      <c r="F215" s="103">
        <v>7</v>
      </c>
      <c r="G215" s="103">
        <v>29580</v>
      </c>
      <c r="H215" s="103">
        <v>8995</v>
      </c>
      <c r="I215" s="103">
        <v>3625</v>
      </c>
      <c r="J215" s="103">
        <v>80.099999999999994</v>
      </c>
      <c r="K215" s="103">
        <v>13.8</v>
      </c>
      <c r="L215" s="103">
        <v>66.2</v>
      </c>
      <c r="M215" s="103">
        <v>62.4</v>
      </c>
      <c r="N215" s="103">
        <v>5.8</v>
      </c>
      <c r="O215" s="103">
        <v>15615</v>
      </c>
      <c r="P215" s="103">
        <v>7590</v>
      </c>
      <c r="Q215" s="103">
        <v>9635</v>
      </c>
      <c r="R215" s="103">
        <v>7950</v>
      </c>
      <c r="S215" s="103"/>
      <c r="T215" s="103">
        <f t="shared" si="3"/>
        <v>0</v>
      </c>
      <c r="U215" s="103"/>
      <c r="V215" s="103"/>
      <c r="W215">
        <v>29459</v>
      </c>
      <c r="X215">
        <v>34279</v>
      </c>
      <c r="Y215">
        <v>23954</v>
      </c>
      <c r="Z215">
        <v>29115</v>
      </c>
      <c r="AA215">
        <v>18486</v>
      </c>
      <c r="AB215" s="105">
        <v>15550</v>
      </c>
      <c r="AC215" s="105">
        <v>50590</v>
      </c>
      <c r="AD215" s="105">
        <v>22560</v>
      </c>
      <c r="AE215" s="105">
        <v>11225</v>
      </c>
      <c r="AF215" s="102">
        <v>1.6865440907033389</v>
      </c>
      <c r="AG215" s="102">
        <v>7.8540043439616278E-2</v>
      </c>
      <c r="AH215" s="102">
        <v>0.21701854108315022</v>
      </c>
      <c r="AI215" s="102">
        <v>1.2483733220402167</v>
      </c>
      <c r="AJ215" s="102">
        <v>1.5108624145884078</v>
      </c>
      <c r="AK215" s="102">
        <v>0.63865456375898499</v>
      </c>
      <c r="AL215" s="102">
        <v>1.6596751284739966</v>
      </c>
      <c r="AM215" s="102">
        <v>1.176033808345833</v>
      </c>
      <c r="AN215" s="102">
        <v>0.31622701700687605</v>
      </c>
      <c r="AO215" s="102">
        <v>0.42990339566947855</v>
      </c>
      <c r="AP215" s="102">
        <v>0.20668432484109545</v>
      </c>
      <c r="AQ215" s="102">
        <v>0.45057182815358809</v>
      </c>
      <c r="AR215" s="102">
        <v>8.2673729936438168E-3</v>
      </c>
      <c r="AS215" s="102">
        <v>0.45057182815358809</v>
      </c>
      <c r="AT215" s="102">
        <v>1.2173706733140521</v>
      </c>
      <c r="AU215" s="102">
        <v>2.0895785241434752</v>
      </c>
      <c r="AV215" s="102">
        <v>0.33689544949098554</v>
      </c>
      <c r="AW215" s="102">
        <v>0.99621844573408003</v>
      </c>
      <c r="AX215" s="102">
        <v>0.76679884516046404</v>
      </c>
      <c r="AY215" s="102">
        <v>1.2091033003204086</v>
      </c>
    </row>
    <row r="216" spans="1:51" s="103" customFormat="1">
      <c r="A216" s="105" t="s">
        <v>366</v>
      </c>
      <c r="B216" s="105">
        <v>69</v>
      </c>
      <c r="O216" s="105"/>
      <c r="P216" s="105"/>
      <c r="Q216" s="105"/>
      <c r="R216" s="105"/>
      <c r="S216" s="105"/>
      <c r="T216" s="103">
        <f t="shared" si="3"/>
        <v>0</v>
      </c>
      <c r="U216" s="105"/>
      <c r="V216" s="105"/>
      <c r="W216"/>
      <c r="X216"/>
      <c r="Y216"/>
      <c r="Z216"/>
      <c r="AA216"/>
      <c r="AB216" s="103">
        <v>0</v>
      </c>
      <c r="AC216" s="103">
        <v>0</v>
      </c>
      <c r="AD216" s="103">
        <v>0</v>
      </c>
      <c r="AE216" s="103">
        <v>0</v>
      </c>
      <c r="AF216" s="102" t="e">
        <v>#N/A</v>
      </c>
      <c r="AG216" s="102" t="e">
        <v>#N/A</v>
      </c>
      <c r="AH216" s="102" t="e">
        <v>#N/A</v>
      </c>
      <c r="AI216" s="102" t="e">
        <v>#N/A</v>
      </c>
      <c r="AJ216" s="102" t="e">
        <v>#N/A</v>
      </c>
      <c r="AK216" s="102" t="e">
        <v>#N/A</v>
      </c>
      <c r="AL216" s="102" t="e">
        <v>#N/A</v>
      </c>
      <c r="AM216" s="102" t="e">
        <v>#N/A</v>
      </c>
      <c r="AN216" s="102" t="e">
        <v>#N/A</v>
      </c>
      <c r="AO216" s="102" t="e">
        <v>#N/A</v>
      </c>
      <c r="AP216" s="102" t="e">
        <v>#N/A</v>
      </c>
      <c r="AQ216" s="102" t="e">
        <v>#N/A</v>
      </c>
      <c r="AR216" s="102" t="e">
        <v>#N/A</v>
      </c>
      <c r="AS216" s="102" t="e">
        <v>#N/A</v>
      </c>
      <c r="AT216" s="102" t="e">
        <v>#N/A</v>
      </c>
      <c r="AU216" s="102" t="e">
        <v>#N/A</v>
      </c>
      <c r="AV216" s="102" t="e">
        <v>#N/A</v>
      </c>
      <c r="AW216" s="102" t="e">
        <v>#N/A</v>
      </c>
      <c r="AX216" s="102" t="e">
        <v>#N/A</v>
      </c>
      <c r="AY216" s="102" t="e">
        <v>#N/A</v>
      </c>
    </row>
    <row r="217" spans="1:51" s="103" customFormat="1">
      <c r="A217" s="103" t="s">
        <v>225</v>
      </c>
      <c r="B217" s="103">
        <v>357</v>
      </c>
      <c r="E217" s="103">
        <v>0</v>
      </c>
      <c r="F217" s="103">
        <v>0</v>
      </c>
      <c r="G217" s="103">
        <v>125</v>
      </c>
      <c r="J217" s="103">
        <v>0</v>
      </c>
      <c r="K217" s="103">
        <v>0</v>
      </c>
      <c r="L217" s="103">
        <v>0</v>
      </c>
      <c r="M217" s="103">
        <v>0</v>
      </c>
      <c r="N217" s="103">
        <v>0</v>
      </c>
      <c r="O217" s="103">
        <v>0</v>
      </c>
      <c r="P217" s="103">
        <v>0</v>
      </c>
      <c r="Q217" s="103">
        <v>0</v>
      </c>
      <c r="R217" s="103">
        <v>0</v>
      </c>
      <c r="T217" s="103" t="str">
        <f t="shared" si="3"/>
        <v>Keeseekoowenin First Nation</v>
      </c>
      <c r="W217">
        <v>0</v>
      </c>
      <c r="X217">
        <v>0</v>
      </c>
      <c r="Y217">
        <v>0</v>
      </c>
      <c r="Z217">
        <v>0</v>
      </c>
      <c r="AA217">
        <v>0</v>
      </c>
      <c r="AB217" s="103">
        <v>110</v>
      </c>
      <c r="AC217" s="103">
        <v>230</v>
      </c>
      <c r="AD217" s="103">
        <v>65</v>
      </c>
      <c r="AE217" s="103">
        <v>25</v>
      </c>
      <c r="AF217" s="102" t="e">
        <v>#DIV/0!</v>
      </c>
      <c r="AG217" s="102" t="e">
        <v>#DIV/0!</v>
      </c>
      <c r="AH217" s="102" t="e">
        <v>#DIV/0!</v>
      </c>
      <c r="AI217" s="102" t="e">
        <v>#DIV/0!</v>
      </c>
      <c r="AJ217" s="102" t="e">
        <v>#DIV/0!</v>
      </c>
      <c r="AK217" s="102" t="e">
        <v>#DIV/0!</v>
      </c>
      <c r="AL217" s="102" t="e">
        <v>#DIV/0!</v>
      </c>
      <c r="AM217" s="102" t="e">
        <v>#DIV/0!</v>
      </c>
      <c r="AN217" s="102" t="e">
        <v>#DIV/0!</v>
      </c>
      <c r="AO217" s="102" t="e">
        <v>#DIV/0!</v>
      </c>
      <c r="AP217" s="102" t="e">
        <v>#DIV/0!</v>
      </c>
      <c r="AQ217" s="102" t="e">
        <v>#DIV/0!</v>
      </c>
      <c r="AR217" s="102" t="e">
        <v>#DIV/0!</v>
      </c>
      <c r="AS217" s="102" t="e">
        <v>#DIV/0!</v>
      </c>
      <c r="AT217" s="102" t="e">
        <v>#DIV/0!</v>
      </c>
      <c r="AU217" s="102" t="e">
        <v>#DIV/0!</v>
      </c>
      <c r="AV217" s="102" t="e">
        <v>#DIV/0!</v>
      </c>
      <c r="AW217" s="102" t="e">
        <v>#DIV/0!</v>
      </c>
      <c r="AX217" s="102" t="e">
        <v>#DIV/0!</v>
      </c>
      <c r="AY217" s="102" t="e">
        <v>#DIV/0!</v>
      </c>
    </row>
    <row r="218" spans="1:51">
      <c r="A218" s="102" t="s">
        <v>495</v>
      </c>
      <c r="B218" s="102">
        <v>2480</v>
      </c>
      <c r="C218" s="102">
        <v>2480</v>
      </c>
      <c r="D218" s="102">
        <v>1.2</v>
      </c>
      <c r="E218" s="102">
        <v>78651</v>
      </c>
      <c r="F218" s="102">
        <v>10.8</v>
      </c>
      <c r="G218" s="102">
        <v>910</v>
      </c>
      <c r="H218" s="102">
        <v>335</v>
      </c>
      <c r="I218" s="102">
        <v>190</v>
      </c>
      <c r="J218" s="102">
        <v>78</v>
      </c>
      <c r="K218" s="102">
        <v>22</v>
      </c>
      <c r="L218" s="102">
        <v>74.3</v>
      </c>
      <c r="M218" s="102">
        <v>65.3</v>
      </c>
      <c r="N218" s="102">
        <v>12.1</v>
      </c>
      <c r="O218" s="102">
        <v>450</v>
      </c>
      <c r="P218" s="102">
        <v>270</v>
      </c>
      <c r="Q218" s="102">
        <v>355</v>
      </c>
      <c r="R218" s="102">
        <v>250</v>
      </c>
      <c r="T218" s="102">
        <f t="shared" si="3"/>
        <v>0</v>
      </c>
      <c r="W218">
        <v>34108</v>
      </c>
      <c r="X218">
        <v>42119</v>
      </c>
      <c r="Y218">
        <v>24715</v>
      </c>
      <c r="Z218">
        <v>37178</v>
      </c>
      <c r="AA218">
        <v>17874</v>
      </c>
      <c r="AB218" s="102">
        <v>585</v>
      </c>
      <c r="AC218" s="102">
        <v>1700</v>
      </c>
      <c r="AD218" s="102">
        <v>775</v>
      </c>
      <c r="AE218" s="102">
        <v>175</v>
      </c>
      <c r="AF218" s="102">
        <v>1.8667566402738613</v>
      </c>
      <c r="AG218" s="102">
        <v>0.54196160524079851</v>
      </c>
      <c r="AH218" s="102">
        <v>0.12043591227573298</v>
      </c>
      <c r="AI218" s="102">
        <v>0.24087182455146597</v>
      </c>
      <c r="AJ218" s="102">
        <v>2.3485002893767932</v>
      </c>
      <c r="AK218" s="102">
        <v>0.42152569296506542</v>
      </c>
      <c r="AL218" s="102">
        <v>1.5656668595845287</v>
      </c>
      <c r="AM218" s="102">
        <v>0.90326934206799747</v>
      </c>
      <c r="AN218" s="102">
        <v>0.12043591227573298</v>
      </c>
      <c r="AO218" s="102">
        <v>0.12043591227573298</v>
      </c>
      <c r="AP218" s="102">
        <v>0</v>
      </c>
      <c r="AQ218" s="102">
        <v>0.18065386841359948</v>
      </c>
      <c r="AR218" s="102">
        <v>0</v>
      </c>
      <c r="AS218" s="102">
        <v>0.12043591227573298</v>
      </c>
      <c r="AT218" s="102">
        <v>2.5893721139282593</v>
      </c>
      <c r="AU218" s="102">
        <v>1.7463207279981283</v>
      </c>
      <c r="AV218" s="102">
        <v>0.12043591227573298</v>
      </c>
      <c r="AW218" s="102">
        <v>1.20435912275733</v>
      </c>
      <c r="AX218" s="102">
        <v>0.30108978068933251</v>
      </c>
      <c r="AY218" s="102">
        <v>2.1076284648253272</v>
      </c>
    </row>
    <row r="219" spans="1:51" s="103" customFormat="1">
      <c r="A219" s="105" t="s">
        <v>367</v>
      </c>
      <c r="O219" s="105"/>
      <c r="P219" s="105"/>
      <c r="Q219" s="105"/>
      <c r="R219" s="105"/>
      <c r="S219" s="105"/>
      <c r="T219" s="103">
        <f t="shared" si="3"/>
        <v>0</v>
      </c>
      <c r="U219" s="105"/>
      <c r="V219" s="105"/>
      <c r="W219"/>
      <c r="X219"/>
      <c r="Y219"/>
      <c r="Z219"/>
      <c r="AA219"/>
      <c r="AB219" s="103">
        <v>0</v>
      </c>
      <c r="AC219" s="103">
        <v>0</v>
      </c>
      <c r="AD219" s="103">
        <v>0</v>
      </c>
      <c r="AE219" s="103">
        <v>0</v>
      </c>
      <c r="AF219" s="102" t="e">
        <v>#N/A</v>
      </c>
      <c r="AG219" s="102" t="e">
        <v>#N/A</v>
      </c>
      <c r="AH219" s="102" t="e">
        <v>#N/A</v>
      </c>
      <c r="AI219" s="102" t="e">
        <v>#N/A</v>
      </c>
      <c r="AJ219" s="102" t="e">
        <v>#N/A</v>
      </c>
      <c r="AK219" s="102" t="e">
        <v>#N/A</v>
      </c>
      <c r="AL219" s="102" t="e">
        <v>#N/A</v>
      </c>
      <c r="AM219" s="102" t="e">
        <v>#N/A</v>
      </c>
      <c r="AN219" s="102" t="e">
        <v>#N/A</v>
      </c>
      <c r="AO219" s="102" t="e">
        <v>#N/A</v>
      </c>
      <c r="AP219" s="102" t="e">
        <v>#N/A</v>
      </c>
      <c r="AQ219" s="102" t="e">
        <v>#N/A</v>
      </c>
      <c r="AR219" s="102" t="e">
        <v>#N/A</v>
      </c>
      <c r="AS219" s="102" t="e">
        <v>#N/A</v>
      </c>
      <c r="AT219" s="102" t="e">
        <v>#N/A</v>
      </c>
      <c r="AU219" s="102" t="e">
        <v>#N/A</v>
      </c>
      <c r="AV219" s="102" t="e">
        <v>#N/A</v>
      </c>
      <c r="AW219" s="102" t="e">
        <v>#N/A</v>
      </c>
      <c r="AX219" s="102" t="e">
        <v>#N/A</v>
      </c>
      <c r="AY219" s="102" t="e">
        <v>#N/A</v>
      </c>
    </row>
    <row r="220" spans="1:51" s="103" customFormat="1">
      <c r="A220" s="105" t="s">
        <v>368</v>
      </c>
      <c r="O220" s="105"/>
      <c r="P220" s="105"/>
      <c r="Q220" s="105"/>
      <c r="R220" s="105"/>
      <c r="S220" s="105"/>
      <c r="T220" s="103">
        <f t="shared" si="3"/>
        <v>0</v>
      </c>
      <c r="U220" s="105"/>
      <c r="V220" s="105"/>
      <c r="W220"/>
      <c r="X220"/>
      <c r="Y220"/>
      <c r="Z220"/>
      <c r="AA220"/>
      <c r="AB220" s="103">
        <v>0</v>
      </c>
      <c r="AC220" s="103">
        <v>0</v>
      </c>
      <c r="AD220" s="103">
        <v>0</v>
      </c>
      <c r="AE220" s="103">
        <v>0</v>
      </c>
      <c r="AF220" s="102" t="e">
        <v>#N/A</v>
      </c>
      <c r="AG220" s="102" t="e">
        <v>#N/A</v>
      </c>
      <c r="AH220" s="102" t="e">
        <v>#N/A</v>
      </c>
      <c r="AI220" s="102" t="e">
        <v>#N/A</v>
      </c>
      <c r="AJ220" s="102" t="e">
        <v>#N/A</v>
      </c>
      <c r="AK220" s="102" t="e">
        <v>#N/A</v>
      </c>
      <c r="AL220" s="102" t="e">
        <v>#N/A</v>
      </c>
      <c r="AM220" s="102" t="e">
        <v>#N/A</v>
      </c>
      <c r="AN220" s="102" t="e">
        <v>#N/A</v>
      </c>
      <c r="AO220" s="102" t="e">
        <v>#N/A</v>
      </c>
      <c r="AP220" s="102" t="e">
        <v>#N/A</v>
      </c>
      <c r="AQ220" s="102" t="e">
        <v>#N/A</v>
      </c>
      <c r="AR220" s="102" t="e">
        <v>#N/A</v>
      </c>
      <c r="AS220" s="102" t="e">
        <v>#N/A</v>
      </c>
      <c r="AT220" s="102" t="e">
        <v>#N/A</v>
      </c>
      <c r="AU220" s="102" t="e">
        <v>#N/A</v>
      </c>
      <c r="AV220" s="102" t="e">
        <v>#N/A</v>
      </c>
      <c r="AW220" s="102" t="e">
        <v>#N/A</v>
      </c>
      <c r="AX220" s="102" t="e">
        <v>#N/A</v>
      </c>
      <c r="AY220" s="102" t="e">
        <v>#N/A</v>
      </c>
    </row>
    <row r="221" spans="1:51" s="105" customFormat="1">
      <c r="A221" s="105" t="s">
        <v>562</v>
      </c>
      <c r="B221" s="103"/>
      <c r="C221" s="103"/>
      <c r="D221" s="103"/>
      <c r="E221" s="103"/>
      <c r="F221" s="103"/>
      <c r="G221" s="103"/>
      <c r="H221" s="103"/>
      <c r="I221" s="103"/>
      <c r="J221" s="103"/>
      <c r="K221" s="103"/>
      <c r="L221" s="103"/>
      <c r="M221" s="103"/>
      <c r="N221" s="103"/>
      <c r="T221" s="103">
        <f t="shared" si="3"/>
        <v>0</v>
      </c>
      <c r="W221"/>
      <c r="X221"/>
      <c r="Y221"/>
      <c r="Z221"/>
      <c r="AA221"/>
      <c r="AB221" s="105">
        <v>0</v>
      </c>
      <c r="AC221" s="105">
        <v>0</v>
      </c>
      <c r="AD221" s="105">
        <v>0</v>
      </c>
      <c r="AE221" s="105">
        <v>0</v>
      </c>
      <c r="AF221" s="102" t="e">
        <v>#N/A</v>
      </c>
      <c r="AG221" s="102" t="e">
        <v>#N/A</v>
      </c>
      <c r="AH221" s="102" t="e">
        <v>#N/A</v>
      </c>
      <c r="AI221" s="102" t="e">
        <v>#N/A</v>
      </c>
      <c r="AJ221" s="102" t="e">
        <v>#N/A</v>
      </c>
      <c r="AK221" s="102" t="e">
        <v>#N/A</v>
      </c>
      <c r="AL221" s="102" t="e">
        <v>#N/A</v>
      </c>
      <c r="AM221" s="102" t="e">
        <v>#N/A</v>
      </c>
      <c r="AN221" s="102" t="e">
        <v>#N/A</v>
      </c>
      <c r="AO221" s="102" t="e">
        <v>#N/A</v>
      </c>
      <c r="AP221" s="102" t="e">
        <v>#N/A</v>
      </c>
      <c r="AQ221" s="102" t="e">
        <v>#N/A</v>
      </c>
      <c r="AR221" s="102" t="e">
        <v>#N/A</v>
      </c>
      <c r="AS221" s="102" t="e">
        <v>#N/A</v>
      </c>
      <c r="AT221" s="102" t="e">
        <v>#N/A</v>
      </c>
      <c r="AU221" s="102" t="e">
        <v>#N/A</v>
      </c>
      <c r="AV221" s="102" t="e">
        <v>#N/A</v>
      </c>
      <c r="AW221" s="102" t="e">
        <v>#N/A</v>
      </c>
      <c r="AX221" s="102" t="e">
        <v>#N/A</v>
      </c>
      <c r="AY221" s="102" t="e">
        <v>#N/A</v>
      </c>
    </row>
    <row r="222" spans="1:51" customFormat="1">
      <c r="A222" s="102" t="s">
        <v>369</v>
      </c>
      <c r="B222" s="102">
        <v>2120</v>
      </c>
      <c r="C222" s="102">
        <v>2120</v>
      </c>
      <c r="D222" s="102">
        <v>0.8</v>
      </c>
      <c r="E222" s="102">
        <v>53417</v>
      </c>
      <c r="F222" s="102">
        <v>4.7</v>
      </c>
      <c r="G222" s="102">
        <v>995</v>
      </c>
      <c r="H222" s="102">
        <v>230</v>
      </c>
      <c r="I222" s="102">
        <v>45</v>
      </c>
      <c r="J222" s="102">
        <v>72.900000000000006</v>
      </c>
      <c r="K222" s="102">
        <v>26.6</v>
      </c>
      <c r="L222" s="102">
        <v>54.6</v>
      </c>
      <c r="M222" s="102">
        <v>52.1</v>
      </c>
      <c r="N222" s="102">
        <v>4.5999999999999996</v>
      </c>
      <c r="O222" s="102">
        <v>535</v>
      </c>
      <c r="P222" s="102">
        <v>180</v>
      </c>
      <c r="Q222" s="102">
        <v>270</v>
      </c>
      <c r="R222" s="102">
        <v>215</v>
      </c>
      <c r="S222" s="102"/>
      <c r="T222" s="102">
        <f t="shared" si="3"/>
        <v>0</v>
      </c>
      <c r="U222" s="102"/>
      <c r="V222" s="102"/>
      <c r="W222">
        <v>24064</v>
      </c>
      <c r="X222">
        <v>29140</v>
      </c>
      <c r="Y222">
        <v>18806</v>
      </c>
      <c r="Z222">
        <v>26189</v>
      </c>
      <c r="AA222">
        <v>17068</v>
      </c>
      <c r="AB222">
        <v>340</v>
      </c>
      <c r="AC222">
        <v>1155</v>
      </c>
      <c r="AD222">
        <v>585</v>
      </c>
      <c r="AE222">
        <v>625</v>
      </c>
      <c r="AF222" s="102">
        <v>1.909063614586106</v>
      </c>
      <c r="AG222" s="102">
        <v>0.173551237689646</v>
      </c>
      <c r="AH222" s="102">
        <v>0.173551237689646</v>
      </c>
      <c r="AI222" s="102">
        <v>0.52065371306893804</v>
      </c>
      <c r="AJ222" s="102">
        <v>1.1280830449826988</v>
      </c>
      <c r="AK222" s="102">
        <v>0.95453180729305298</v>
      </c>
      <c r="AL222" s="102">
        <v>2.8635954218791593</v>
      </c>
      <c r="AM222" s="102">
        <v>0.60742933191376092</v>
      </c>
      <c r="AN222" s="102">
        <v>0</v>
      </c>
      <c r="AO222" s="102">
        <v>0.60742933191376092</v>
      </c>
      <c r="AP222" s="102">
        <v>0</v>
      </c>
      <c r="AQ222" s="102">
        <v>0.26032685653446902</v>
      </c>
      <c r="AR222" s="102">
        <v>0</v>
      </c>
      <c r="AS222" s="102">
        <v>0.26032685653446902</v>
      </c>
      <c r="AT222" s="102">
        <v>1.0413074261378761</v>
      </c>
      <c r="AU222" s="102">
        <v>2.9503710407239816</v>
      </c>
      <c r="AV222" s="102">
        <v>0</v>
      </c>
      <c r="AW222" s="102">
        <v>1.301634282672345</v>
      </c>
      <c r="AX222" s="102">
        <v>0.780980569603407</v>
      </c>
      <c r="AY222" s="102">
        <v>0.95453180729305298</v>
      </c>
    </row>
    <row r="223" spans="1:51" s="105" customFormat="1">
      <c r="A223" s="103" t="s">
        <v>226</v>
      </c>
      <c r="B223" s="103">
        <v>280</v>
      </c>
      <c r="C223" s="103">
        <v>275</v>
      </c>
      <c r="D223" s="103">
        <v>2</v>
      </c>
      <c r="E223" s="103">
        <v>30285</v>
      </c>
      <c r="F223" s="103">
        <v>0</v>
      </c>
      <c r="G223" s="103">
        <v>80</v>
      </c>
      <c r="H223" s="103">
        <v>25</v>
      </c>
      <c r="I223" s="103">
        <v>40</v>
      </c>
      <c r="J223" s="103">
        <v>12.5</v>
      </c>
      <c r="K223" s="103">
        <v>0</v>
      </c>
      <c r="L223" s="103">
        <v>41.2</v>
      </c>
      <c r="M223" s="103">
        <v>35.299999999999997</v>
      </c>
      <c r="N223" s="103">
        <v>14.3</v>
      </c>
      <c r="O223" s="103">
        <v>10</v>
      </c>
      <c r="P223" s="103">
        <v>10</v>
      </c>
      <c r="Q223" s="103">
        <v>25</v>
      </c>
      <c r="R223" s="103">
        <v>15</v>
      </c>
      <c r="S223" s="103"/>
      <c r="T223" s="103" t="str">
        <f t="shared" si="3"/>
        <v>Kinonjeoshtegon First Nation</v>
      </c>
      <c r="U223" s="103"/>
      <c r="V223" s="103"/>
      <c r="W223">
        <v>17470</v>
      </c>
      <c r="X223">
        <v>18623</v>
      </c>
      <c r="Y223">
        <v>16485</v>
      </c>
      <c r="Z223">
        <v>8288</v>
      </c>
      <c r="AA223">
        <v>10912</v>
      </c>
      <c r="AB223" s="105">
        <v>115</v>
      </c>
      <c r="AC223" s="105">
        <v>180</v>
      </c>
      <c r="AD223" s="105">
        <v>50</v>
      </c>
      <c r="AE223" s="105">
        <v>20</v>
      </c>
      <c r="AF223" s="102">
        <v>4.8346416213544234</v>
      </c>
      <c r="AG223" s="102">
        <v>0</v>
      </c>
      <c r="AH223" s="102">
        <v>0</v>
      </c>
      <c r="AI223" s="102">
        <v>2.4173208106772117</v>
      </c>
      <c r="AJ223" s="102">
        <v>0</v>
      </c>
      <c r="AK223" s="102">
        <v>0</v>
      </c>
      <c r="AL223" s="102">
        <v>0</v>
      </c>
      <c r="AM223" s="102">
        <v>0</v>
      </c>
      <c r="AN223" s="102">
        <v>0</v>
      </c>
      <c r="AO223" s="102">
        <v>0</v>
      </c>
      <c r="AP223" s="102">
        <v>0</v>
      </c>
      <c r="AQ223" s="102">
        <v>0</v>
      </c>
      <c r="AR223" s="102">
        <v>0</v>
      </c>
      <c r="AS223" s="102">
        <v>0</v>
      </c>
      <c r="AT223" s="102">
        <v>6.0433020266930306</v>
      </c>
      <c r="AU223" s="102">
        <v>2.4173208106772117</v>
      </c>
      <c r="AV223" s="102">
        <v>0</v>
      </c>
      <c r="AW223" s="102">
        <v>0</v>
      </c>
      <c r="AX223" s="102">
        <v>0</v>
      </c>
      <c r="AY223" s="102">
        <v>2.4173208106772117</v>
      </c>
    </row>
    <row r="224" spans="1:51">
      <c r="A224" s="102" t="s">
        <v>371</v>
      </c>
      <c r="B224" s="102">
        <v>3655</v>
      </c>
      <c r="C224" s="102">
        <v>3660</v>
      </c>
      <c r="D224" s="102">
        <v>1.6</v>
      </c>
      <c r="E224" s="102">
        <v>61855</v>
      </c>
      <c r="F224" s="102">
        <v>8</v>
      </c>
      <c r="G224" s="102">
        <v>1135</v>
      </c>
      <c r="H224" s="102">
        <v>415</v>
      </c>
      <c r="I224" s="102">
        <v>45</v>
      </c>
      <c r="J224" s="102">
        <v>84.6</v>
      </c>
      <c r="K224" s="102">
        <v>15.9</v>
      </c>
      <c r="L224" s="102">
        <v>73.099999999999994</v>
      </c>
      <c r="M224" s="102">
        <v>71.2</v>
      </c>
      <c r="N224" s="102">
        <v>2.6</v>
      </c>
      <c r="O224" s="102">
        <v>880</v>
      </c>
      <c r="P224" s="102">
        <v>255</v>
      </c>
      <c r="Q224" s="102">
        <v>380</v>
      </c>
      <c r="R224" s="102">
        <v>250</v>
      </c>
      <c r="T224" s="102">
        <f t="shared" si="3"/>
        <v>0</v>
      </c>
      <c r="W224">
        <v>24900</v>
      </c>
      <c r="X224">
        <v>27558</v>
      </c>
      <c r="Y224">
        <v>21457</v>
      </c>
      <c r="Z224">
        <v>26691</v>
      </c>
      <c r="AA224">
        <v>14264</v>
      </c>
      <c r="AB224" s="102">
        <v>980</v>
      </c>
      <c r="AC224" s="102">
        <v>2460</v>
      </c>
      <c r="AD224" s="102">
        <v>790</v>
      </c>
      <c r="AE224" s="102">
        <v>185</v>
      </c>
      <c r="AF224" s="102">
        <v>2.9428253347374755</v>
      </c>
      <c r="AG224" s="102">
        <v>0.17310737263161621</v>
      </c>
      <c r="AH224" s="102">
        <v>0</v>
      </c>
      <c r="AI224" s="102">
        <v>1.6445200400003539</v>
      </c>
      <c r="AJ224" s="102">
        <v>2.9428253347374755</v>
      </c>
      <c r="AK224" s="102">
        <v>0.34621474526323243</v>
      </c>
      <c r="AL224" s="102">
        <v>1.0386442357896972</v>
      </c>
      <c r="AM224" s="102">
        <v>1.6877968831582579</v>
      </c>
      <c r="AN224" s="102">
        <v>0.17310737263161621</v>
      </c>
      <c r="AO224" s="102">
        <v>0.12983052947371215</v>
      </c>
      <c r="AP224" s="102">
        <v>8.6553686315808107E-2</v>
      </c>
      <c r="AQ224" s="102">
        <v>0.34621474526323243</v>
      </c>
      <c r="AR224" s="102">
        <v>0</v>
      </c>
      <c r="AS224" s="102">
        <v>0.30293790210532834</v>
      </c>
      <c r="AT224" s="102">
        <v>1.1251979221055055</v>
      </c>
      <c r="AU224" s="102">
        <v>2.0772884715793944</v>
      </c>
      <c r="AV224" s="102">
        <v>0.25966105894742431</v>
      </c>
      <c r="AW224" s="102">
        <v>0.86553686315808098</v>
      </c>
      <c r="AX224" s="102">
        <v>0.38949158842113646</v>
      </c>
      <c r="AY224" s="102">
        <v>0.38949158842113646</v>
      </c>
    </row>
    <row r="225" spans="1:51">
      <c r="A225" s="102" t="s">
        <v>374</v>
      </c>
      <c r="B225" s="102">
        <v>975</v>
      </c>
      <c r="C225" s="102">
        <v>975</v>
      </c>
      <c r="D225" s="102">
        <v>0.8</v>
      </c>
      <c r="E225" s="102">
        <v>60766</v>
      </c>
      <c r="F225" s="102">
        <v>5.2</v>
      </c>
      <c r="G225" s="102">
        <v>480</v>
      </c>
      <c r="H225" s="102">
        <v>135</v>
      </c>
      <c r="I225" s="102">
        <v>65</v>
      </c>
      <c r="J225" s="102">
        <v>57.3</v>
      </c>
      <c r="K225" s="102">
        <v>42.7</v>
      </c>
      <c r="L225" s="102">
        <v>55.4</v>
      </c>
      <c r="M225" s="102">
        <v>51.2</v>
      </c>
      <c r="N225" s="102">
        <v>7.6</v>
      </c>
      <c r="O225" s="102">
        <v>155</v>
      </c>
      <c r="P225" s="102">
        <v>150</v>
      </c>
      <c r="Q225" s="102">
        <v>85</v>
      </c>
      <c r="R225" s="102">
        <v>140</v>
      </c>
      <c r="T225" s="102">
        <f t="shared" si="3"/>
        <v>0</v>
      </c>
      <c r="W225">
        <v>24852</v>
      </c>
      <c r="X225">
        <v>29272</v>
      </c>
      <c r="Y225">
        <v>20417</v>
      </c>
      <c r="Z225">
        <v>25458</v>
      </c>
      <c r="AA225">
        <v>18176</v>
      </c>
      <c r="AB225" s="102">
        <v>155</v>
      </c>
      <c r="AC225" s="102">
        <v>550</v>
      </c>
      <c r="AD225" s="102">
        <v>270</v>
      </c>
      <c r="AE225" s="102">
        <v>250</v>
      </c>
      <c r="AF225" s="102">
        <v>0.36785316684218444</v>
      </c>
      <c r="AG225" s="102">
        <v>1.2874860839476456</v>
      </c>
      <c r="AH225" s="102">
        <v>0.91963291710546113</v>
      </c>
      <c r="AI225" s="102">
        <v>0.55177975026327664</v>
      </c>
      <c r="AJ225" s="102">
        <v>0</v>
      </c>
      <c r="AK225" s="102">
        <v>0</v>
      </c>
      <c r="AL225" s="102">
        <v>2.0231924176320146</v>
      </c>
      <c r="AM225" s="102">
        <v>0</v>
      </c>
      <c r="AN225" s="102">
        <v>0.55177975026327664</v>
      </c>
      <c r="AO225" s="102">
        <v>0.91963291710546113</v>
      </c>
      <c r="AP225" s="102">
        <v>0</v>
      </c>
      <c r="AQ225" s="102">
        <v>0</v>
      </c>
      <c r="AR225" s="102">
        <v>0</v>
      </c>
      <c r="AS225" s="102">
        <v>0.36785316684218444</v>
      </c>
      <c r="AT225" s="102">
        <v>1.2874860839476456</v>
      </c>
      <c r="AU225" s="102">
        <v>2.7588987513163832</v>
      </c>
      <c r="AV225" s="102">
        <v>0</v>
      </c>
      <c r="AW225" s="102">
        <v>2.0231924176320146</v>
      </c>
      <c r="AX225" s="102">
        <v>2.3910455844741989</v>
      </c>
      <c r="AY225" s="102">
        <v>0.91963291710546113</v>
      </c>
    </row>
    <row r="226" spans="1:51" s="103" customFormat="1">
      <c r="A226" s="108" t="s">
        <v>778</v>
      </c>
      <c r="B226" s="103">
        <v>2775</v>
      </c>
      <c r="C226" s="103">
        <v>2680</v>
      </c>
      <c r="D226" s="103">
        <v>0.7</v>
      </c>
      <c r="E226" s="103">
        <v>65338</v>
      </c>
      <c r="F226" s="103">
        <v>4.5</v>
      </c>
      <c r="G226" s="103">
        <v>1165</v>
      </c>
      <c r="H226" s="103">
        <v>430</v>
      </c>
      <c r="I226" s="103">
        <v>115</v>
      </c>
      <c r="J226" s="103">
        <v>92.7</v>
      </c>
      <c r="K226" s="103">
        <v>7.3</v>
      </c>
      <c r="L226" s="103">
        <v>61.9</v>
      </c>
      <c r="M226" s="103">
        <v>58.2</v>
      </c>
      <c r="N226" s="103">
        <v>5.7</v>
      </c>
      <c r="O226" s="103">
        <v>445</v>
      </c>
      <c r="P226" s="103">
        <v>495</v>
      </c>
      <c r="Q226" s="103">
        <v>420</v>
      </c>
      <c r="R226" s="103">
        <v>270</v>
      </c>
      <c r="T226" s="103">
        <f t="shared" si="3"/>
        <v>0</v>
      </c>
      <c r="W226">
        <v>27935</v>
      </c>
      <c r="X226">
        <v>32229</v>
      </c>
      <c r="Y226">
        <v>22935</v>
      </c>
      <c r="Z226">
        <v>33120</v>
      </c>
      <c r="AA226">
        <v>19301</v>
      </c>
      <c r="AB226" s="103">
        <v>360</v>
      </c>
      <c r="AC226" s="103">
        <v>1845</v>
      </c>
      <c r="AD226" s="103">
        <v>1085</v>
      </c>
      <c r="AE226" s="103">
        <v>545</v>
      </c>
      <c r="AF226" s="102">
        <v>2.0939334112555117</v>
      </c>
      <c r="AG226" s="102">
        <v>0.90548471838076172</v>
      </c>
      <c r="AH226" s="102">
        <v>1.1318558979759521</v>
      </c>
      <c r="AI226" s="102">
        <v>1.5280054622675354</v>
      </c>
      <c r="AJ226" s="102">
        <v>0.56592794898797605</v>
      </c>
      <c r="AK226" s="102">
        <v>0.33955676939278567</v>
      </c>
      <c r="AL226" s="102">
        <v>1.6977838469639281</v>
      </c>
      <c r="AM226" s="102">
        <v>0.45274235919038086</v>
      </c>
      <c r="AN226" s="102">
        <v>0</v>
      </c>
      <c r="AO226" s="102">
        <v>0.11318558979759522</v>
      </c>
      <c r="AP226" s="102">
        <v>0.16977838469639284</v>
      </c>
      <c r="AQ226" s="102">
        <v>0.50933515408917851</v>
      </c>
      <c r="AR226" s="102">
        <v>0</v>
      </c>
      <c r="AS226" s="102">
        <v>0.56592794898797605</v>
      </c>
      <c r="AT226" s="102">
        <v>1.018670308178357</v>
      </c>
      <c r="AU226" s="102">
        <v>1.9241550265591185</v>
      </c>
      <c r="AV226" s="102">
        <v>0.28296397449398802</v>
      </c>
      <c r="AW226" s="102">
        <v>1.1318558979759521</v>
      </c>
      <c r="AX226" s="102">
        <v>0.96207751327955926</v>
      </c>
      <c r="AY226" s="102">
        <v>0.96207751327955926</v>
      </c>
    </row>
    <row r="227" spans="1:51" s="103" customFormat="1">
      <c r="A227" s="103" t="s">
        <v>227</v>
      </c>
      <c r="B227" s="103">
        <v>615</v>
      </c>
      <c r="C227" s="103">
        <v>615</v>
      </c>
      <c r="D227" s="103">
        <v>1.9</v>
      </c>
      <c r="E227" s="103">
        <v>28290</v>
      </c>
      <c r="F227" s="103">
        <v>0</v>
      </c>
      <c r="G227" s="103">
        <v>180</v>
      </c>
      <c r="H227" s="103">
        <v>50</v>
      </c>
      <c r="I227" s="103">
        <v>100</v>
      </c>
      <c r="J227" s="103">
        <v>19.399999999999999</v>
      </c>
      <c r="K227" s="103">
        <v>13.9</v>
      </c>
      <c r="L227" s="103">
        <v>40.799999999999997</v>
      </c>
      <c r="M227" s="103">
        <v>34.200000000000003</v>
      </c>
      <c r="N227" s="103">
        <v>19.399999999999999</v>
      </c>
      <c r="O227" s="103">
        <v>45</v>
      </c>
      <c r="P227" s="103">
        <v>10</v>
      </c>
      <c r="Q227" s="103">
        <v>20</v>
      </c>
      <c r="R227" s="103">
        <v>25</v>
      </c>
      <c r="T227" s="103" t="str">
        <f t="shared" si="3"/>
        <v>Lake Manitoba First Nation</v>
      </c>
      <c r="W227">
        <v>18345</v>
      </c>
      <c r="X227">
        <v>18007</v>
      </c>
      <c r="Y227">
        <v>18707</v>
      </c>
      <c r="Z227">
        <v>4752</v>
      </c>
      <c r="AA227">
        <v>10080</v>
      </c>
      <c r="AB227" s="103">
        <v>240</v>
      </c>
      <c r="AC227" s="103">
        <v>380</v>
      </c>
      <c r="AD227" s="103">
        <v>115</v>
      </c>
      <c r="AE227" s="103">
        <v>20</v>
      </c>
      <c r="AF227" s="102">
        <v>1.0916932693380959</v>
      </c>
      <c r="AG227" s="102">
        <v>0</v>
      </c>
      <c r="AH227" s="102">
        <v>0</v>
      </c>
      <c r="AI227" s="102">
        <v>1.0916932693380959</v>
      </c>
      <c r="AJ227" s="102">
        <v>0</v>
      </c>
      <c r="AK227" s="102">
        <v>0</v>
      </c>
      <c r="AL227" s="102">
        <v>1.6375399040071437</v>
      </c>
      <c r="AM227" s="102">
        <v>0</v>
      </c>
      <c r="AN227" s="102">
        <v>0</v>
      </c>
      <c r="AO227" s="102">
        <v>0</v>
      </c>
      <c r="AP227" s="102">
        <v>0</v>
      </c>
      <c r="AQ227" s="102">
        <v>0</v>
      </c>
      <c r="AR227" s="102">
        <v>0</v>
      </c>
      <c r="AS227" s="102">
        <v>1.0916932693380959</v>
      </c>
      <c r="AT227" s="102">
        <v>2.7292331733452393</v>
      </c>
      <c r="AU227" s="102">
        <v>3.2750798080142873</v>
      </c>
      <c r="AV227" s="102">
        <v>0</v>
      </c>
      <c r="AW227" s="102">
        <v>0</v>
      </c>
      <c r="AX227" s="102">
        <v>0</v>
      </c>
      <c r="AY227" s="102">
        <v>3.8209264426833349</v>
      </c>
    </row>
    <row r="228" spans="1:51" s="103" customFormat="1">
      <c r="A228" s="103" t="s">
        <v>228</v>
      </c>
      <c r="B228" s="103">
        <v>505</v>
      </c>
      <c r="C228" s="103">
        <v>505</v>
      </c>
      <c r="D228" s="103">
        <v>2.2000000000000002</v>
      </c>
      <c r="E228" s="103">
        <v>18665</v>
      </c>
      <c r="F228" s="103">
        <v>0</v>
      </c>
      <c r="G228" s="103">
        <v>130</v>
      </c>
      <c r="H228" s="103">
        <v>40</v>
      </c>
      <c r="I228" s="103">
        <v>80</v>
      </c>
      <c r="J228" s="103">
        <v>11.5</v>
      </c>
      <c r="K228" s="103">
        <v>0</v>
      </c>
      <c r="L228" s="103">
        <v>40.6</v>
      </c>
      <c r="M228" s="103">
        <v>29.7</v>
      </c>
      <c r="N228" s="103">
        <v>30.8</v>
      </c>
      <c r="O228" s="103">
        <v>40</v>
      </c>
      <c r="P228" s="103">
        <v>30</v>
      </c>
      <c r="Q228" s="103">
        <v>15</v>
      </c>
      <c r="R228" s="103">
        <v>20</v>
      </c>
      <c r="T228" s="103" t="str">
        <f t="shared" si="3"/>
        <v>Lake St. Martin First Nation</v>
      </c>
      <c r="W228">
        <v>16588</v>
      </c>
      <c r="X228">
        <v>10027</v>
      </c>
      <c r="Y228">
        <v>21919</v>
      </c>
      <c r="Z228">
        <v>712</v>
      </c>
      <c r="AA228">
        <v>5904</v>
      </c>
      <c r="AB228" s="103">
        <v>185</v>
      </c>
      <c r="AC228" s="103">
        <v>305</v>
      </c>
      <c r="AD228" s="103">
        <v>75</v>
      </c>
      <c r="AE228" s="103">
        <v>0</v>
      </c>
      <c r="AF228" s="102">
        <v>2.6032685653446901</v>
      </c>
      <c r="AG228" s="102">
        <v>0</v>
      </c>
      <c r="AH228" s="102">
        <v>0</v>
      </c>
      <c r="AI228" s="102">
        <v>1.301634282672345</v>
      </c>
      <c r="AJ228" s="102">
        <v>1.301634282672345</v>
      </c>
      <c r="AK228" s="102">
        <v>0</v>
      </c>
      <c r="AL228" s="102">
        <v>1.301634282672345</v>
      </c>
      <c r="AM228" s="102">
        <v>0</v>
      </c>
      <c r="AN228" s="102">
        <v>0</v>
      </c>
      <c r="AO228" s="102">
        <v>0</v>
      </c>
      <c r="AP228" s="102">
        <v>0</v>
      </c>
      <c r="AQ228" s="102">
        <v>0</v>
      </c>
      <c r="AR228" s="102">
        <v>0</v>
      </c>
      <c r="AS228" s="102">
        <v>1.301634282672345</v>
      </c>
      <c r="AT228" s="102">
        <v>3.2540857066808626</v>
      </c>
      <c r="AU228" s="102">
        <v>3.2540857066808626</v>
      </c>
      <c r="AV228" s="102">
        <v>0</v>
      </c>
      <c r="AW228" s="102">
        <v>0</v>
      </c>
      <c r="AX228" s="102">
        <v>0</v>
      </c>
      <c r="AY228" s="102">
        <v>3.2540857066808626</v>
      </c>
    </row>
    <row r="229" spans="1:51">
      <c r="A229" s="102" t="s">
        <v>647</v>
      </c>
      <c r="B229" s="102">
        <v>340</v>
      </c>
      <c r="C229" s="102">
        <v>340</v>
      </c>
      <c r="D229" s="102">
        <v>1</v>
      </c>
      <c r="E229" s="102">
        <v>47643</v>
      </c>
      <c r="F229" s="102">
        <v>0</v>
      </c>
      <c r="G229" s="102">
        <v>140</v>
      </c>
      <c r="H229" s="102">
        <v>65</v>
      </c>
      <c r="I229" s="102">
        <v>15</v>
      </c>
      <c r="J229" s="102">
        <v>71.400000000000006</v>
      </c>
      <c r="K229" s="102">
        <v>28.6</v>
      </c>
      <c r="L229" s="102">
        <v>64.8</v>
      </c>
      <c r="M229" s="102">
        <v>64.8</v>
      </c>
      <c r="N229" s="102">
        <v>5.7</v>
      </c>
      <c r="O229" s="102">
        <v>50</v>
      </c>
      <c r="P229" s="102">
        <v>25</v>
      </c>
      <c r="Q229" s="102">
        <v>15</v>
      </c>
      <c r="R229" s="102">
        <v>80</v>
      </c>
      <c r="T229" s="102">
        <f t="shared" si="3"/>
        <v>0</v>
      </c>
      <c r="W229">
        <v>22013</v>
      </c>
      <c r="X229">
        <v>27648</v>
      </c>
      <c r="Y229">
        <v>16720</v>
      </c>
      <c r="Z229">
        <v>20747</v>
      </c>
      <c r="AA229">
        <v>13446</v>
      </c>
      <c r="AB229" s="102">
        <v>55</v>
      </c>
      <c r="AC229" s="102">
        <v>240</v>
      </c>
      <c r="AD229" s="102">
        <v>120</v>
      </c>
      <c r="AE229" s="102">
        <v>30</v>
      </c>
      <c r="AF229" s="102">
        <v>6.7684982698961944</v>
      </c>
      <c r="AG229" s="102">
        <v>0</v>
      </c>
      <c r="AH229" s="102">
        <v>0</v>
      </c>
      <c r="AI229" s="102">
        <v>0.96692832427088482</v>
      </c>
      <c r="AJ229" s="102">
        <v>1.4503924864063273</v>
      </c>
      <c r="AK229" s="102">
        <v>0</v>
      </c>
      <c r="AL229" s="102">
        <v>2.4173208106772117</v>
      </c>
      <c r="AM229" s="102">
        <v>0</v>
      </c>
      <c r="AN229" s="102">
        <v>0</v>
      </c>
      <c r="AO229" s="102">
        <v>0</v>
      </c>
      <c r="AP229" s="102">
        <v>0</v>
      </c>
      <c r="AQ229" s="102">
        <v>0</v>
      </c>
      <c r="AR229" s="102">
        <v>0</v>
      </c>
      <c r="AS229" s="102">
        <v>0</v>
      </c>
      <c r="AT229" s="102">
        <v>1.9338566485417696</v>
      </c>
      <c r="AU229" s="102">
        <v>0.96692832427088482</v>
      </c>
      <c r="AV229" s="102">
        <v>0</v>
      </c>
      <c r="AW229" s="102">
        <v>0</v>
      </c>
      <c r="AX229" s="102">
        <v>0</v>
      </c>
      <c r="AY229" s="102">
        <v>1.4503924864063273</v>
      </c>
    </row>
    <row r="230" spans="1:51">
      <c r="A230" s="102" t="s">
        <v>663</v>
      </c>
      <c r="B230" s="102">
        <v>785</v>
      </c>
      <c r="C230" s="102">
        <v>745</v>
      </c>
      <c r="D230" s="102">
        <v>1</v>
      </c>
      <c r="E230" s="102">
        <v>68464</v>
      </c>
      <c r="F230" s="102">
        <v>8.3000000000000007</v>
      </c>
      <c r="G230" s="102">
        <v>275</v>
      </c>
      <c r="H230" s="102">
        <v>115</v>
      </c>
      <c r="I230" s="102">
        <v>15</v>
      </c>
      <c r="J230" s="102">
        <v>81.8</v>
      </c>
      <c r="K230" s="102">
        <v>20</v>
      </c>
      <c r="L230" s="102">
        <v>73.599999999999994</v>
      </c>
      <c r="M230" s="102">
        <v>68</v>
      </c>
      <c r="N230" s="102">
        <v>7.6</v>
      </c>
      <c r="O230" s="102">
        <v>145</v>
      </c>
      <c r="P230" s="102">
        <v>55</v>
      </c>
      <c r="Q230" s="102">
        <v>75</v>
      </c>
      <c r="R230" s="102">
        <v>135</v>
      </c>
      <c r="T230" s="102">
        <f t="shared" si="3"/>
        <v>0</v>
      </c>
      <c r="W230">
        <v>24405</v>
      </c>
      <c r="X230">
        <v>20743</v>
      </c>
      <c r="Y230">
        <v>28311</v>
      </c>
      <c r="Z230">
        <v>18545</v>
      </c>
      <c r="AA230">
        <v>24812</v>
      </c>
      <c r="AB230" s="102">
        <v>160</v>
      </c>
      <c r="AC230" s="102">
        <v>520</v>
      </c>
      <c r="AD230" s="102">
        <v>260</v>
      </c>
      <c r="AE230" s="102">
        <v>120</v>
      </c>
      <c r="AF230" s="102">
        <v>6.0695772528960434</v>
      </c>
      <c r="AG230" s="102">
        <v>0</v>
      </c>
      <c r="AH230" s="102">
        <v>0</v>
      </c>
      <c r="AI230" s="102">
        <v>1.4714126673687378</v>
      </c>
      <c r="AJ230" s="102">
        <v>0.73570633368436888</v>
      </c>
      <c r="AK230" s="102">
        <v>0.91963291710546113</v>
      </c>
      <c r="AL230" s="102">
        <v>1.1035595005265533</v>
      </c>
      <c r="AM230" s="102">
        <v>0</v>
      </c>
      <c r="AN230" s="102">
        <v>0.36785316684218444</v>
      </c>
      <c r="AO230" s="102">
        <v>0.36785316684218444</v>
      </c>
      <c r="AP230" s="102">
        <v>0.36785316684218444</v>
      </c>
      <c r="AQ230" s="102">
        <v>0</v>
      </c>
      <c r="AR230" s="102">
        <v>0</v>
      </c>
      <c r="AS230" s="102">
        <v>0.36785316684218444</v>
      </c>
      <c r="AT230" s="102">
        <v>2.3910455844741989</v>
      </c>
      <c r="AU230" s="102">
        <v>2.2071190010531065</v>
      </c>
      <c r="AV230" s="102">
        <v>0</v>
      </c>
      <c r="AW230" s="102">
        <v>0.55177975026327664</v>
      </c>
      <c r="AX230" s="102">
        <v>0</v>
      </c>
      <c r="AY230" s="102">
        <v>0.55177975026327664</v>
      </c>
    </row>
    <row r="231" spans="1:51">
      <c r="A231" s="102" t="s">
        <v>645</v>
      </c>
      <c r="B231" s="102">
        <v>710</v>
      </c>
      <c r="C231" s="102">
        <v>655</v>
      </c>
      <c r="D231" s="102">
        <v>0.8</v>
      </c>
      <c r="E231" s="102">
        <v>48869</v>
      </c>
      <c r="F231" s="102">
        <v>19</v>
      </c>
      <c r="G231" s="102">
        <v>275</v>
      </c>
      <c r="H231" s="102">
        <v>90</v>
      </c>
      <c r="I231" s="102">
        <v>45</v>
      </c>
      <c r="J231" s="102">
        <v>94.5</v>
      </c>
      <c r="K231" s="102">
        <v>5.5</v>
      </c>
      <c r="L231" s="102">
        <v>86.4</v>
      </c>
      <c r="M231" s="102">
        <v>86.4</v>
      </c>
      <c r="N231" s="102">
        <v>1.9</v>
      </c>
      <c r="O231" s="102">
        <v>180</v>
      </c>
      <c r="P231" s="102">
        <v>50</v>
      </c>
      <c r="Q231" s="102">
        <v>80</v>
      </c>
      <c r="R231" s="102">
        <v>50</v>
      </c>
      <c r="T231" s="102">
        <f t="shared" si="3"/>
        <v>0</v>
      </c>
      <c r="W231">
        <v>18732</v>
      </c>
      <c r="X231">
        <v>18908</v>
      </c>
      <c r="Y231">
        <v>18450</v>
      </c>
      <c r="Z231">
        <v>15585</v>
      </c>
      <c r="AA231">
        <v>16479</v>
      </c>
      <c r="AB231" s="102">
        <v>80</v>
      </c>
      <c r="AC231" s="102">
        <v>490</v>
      </c>
      <c r="AD231" s="102">
        <v>230</v>
      </c>
      <c r="AE231" s="102">
        <v>125</v>
      </c>
      <c r="AF231" s="102">
        <v>10.1840830449827</v>
      </c>
      <c r="AG231" s="102">
        <v>0</v>
      </c>
      <c r="AH231" s="102">
        <v>0.31335640138408305</v>
      </c>
      <c r="AI231" s="102">
        <v>0</v>
      </c>
      <c r="AJ231" s="102">
        <v>1.2534256055363322</v>
      </c>
      <c r="AK231" s="102">
        <v>0</v>
      </c>
      <c r="AL231" s="102">
        <v>0.94006920415224904</v>
      </c>
      <c r="AM231" s="102">
        <v>0.47003460207612452</v>
      </c>
      <c r="AN231" s="102">
        <v>0</v>
      </c>
      <c r="AO231" s="102">
        <v>0.47003460207612452</v>
      </c>
      <c r="AP231" s="102">
        <v>0.31335640138408305</v>
      </c>
      <c r="AQ231" s="102">
        <v>0</v>
      </c>
      <c r="AR231" s="102">
        <v>0</v>
      </c>
      <c r="AS231" s="102">
        <v>0</v>
      </c>
      <c r="AT231" s="102">
        <v>0.94006920415224904</v>
      </c>
      <c r="AU231" s="102">
        <v>0.94006920415224904</v>
      </c>
      <c r="AV231" s="102">
        <v>0</v>
      </c>
      <c r="AW231" s="102">
        <v>0</v>
      </c>
      <c r="AX231" s="102">
        <v>0.6267128027681661</v>
      </c>
      <c r="AY231" s="102">
        <v>0.31335640138408305</v>
      </c>
    </row>
    <row r="232" spans="1:51">
      <c r="A232" s="102" t="s">
        <v>550</v>
      </c>
      <c r="B232" s="102">
        <v>500</v>
      </c>
      <c r="C232" s="102">
        <v>500</v>
      </c>
      <c r="D232" s="102">
        <v>0.7</v>
      </c>
      <c r="E232" s="102">
        <v>39819</v>
      </c>
      <c r="F232" s="102">
        <v>25</v>
      </c>
      <c r="G232" s="102">
        <v>225</v>
      </c>
      <c r="H232" s="102">
        <v>80</v>
      </c>
      <c r="I232" s="102">
        <v>35</v>
      </c>
      <c r="J232" s="102">
        <v>91.1</v>
      </c>
      <c r="K232" s="102">
        <v>8.9</v>
      </c>
      <c r="L232" s="102">
        <v>62.6</v>
      </c>
      <c r="M232" s="102">
        <v>57.1</v>
      </c>
      <c r="N232" s="102">
        <v>8.8000000000000007</v>
      </c>
      <c r="O232" s="102">
        <v>105</v>
      </c>
      <c r="P232" s="102">
        <v>60</v>
      </c>
      <c r="Q232" s="102">
        <v>25</v>
      </c>
      <c r="R232" s="102">
        <v>50</v>
      </c>
      <c r="T232" s="102">
        <f t="shared" si="3"/>
        <v>0</v>
      </c>
      <c r="W232">
        <v>18558</v>
      </c>
      <c r="X232">
        <v>22119</v>
      </c>
      <c r="Y232">
        <v>11636</v>
      </c>
      <c r="Z232">
        <v>13247</v>
      </c>
      <c r="AA232">
        <v>12907</v>
      </c>
      <c r="AB232" s="102">
        <v>35</v>
      </c>
      <c r="AC232" s="102">
        <v>305</v>
      </c>
      <c r="AD232" s="102">
        <v>165</v>
      </c>
      <c r="AE232" s="102">
        <v>130</v>
      </c>
      <c r="AF232" s="102">
        <v>9.4996466945911493</v>
      </c>
      <c r="AG232" s="102">
        <v>0</v>
      </c>
      <c r="AH232" s="102">
        <v>0</v>
      </c>
      <c r="AI232" s="102">
        <v>1.1874558368238937</v>
      </c>
      <c r="AJ232" s="102">
        <v>0.59372791841194683</v>
      </c>
      <c r="AK232" s="102">
        <v>0</v>
      </c>
      <c r="AL232" s="102">
        <v>0.59372791841194683</v>
      </c>
      <c r="AM232" s="102">
        <v>0</v>
      </c>
      <c r="AN232" s="102">
        <v>0</v>
      </c>
      <c r="AO232" s="102">
        <v>0.59372791841194683</v>
      </c>
      <c r="AP232" s="102">
        <v>0</v>
      </c>
      <c r="AQ232" s="102">
        <v>0</v>
      </c>
      <c r="AR232" s="102">
        <v>0</v>
      </c>
      <c r="AS232" s="102">
        <v>0</v>
      </c>
      <c r="AT232" s="102">
        <v>0</v>
      </c>
      <c r="AU232" s="102">
        <v>1.4843197960298671</v>
      </c>
      <c r="AV232" s="102">
        <v>0</v>
      </c>
      <c r="AW232" s="102">
        <v>0</v>
      </c>
      <c r="AX232" s="102">
        <v>0</v>
      </c>
      <c r="AY232" s="102">
        <v>1.4843197960298671</v>
      </c>
    </row>
    <row r="233" spans="1:51">
      <c r="A233" s="102" t="s">
        <v>376</v>
      </c>
      <c r="B233" s="102">
        <v>525</v>
      </c>
      <c r="C233" s="102">
        <v>520</v>
      </c>
      <c r="D233" s="102">
        <v>1.4</v>
      </c>
      <c r="E233" s="102">
        <v>45637</v>
      </c>
      <c r="F233" s="102">
        <v>20</v>
      </c>
      <c r="G233" s="102">
        <v>160</v>
      </c>
      <c r="H233" s="102">
        <v>50</v>
      </c>
      <c r="I233" s="102">
        <v>15</v>
      </c>
      <c r="J233" s="102">
        <v>78.099999999999994</v>
      </c>
      <c r="K233" s="102">
        <v>25</v>
      </c>
      <c r="L233" s="102">
        <v>57.1</v>
      </c>
      <c r="M233" s="102">
        <v>37.1</v>
      </c>
      <c r="N233" s="102">
        <v>35</v>
      </c>
      <c r="O233" s="102">
        <v>45</v>
      </c>
      <c r="P233" s="102">
        <v>40</v>
      </c>
      <c r="Q233" s="102">
        <v>45</v>
      </c>
      <c r="R233" s="102">
        <v>45</v>
      </c>
      <c r="T233" s="102">
        <f t="shared" si="3"/>
        <v>0</v>
      </c>
      <c r="W233">
        <v>19985</v>
      </c>
      <c r="X233">
        <v>15871</v>
      </c>
      <c r="Y233">
        <v>23803</v>
      </c>
      <c r="Z233">
        <v>15439</v>
      </c>
      <c r="AA233">
        <v>23684</v>
      </c>
      <c r="AB233" s="102">
        <v>160</v>
      </c>
      <c r="AC233" s="102">
        <v>305</v>
      </c>
      <c r="AD233" s="102">
        <v>155</v>
      </c>
      <c r="AE233" s="102">
        <v>25</v>
      </c>
      <c r="AF233" s="102">
        <v>0.8460622837370243</v>
      </c>
      <c r="AG233" s="102">
        <v>0.8460622837370243</v>
      </c>
      <c r="AH233" s="102">
        <v>0</v>
      </c>
      <c r="AI233" s="102">
        <v>0.8460622837370243</v>
      </c>
      <c r="AJ233" s="102">
        <v>1.6921245674740486</v>
      </c>
      <c r="AK233" s="102">
        <v>0.8460622837370243</v>
      </c>
      <c r="AL233" s="102">
        <v>0.8460622837370243</v>
      </c>
      <c r="AM233" s="102">
        <v>0.8460622837370243</v>
      </c>
      <c r="AN233" s="102">
        <v>0</v>
      </c>
      <c r="AO233" s="102">
        <v>0</v>
      </c>
      <c r="AP233" s="102">
        <v>0</v>
      </c>
      <c r="AQ233" s="102">
        <v>0</v>
      </c>
      <c r="AR233" s="102">
        <v>0</v>
      </c>
      <c r="AS233" s="102">
        <v>0</v>
      </c>
      <c r="AT233" s="102">
        <v>2.9612179930795848</v>
      </c>
      <c r="AU233" s="102">
        <v>0.8460622837370243</v>
      </c>
      <c r="AV233" s="102">
        <v>0</v>
      </c>
      <c r="AW233" s="102">
        <v>0.8460622837370243</v>
      </c>
      <c r="AX233" s="102">
        <v>0.8460622837370243</v>
      </c>
      <c r="AY233" s="102">
        <v>3.3842491349480972</v>
      </c>
    </row>
    <row r="234" spans="1:51">
      <c r="A234" t="s">
        <v>378</v>
      </c>
      <c r="B234" s="103">
        <v>5</v>
      </c>
      <c r="T234" s="102">
        <f t="shared" si="3"/>
        <v>0</v>
      </c>
      <c r="W234"/>
      <c r="X234"/>
      <c r="Y234"/>
      <c r="Z234"/>
      <c r="AA234"/>
      <c r="AB234" s="102">
        <v>0</v>
      </c>
      <c r="AC234" s="102">
        <v>0</v>
      </c>
      <c r="AD234" s="102">
        <v>0</v>
      </c>
      <c r="AE234" s="102">
        <v>0</v>
      </c>
      <c r="AF234" s="102" t="e">
        <v>#N/A</v>
      </c>
      <c r="AG234" s="102" t="e">
        <v>#N/A</v>
      </c>
      <c r="AH234" s="102" t="e">
        <v>#N/A</v>
      </c>
      <c r="AI234" s="102" t="e">
        <v>#N/A</v>
      </c>
      <c r="AJ234" s="102" t="e">
        <v>#N/A</v>
      </c>
      <c r="AK234" s="102" t="e">
        <v>#N/A</v>
      </c>
      <c r="AL234" s="102" t="e">
        <v>#N/A</v>
      </c>
      <c r="AM234" s="102" t="e">
        <v>#N/A</v>
      </c>
      <c r="AN234" s="102" t="e">
        <v>#N/A</v>
      </c>
      <c r="AO234" s="102" t="e">
        <v>#N/A</v>
      </c>
      <c r="AP234" s="102" t="e">
        <v>#N/A</v>
      </c>
      <c r="AQ234" s="102" t="e">
        <v>#N/A</v>
      </c>
      <c r="AR234" s="102" t="e">
        <v>#N/A</v>
      </c>
      <c r="AS234" s="102" t="e">
        <v>#N/A</v>
      </c>
      <c r="AT234" s="102" t="e">
        <v>#N/A</v>
      </c>
      <c r="AU234" s="102" t="e">
        <v>#N/A</v>
      </c>
      <c r="AV234" s="102" t="e">
        <v>#N/A</v>
      </c>
      <c r="AW234" s="102" t="e">
        <v>#N/A</v>
      </c>
      <c r="AX234" s="102" t="e">
        <v>#N/A</v>
      </c>
      <c r="AY234" s="102" t="e">
        <v>#N/A</v>
      </c>
    </row>
    <row r="235" spans="1:51" s="103" customFormat="1">
      <c r="A235" s="103" t="s">
        <v>229</v>
      </c>
      <c r="B235" s="103">
        <v>790</v>
      </c>
      <c r="C235" s="103">
        <v>790</v>
      </c>
      <c r="D235" s="103">
        <v>1.8</v>
      </c>
      <c r="E235" s="103">
        <v>33297</v>
      </c>
      <c r="F235" s="103">
        <v>0</v>
      </c>
      <c r="G235" s="103">
        <v>215</v>
      </c>
      <c r="H235" s="103">
        <v>40</v>
      </c>
      <c r="I235" s="103">
        <v>135</v>
      </c>
      <c r="J235" s="103">
        <v>4.7</v>
      </c>
      <c r="K235" s="103">
        <v>4.7</v>
      </c>
      <c r="L235" s="103">
        <v>45.5</v>
      </c>
      <c r="M235" s="103">
        <v>26.7</v>
      </c>
      <c r="N235" s="103">
        <v>39.1</v>
      </c>
      <c r="O235" s="103">
        <v>35</v>
      </c>
      <c r="P235" s="103">
        <v>10</v>
      </c>
      <c r="Q235" s="103">
        <v>10</v>
      </c>
      <c r="R235" s="103">
        <v>25</v>
      </c>
      <c r="T235" s="103" t="str">
        <f t="shared" si="3"/>
        <v>Little Grand Rapids First Nation</v>
      </c>
      <c r="W235">
        <v>22132</v>
      </c>
      <c r="X235">
        <v>23796</v>
      </c>
      <c r="Y235">
        <v>20239</v>
      </c>
      <c r="Z235">
        <v>5832</v>
      </c>
      <c r="AA235">
        <v>8304</v>
      </c>
      <c r="AB235" s="103">
        <v>285</v>
      </c>
      <c r="AC235" s="103">
        <v>480</v>
      </c>
      <c r="AD235" s="103">
        <v>105</v>
      </c>
      <c r="AE235" s="103">
        <v>50</v>
      </c>
      <c r="AF235" s="102">
        <v>0.73570633368436888</v>
      </c>
      <c r="AG235" s="102">
        <v>0</v>
      </c>
      <c r="AH235" s="102">
        <v>0</v>
      </c>
      <c r="AI235" s="102">
        <v>0</v>
      </c>
      <c r="AJ235" s="102">
        <v>0</v>
      </c>
      <c r="AK235" s="102">
        <v>0</v>
      </c>
      <c r="AL235" s="102">
        <v>0.73570633368436888</v>
      </c>
      <c r="AM235" s="102">
        <v>0.73570633368436888</v>
      </c>
      <c r="AN235" s="102">
        <v>0</v>
      </c>
      <c r="AO235" s="102">
        <v>0</v>
      </c>
      <c r="AP235" s="102">
        <v>0</v>
      </c>
      <c r="AQ235" s="102">
        <v>0</v>
      </c>
      <c r="AR235" s="102">
        <v>0</v>
      </c>
      <c r="AS235" s="102">
        <v>0</v>
      </c>
      <c r="AT235" s="102">
        <v>2.9428253347374755</v>
      </c>
      <c r="AU235" s="102">
        <v>2.5749721678952913</v>
      </c>
      <c r="AV235" s="102">
        <v>0</v>
      </c>
      <c r="AW235" s="102">
        <v>0</v>
      </c>
      <c r="AX235" s="102">
        <v>0.73570633368436888</v>
      </c>
      <c r="AY235" s="102">
        <v>3.3106785015796603</v>
      </c>
    </row>
    <row r="236" spans="1:51" s="103" customFormat="1">
      <c r="A236" s="103" t="s">
        <v>230</v>
      </c>
      <c r="B236" s="103">
        <v>445</v>
      </c>
      <c r="C236" s="103">
        <v>445</v>
      </c>
      <c r="D236" s="103">
        <v>2.1</v>
      </c>
      <c r="E236" s="103">
        <v>14825</v>
      </c>
      <c r="F236" s="103">
        <v>0</v>
      </c>
      <c r="G236" s="103">
        <v>105</v>
      </c>
      <c r="H236" s="103">
        <v>25</v>
      </c>
      <c r="I236" s="103">
        <v>60</v>
      </c>
      <c r="J236" s="103">
        <v>0</v>
      </c>
      <c r="K236" s="103">
        <v>9.5</v>
      </c>
      <c r="L236" s="103">
        <v>46.2</v>
      </c>
      <c r="M236" s="103">
        <v>32.700000000000003</v>
      </c>
      <c r="N236" s="103">
        <v>29.2</v>
      </c>
      <c r="O236" s="103">
        <v>30</v>
      </c>
      <c r="P236" s="103">
        <v>10</v>
      </c>
      <c r="Q236" s="103">
        <v>10</v>
      </c>
      <c r="R236" s="103">
        <v>20</v>
      </c>
      <c r="T236" s="103" t="str">
        <f t="shared" si="3"/>
        <v>Little Saskatchewan First Nation</v>
      </c>
      <c r="W236">
        <v>17032</v>
      </c>
      <c r="X236">
        <v>14909</v>
      </c>
      <c r="Y236">
        <v>19734</v>
      </c>
      <c r="Z236">
        <v>693</v>
      </c>
      <c r="AA236">
        <v>5461</v>
      </c>
      <c r="AB236" s="103">
        <v>180</v>
      </c>
      <c r="AC236" s="103">
        <v>245</v>
      </c>
      <c r="AD236" s="103">
        <v>70</v>
      </c>
      <c r="AE236" s="103">
        <v>10</v>
      </c>
      <c r="AF236" s="102">
        <v>1.4101038062283737</v>
      </c>
      <c r="AG236" s="102">
        <v>0</v>
      </c>
      <c r="AH236" s="102">
        <v>0</v>
      </c>
      <c r="AI236" s="102">
        <v>1.4101038062283737</v>
      </c>
      <c r="AJ236" s="102">
        <v>1.4101038062283737</v>
      </c>
      <c r="AK236" s="102">
        <v>0</v>
      </c>
      <c r="AL236" s="102">
        <v>0</v>
      </c>
      <c r="AM236" s="102">
        <v>0</v>
      </c>
      <c r="AN236" s="102">
        <v>0</v>
      </c>
      <c r="AO236" s="102">
        <v>0</v>
      </c>
      <c r="AP236" s="102">
        <v>0</v>
      </c>
      <c r="AQ236" s="102">
        <v>0</v>
      </c>
      <c r="AR236" s="102">
        <v>0</v>
      </c>
      <c r="AS236" s="102">
        <v>0</v>
      </c>
      <c r="AT236" s="102">
        <v>2.8202076124567474</v>
      </c>
      <c r="AU236" s="102">
        <v>3.5252595155709345</v>
      </c>
      <c r="AV236" s="102">
        <v>0</v>
      </c>
      <c r="AW236" s="102">
        <v>1.4101038062283737</v>
      </c>
      <c r="AX236" s="102">
        <v>0</v>
      </c>
      <c r="AY236" s="102">
        <v>2.8202076124567474</v>
      </c>
    </row>
    <row r="237" spans="1:51" s="103" customFormat="1">
      <c r="A237" s="103" t="s">
        <v>712</v>
      </c>
      <c r="B237" s="103">
        <v>755</v>
      </c>
      <c r="C237" s="103">
        <v>750</v>
      </c>
      <c r="D237" s="103">
        <v>1.9</v>
      </c>
      <c r="E237" s="103">
        <v>27062</v>
      </c>
      <c r="F237" s="103">
        <v>0</v>
      </c>
      <c r="G237" s="103">
        <v>250</v>
      </c>
      <c r="H237" s="103">
        <v>50</v>
      </c>
      <c r="I237" s="103">
        <v>160</v>
      </c>
      <c r="J237" s="103">
        <v>0</v>
      </c>
      <c r="K237" s="103">
        <v>10</v>
      </c>
      <c r="L237" s="103">
        <v>27.2</v>
      </c>
      <c r="M237" s="103">
        <v>21.4</v>
      </c>
      <c r="N237" s="103">
        <v>21.4</v>
      </c>
      <c r="O237" s="103">
        <v>65</v>
      </c>
      <c r="P237" s="103">
        <v>35</v>
      </c>
      <c r="Q237" s="103">
        <v>30</v>
      </c>
      <c r="R237" s="103">
        <v>25</v>
      </c>
      <c r="T237" s="103" t="str">
        <f t="shared" si="3"/>
        <v>Long Plain First Nation</v>
      </c>
      <c r="W237">
        <v>16626</v>
      </c>
      <c r="X237">
        <v>15982</v>
      </c>
      <c r="Y237">
        <v>17228</v>
      </c>
      <c r="Z237">
        <v>2542</v>
      </c>
      <c r="AA237">
        <v>7472</v>
      </c>
      <c r="AB237" s="103">
        <v>240</v>
      </c>
      <c r="AC237" s="103">
        <v>475</v>
      </c>
      <c r="AD237" s="103">
        <v>145</v>
      </c>
      <c r="AE237" s="103">
        <v>50</v>
      </c>
      <c r="AF237" s="102">
        <v>1.2086604053386059</v>
      </c>
      <c r="AG237" s="102">
        <v>0</v>
      </c>
      <c r="AH237" s="102">
        <v>0</v>
      </c>
      <c r="AI237" s="102">
        <v>1.2086604053386059</v>
      </c>
      <c r="AJ237" s="102">
        <v>1.2086604053386059</v>
      </c>
      <c r="AK237" s="102">
        <v>0</v>
      </c>
      <c r="AL237" s="102">
        <v>1.2086604053386059</v>
      </c>
      <c r="AM237" s="102">
        <v>0</v>
      </c>
      <c r="AN237" s="102">
        <v>0</v>
      </c>
      <c r="AO237" s="102">
        <v>1.2086604053386059</v>
      </c>
      <c r="AP237" s="102">
        <v>0</v>
      </c>
      <c r="AQ237" s="102">
        <v>0</v>
      </c>
      <c r="AR237" s="102">
        <v>0</v>
      </c>
      <c r="AS237" s="102">
        <v>1.2086604053386059</v>
      </c>
      <c r="AT237" s="102">
        <v>2.4173208106772117</v>
      </c>
      <c r="AU237" s="102">
        <v>3.0216510133465153</v>
      </c>
      <c r="AV237" s="102">
        <v>1.2086604053386059</v>
      </c>
      <c r="AW237" s="102">
        <v>1.2086604053386059</v>
      </c>
      <c r="AX237" s="102">
        <v>1.2086604053386059</v>
      </c>
      <c r="AY237" s="102">
        <v>1.812990608007909</v>
      </c>
    </row>
    <row r="238" spans="1:51" s="103" customFormat="1">
      <c r="A238" s="105" t="s">
        <v>231</v>
      </c>
      <c r="B238" s="103">
        <v>16</v>
      </c>
      <c r="T238" s="103">
        <f t="shared" si="3"/>
        <v>0</v>
      </c>
      <c r="W238"/>
      <c r="X238"/>
      <c r="Y238"/>
      <c r="Z238"/>
      <c r="AA238"/>
      <c r="AB238" s="103">
        <v>0</v>
      </c>
      <c r="AC238" s="103">
        <v>0</v>
      </c>
      <c r="AD238" s="103">
        <v>0</v>
      </c>
      <c r="AE238" s="103">
        <v>0</v>
      </c>
      <c r="AF238" s="102" t="e">
        <v>#N/A</v>
      </c>
      <c r="AG238" s="102" t="e">
        <v>#N/A</v>
      </c>
      <c r="AH238" s="102" t="e">
        <v>#N/A</v>
      </c>
      <c r="AI238" s="102" t="e">
        <v>#N/A</v>
      </c>
      <c r="AJ238" s="102" t="e">
        <v>#N/A</v>
      </c>
      <c r="AK238" s="102" t="e">
        <v>#N/A</v>
      </c>
      <c r="AL238" s="102" t="e">
        <v>#N/A</v>
      </c>
      <c r="AM238" s="102" t="e">
        <v>#N/A</v>
      </c>
      <c r="AN238" s="102" t="e">
        <v>#N/A</v>
      </c>
      <c r="AO238" s="102" t="e">
        <v>#N/A</v>
      </c>
      <c r="AP238" s="102" t="e">
        <v>#N/A</v>
      </c>
      <c r="AQ238" s="102" t="e">
        <v>#N/A</v>
      </c>
      <c r="AR238" s="102" t="e">
        <v>#N/A</v>
      </c>
      <c r="AS238" s="102" t="e">
        <v>#N/A</v>
      </c>
      <c r="AT238" s="102" t="e">
        <v>#N/A</v>
      </c>
      <c r="AU238" s="102" t="e">
        <v>#N/A</v>
      </c>
      <c r="AV238" s="102" t="e">
        <v>#N/A</v>
      </c>
      <c r="AW238" s="102" t="e">
        <v>#N/A</v>
      </c>
      <c r="AX238" s="102" t="e">
        <v>#N/A</v>
      </c>
      <c r="AY238" s="102" t="e">
        <v>#N/A</v>
      </c>
    </row>
    <row r="239" spans="1:51" s="103" customFormat="1">
      <c r="A239" s="103" t="s">
        <v>618</v>
      </c>
      <c r="B239" s="103">
        <v>2005</v>
      </c>
      <c r="C239" s="103">
        <v>1695</v>
      </c>
      <c r="D239" s="103">
        <v>1.3</v>
      </c>
      <c r="E239" s="103">
        <v>59014</v>
      </c>
      <c r="F239" s="103">
        <v>14.1</v>
      </c>
      <c r="G239" s="103">
        <v>655</v>
      </c>
      <c r="H239" s="103">
        <v>175</v>
      </c>
      <c r="I239" s="103">
        <v>110</v>
      </c>
      <c r="J239" s="103">
        <v>86.3</v>
      </c>
      <c r="K239" s="103">
        <v>13</v>
      </c>
      <c r="L239" s="103">
        <v>71.5</v>
      </c>
      <c r="M239" s="103">
        <v>67.599999999999994</v>
      </c>
      <c r="N239" s="103">
        <v>4.9000000000000004</v>
      </c>
      <c r="O239" s="103">
        <v>350</v>
      </c>
      <c r="P239" s="103">
        <v>135</v>
      </c>
      <c r="Q239" s="103">
        <v>195</v>
      </c>
      <c r="R239" s="103">
        <v>190</v>
      </c>
      <c r="T239" s="103">
        <f t="shared" si="3"/>
        <v>0</v>
      </c>
      <c r="W239">
        <v>19687</v>
      </c>
      <c r="X239">
        <v>19040</v>
      </c>
      <c r="Y239">
        <v>20572</v>
      </c>
      <c r="Z239">
        <v>22986</v>
      </c>
      <c r="AA239">
        <v>19971</v>
      </c>
      <c r="AB239" s="103">
        <v>435</v>
      </c>
      <c r="AC239" s="103">
        <v>1260</v>
      </c>
      <c r="AD239" s="103">
        <v>510</v>
      </c>
      <c r="AE239" s="103">
        <v>290</v>
      </c>
      <c r="AF239" s="102">
        <v>8.3468027991993416</v>
      </c>
      <c r="AG239" s="102">
        <v>0.15176005089453348</v>
      </c>
      <c r="AH239" s="102">
        <v>0</v>
      </c>
      <c r="AI239" s="102">
        <v>1.4417204834980681</v>
      </c>
      <c r="AJ239" s="102">
        <v>0.68292022902540073</v>
      </c>
      <c r="AK239" s="102">
        <v>0.53116017813086724</v>
      </c>
      <c r="AL239" s="102">
        <v>0.91056030536720101</v>
      </c>
      <c r="AM239" s="102">
        <v>0.22764007634180025</v>
      </c>
      <c r="AN239" s="102">
        <v>0</v>
      </c>
      <c r="AO239" s="102">
        <v>0.30352010178906697</v>
      </c>
      <c r="AP239" s="102">
        <v>0</v>
      </c>
      <c r="AQ239" s="102">
        <v>0.15176005089453348</v>
      </c>
      <c r="AR239" s="102">
        <v>0</v>
      </c>
      <c r="AS239" s="102">
        <v>0</v>
      </c>
      <c r="AT239" s="102">
        <v>0.75880025447266741</v>
      </c>
      <c r="AU239" s="102">
        <v>1.5176005089453348</v>
      </c>
      <c r="AV239" s="102">
        <v>0</v>
      </c>
      <c r="AW239" s="102">
        <v>0.37940012723633371</v>
      </c>
      <c r="AX239" s="102">
        <v>0.98644033081446769</v>
      </c>
      <c r="AY239" s="102">
        <v>0.37940012723633371</v>
      </c>
    </row>
    <row r="240" spans="1:51" s="103" customFormat="1">
      <c r="A240" s="103" t="s">
        <v>617</v>
      </c>
      <c r="B240" s="103">
        <v>815</v>
      </c>
      <c r="C240" s="103">
        <v>810</v>
      </c>
      <c r="D240" s="103">
        <v>1.1000000000000001</v>
      </c>
      <c r="E240" s="103">
        <v>47085</v>
      </c>
      <c r="F240" s="103">
        <v>12.2</v>
      </c>
      <c r="G240" s="103">
        <v>300</v>
      </c>
      <c r="H240" s="103">
        <v>105</v>
      </c>
      <c r="I240" s="103">
        <v>45</v>
      </c>
      <c r="J240" s="103">
        <v>93.3</v>
      </c>
      <c r="K240" s="103">
        <v>5</v>
      </c>
      <c r="L240" s="103">
        <v>81.7</v>
      </c>
      <c r="M240" s="103">
        <v>80.2</v>
      </c>
      <c r="N240" s="103">
        <v>1.9</v>
      </c>
      <c r="O240" s="103">
        <v>215</v>
      </c>
      <c r="P240" s="103">
        <v>55</v>
      </c>
      <c r="Q240" s="103">
        <v>110</v>
      </c>
      <c r="R240" s="103">
        <v>110</v>
      </c>
      <c r="T240" s="103">
        <f t="shared" si="3"/>
        <v>0</v>
      </c>
      <c r="W240">
        <v>14796</v>
      </c>
      <c r="X240">
        <v>13517</v>
      </c>
      <c r="Y240">
        <v>16776</v>
      </c>
      <c r="Z240">
        <v>20243</v>
      </c>
      <c r="AA240">
        <v>15162</v>
      </c>
      <c r="AB240" s="103">
        <v>165</v>
      </c>
      <c r="AC240" s="103">
        <v>500</v>
      </c>
      <c r="AD240" s="103">
        <v>255</v>
      </c>
      <c r="AE240" s="103">
        <v>140</v>
      </c>
      <c r="AF240" s="102">
        <v>10.12111890825599</v>
      </c>
      <c r="AG240" s="102">
        <v>0</v>
      </c>
      <c r="AH240" s="102">
        <v>0</v>
      </c>
      <c r="AI240" s="102">
        <v>0.47442744882449955</v>
      </c>
      <c r="AJ240" s="102">
        <v>0.3162849658829997</v>
      </c>
      <c r="AK240" s="102">
        <v>0.6325699317659994</v>
      </c>
      <c r="AL240" s="102">
        <v>0.6325699317659994</v>
      </c>
      <c r="AM240" s="102">
        <v>0.6325699317659994</v>
      </c>
      <c r="AN240" s="102">
        <v>0</v>
      </c>
      <c r="AO240" s="102">
        <v>0</v>
      </c>
      <c r="AP240" s="102">
        <v>0</v>
      </c>
      <c r="AQ240" s="102">
        <v>0</v>
      </c>
      <c r="AR240" s="102">
        <v>0</v>
      </c>
      <c r="AS240" s="102">
        <v>0</v>
      </c>
      <c r="AT240" s="102">
        <v>0.47442744882449955</v>
      </c>
      <c r="AU240" s="102">
        <v>0.94885489764899911</v>
      </c>
      <c r="AV240" s="102">
        <v>0</v>
      </c>
      <c r="AW240" s="102">
        <v>1.1069973805904989</v>
      </c>
      <c r="AX240" s="102">
        <v>0.3162849658829997</v>
      </c>
      <c r="AY240" s="102">
        <v>0.6325699317659994</v>
      </c>
    </row>
    <row r="241" spans="1:51" s="103" customFormat="1">
      <c r="A241" s="103" t="s">
        <v>709</v>
      </c>
      <c r="B241" s="103">
        <v>625</v>
      </c>
      <c r="C241" s="103">
        <v>620</v>
      </c>
      <c r="D241" s="103">
        <v>1.4</v>
      </c>
      <c r="E241" s="103">
        <v>68464</v>
      </c>
      <c r="F241" s="103">
        <v>16.7</v>
      </c>
      <c r="G241" s="103">
        <v>245</v>
      </c>
      <c r="H241" s="103">
        <v>60</v>
      </c>
      <c r="I241" s="103">
        <v>95</v>
      </c>
      <c r="J241" s="103">
        <v>65.3</v>
      </c>
      <c r="K241" s="103">
        <v>34.700000000000003</v>
      </c>
      <c r="L241" s="103">
        <v>70</v>
      </c>
      <c r="M241" s="103">
        <v>68</v>
      </c>
      <c r="N241" s="103">
        <v>2.9</v>
      </c>
      <c r="O241" s="103">
        <v>125</v>
      </c>
      <c r="P241" s="103">
        <v>75</v>
      </c>
      <c r="Q241" s="103">
        <v>30</v>
      </c>
      <c r="R241" s="103">
        <v>55</v>
      </c>
      <c r="T241" s="103">
        <f t="shared" si="3"/>
        <v>0</v>
      </c>
      <c r="W241">
        <v>33341</v>
      </c>
      <c r="X241">
        <v>44710</v>
      </c>
      <c r="Y241">
        <v>19419</v>
      </c>
      <c r="Z241">
        <v>21784</v>
      </c>
      <c r="AA241">
        <v>13436</v>
      </c>
      <c r="AB241" s="103">
        <v>120</v>
      </c>
      <c r="AC241" s="103">
        <v>415</v>
      </c>
      <c r="AD241" s="103">
        <v>155</v>
      </c>
      <c r="AE241" s="103">
        <v>75</v>
      </c>
      <c r="AF241" s="102">
        <v>0</v>
      </c>
      <c r="AG241" s="102">
        <v>1.2086604053386059</v>
      </c>
      <c r="AH241" s="102">
        <v>0.48346416213544241</v>
      </c>
      <c r="AI241" s="102">
        <v>0</v>
      </c>
      <c r="AJ241" s="102">
        <v>0</v>
      </c>
      <c r="AK241" s="102">
        <v>0</v>
      </c>
      <c r="AL241" s="102">
        <v>1.4503924864063273</v>
      </c>
      <c r="AM241" s="102">
        <v>0.48346416213544241</v>
      </c>
      <c r="AN241" s="102">
        <v>0.72519624320316367</v>
      </c>
      <c r="AO241" s="102">
        <v>0</v>
      </c>
      <c r="AP241" s="102">
        <v>0</v>
      </c>
      <c r="AQ241" s="102">
        <v>0.96692832427088482</v>
      </c>
      <c r="AR241" s="102">
        <v>0</v>
      </c>
      <c r="AS241" s="102">
        <v>0</v>
      </c>
      <c r="AT241" s="102">
        <v>3.3842491349480972</v>
      </c>
      <c r="AU241" s="102">
        <v>1.9338566485417696</v>
      </c>
      <c r="AV241" s="102">
        <v>0</v>
      </c>
      <c r="AW241" s="102">
        <v>0.48346416213544241</v>
      </c>
      <c r="AX241" s="102">
        <v>5.0763737024221456</v>
      </c>
      <c r="AY241" s="102">
        <v>0.48346416213544241</v>
      </c>
    </row>
    <row r="242" spans="1:51" s="103" customFormat="1">
      <c r="A242" s="103" t="s">
        <v>650</v>
      </c>
      <c r="B242" s="103">
        <v>5655</v>
      </c>
      <c r="C242" s="103">
        <v>5470</v>
      </c>
      <c r="D242" s="103">
        <v>1.3</v>
      </c>
      <c r="E242" s="103">
        <v>97632</v>
      </c>
      <c r="F242" s="103">
        <v>4.0999999999999996</v>
      </c>
      <c r="G242" s="103">
        <v>1810</v>
      </c>
      <c r="H242" s="103">
        <v>525</v>
      </c>
      <c r="I242" s="103">
        <v>195</v>
      </c>
      <c r="J242" s="103">
        <v>93.4</v>
      </c>
      <c r="K242" s="103">
        <v>6.6</v>
      </c>
      <c r="L242" s="103">
        <v>78.400000000000006</v>
      </c>
      <c r="M242" s="103">
        <v>75.7</v>
      </c>
      <c r="N242" s="103">
        <v>3.4</v>
      </c>
      <c r="O242" s="103">
        <v>1090</v>
      </c>
      <c r="P242" s="103">
        <v>395</v>
      </c>
      <c r="Q242" s="103">
        <v>930</v>
      </c>
      <c r="R242" s="103">
        <v>965</v>
      </c>
      <c r="T242" s="103">
        <f t="shared" si="3"/>
        <v>0</v>
      </c>
      <c r="W242">
        <v>38843</v>
      </c>
      <c r="X242">
        <v>50840</v>
      </c>
      <c r="Y242">
        <v>26144</v>
      </c>
      <c r="Z242">
        <v>42661</v>
      </c>
      <c r="AA242">
        <v>24083</v>
      </c>
      <c r="AB242" s="103">
        <v>1330</v>
      </c>
      <c r="AC242" s="103">
        <v>3800</v>
      </c>
      <c r="AD242" s="103">
        <v>1470</v>
      </c>
      <c r="AE242" s="103">
        <v>500</v>
      </c>
      <c r="AF242" s="102">
        <v>2.0495452663644311</v>
      </c>
      <c r="AG242" s="102">
        <v>0</v>
      </c>
      <c r="AH242" s="102">
        <v>0.42490572595360154</v>
      </c>
      <c r="AI242" s="102">
        <v>0.92479481531077978</v>
      </c>
      <c r="AJ242" s="102">
        <v>1.3996894502000992</v>
      </c>
      <c r="AK242" s="102">
        <v>1.2497227233929458</v>
      </c>
      <c r="AL242" s="102">
        <v>1.2997116323286635</v>
      </c>
      <c r="AM242" s="102">
        <v>0.94978926977863865</v>
      </c>
      <c r="AN242" s="102">
        <v>0.12497227233929456</v>
      </c>
      <c r="AO242" s="102">
        <v>0.77482808850362628</v>
      </c>
      <c r="AP242" s="102">
        <v>4.9988908935717828E-2</v>
      </c>
      <c r="AQ242" s="102">
        <v>0.87480590637506195</v>
      </c>
      <c r="AR242" s="102">
        <v>0</v>
      </c>
      <c r="AS242" s="102">
        <v>0.72483917956790844</v>
      </c>
      <c r="AT242" s="102">
        <v>1.0997559965857922</v>
      </c>
      <c r="AU242" s="102">
        <v>1.9495674484929952</v>
      </c>
      <c r="AV242" s="102">
        <v>0.39991127148574263</v>
      </c>
      <c r="AW242" s="102">
        <v>0.64985581616433175</v>
      </c>
      <c r="AX242" s="102">
        <v>0.54987799829289608</v>
      </c>
      <c r="AY242" s="102">
        <v>1.2247282689250867</v>
      </c>
    </row>
    <row r="243" spans="1:51" s="103" customFormat="1">
      <c r="A243" s="103" t="s">
        <v>644</v>
      </c>
      <c r="B243" s="103">
        <v>895</v>
      </c>
      <c r="C243" s="103">
        <v>890</v>
      </c>
      <c r="D243" s="103">
        <v>1</v>
      </c>
      <c r="E243" s="103">
        <v>67369</v>
      </c>
      <c r="F243" s="103">
        <v>10</v>
      </c>
      <c r="G243" s="103">
        <v>380</v>
      </c>
      <c r="H243" s="103">
        <v>125</v>
      </c>
      <c r="I243" s="103">
        <v>10</v>
      </c>
      <c r="J243" s="103">
        <v>76.3</v>
      </c>
      <c r="K243" s="103">
        <v>23.7</v>
      </c>
      <c r="L243" s="103">
        <v>66.900000000000006</v>
      </c>
      <c r="M243" s="103">
        <v>64.900000000000006</v>
      </c>
      <c r="N243" s="103">
        <v>2</v>
      </c>
      <c r="O243" s="103">
        <v>200</v>
      </c>
      <c r="P243" s="103">
        <v>75</v>
      </c>
      <c r="Q243" s="103">
        <v>95</v>
      </c>
      <c r="R243" s="103">
        <v>115</v>
      </c>
      <c r="T243" s="103">
        <f t="shared" si="3"/>
        <v>0</v>
      </c>
      <c r="W243">
        <v>28326</v>
      </c>
      <c r="X243">
        <v>30493</v>
      </c>
      <c r="Y243">
        <v>25228</v>
      </c>
      <c r="Z243">
        <v>26097</v>
      </c>
      <c r="AA243">
        <v>19408</v>
      </c>
      <c r="AB243" s="103">
        <v>160</v>
      </c>
      <c r="AC243" s="103">
        <v>575</v>
      </c>
      <c r="AD243" s="103">
        <v>220</v>
      </c>
      <c r="AE243" s="103">
        <v>150</v>
      </c>
      <c r="AF243" s="102">
        <v>0</v>
      </c>
      <c r="AG243" s="102">
        <v>0</v>
      </c>
      <c r="AH243" s="102">
        <v>0</v>
      </c>
      <c r="AI243" s="102">
        <v>2.3929034287511795</v>
      </c>
      <c r="AJ243" s="102">
        <v>2.2219817552689527</v>
      </c>
      <c r="AK243" s="102">
        <v>1.1964517143755897</v>
      </c>
      <c r="AL243" s="102">
        <v>1.7092167348222711</v>
      </c>
      <c r="AM243" s="102">
        <v>1.1964517143755897</v>
      </c>
      <c r="AN243" s="102">
        <v>0</v>
      </c>
      <c r="AO243" s="102">
        <v>0.68368669392890857</v>
      </c>
      <c r="AP243" s="102">
        <v>0</v>
      </c>
      <c r="AQ243" s="102">
        <v>0.68368669392890857</v>
      </c>
      <c r="AR243" s="102">
        <v>0</v>
      </c>
      <c r="AS243" s="102">
        <v>0</v>
      </c>
      <c r="AT243" s="102">
        <v>2.2219817552689527</v>
      </c>
      <c r="AU243" s="102">
        <v>2.5638251022334066</v>
      </c>
      <c r="AV243" s="102">
        <v>0.34184334696445429</v>
      </c>
      <c r="AW243" s="102">
        <v>0.68368669392890857</v>
      </c>
      <c r="AX243" s="102">
        <v>0.34184334696445429</v>
      </c>
      <c r="AY243" s="102">
        <v>0.34184334696445429</v>
      </c>
    </row>
    <row r="244" spans="1:51" s="103" customFormat="1">
      <c r="A244" s="105" t="s">
        <v>232</v>
      </c>
      <c r="B244" s="103">
        <v>120</v>
      </c>
      <c r="O244" s="105"/>
      <c r="P244" s="105"/>
      <c r="Q244" s="105"/>
      <c r="R244" s="105"/>
      <c r="S244" s="105"/>
      <c r="T244" s="103">
        <f t="shared" si="3"/>
        <v>0</v>
      </c>
      <c r="U244" s="105"/>
      <c r="V244" s="105"/>
      <c r="W244"/>
      <c r="X244"/>
      <c r="Y244"/>
      <c r="Z244"/>
      <c r="AA244"/>
      <c r="AB244" s="103">
        <v>0</v>
      </c>
      <c r="AC244" s="103">
        <v>0</v>
      </c>
      <c r="AD244" s="103">
        <v>0</v>
      </c>
      <c r="AE244" s="103">
        <v>0</v>
      </c>
      <c r="AF244" s="102" t="e">
        <v>#N/A</v>
      </c>
      <c r="AG244" s="102" t="e">
        <v>#N/A</v>
      </c>
      <c r="AH244" s="102" t="e">
        <v>#N/A</v>
      </c>
      <c r="AI244" s="102" t="e">
        <v>#N/A</v>
      </c>
      <c r="AJ244" s="102" t="e">
        <v>#N/A</v>
      </c>
      <c r="AK244" s="102" t="e">
        <v>#N/A</v>
      </c>
      <c r="AL244" s="102" t="e">
        <v>#N/A</v>
      </c>
      <c r="AM244" s="102" t="e">
        <v>#N/A</v>
      </c>
      <c r="AN244" s="102" t="e">
        <v>#N/A</v>
      </c>
      <c r="AO244" s="102" t="e">
        <v>#N/A</v>
      </c>
      <c r="AP244" s="102" t="e">
        <v>#N/A</v>
      </c>
      <c r="AQ244" s="102" t="e">
        <v>#N/A</v>
      </c>
      <c r="AR244" s="102" t="e">
        <v>#N/A</v>
      </c>
      <c r="AS244" s="102" t="e">
        <v>#N/A</v>
      </c>
      <c r="AT244" s="102" t="e">
        <v>#N/A</v>
      </c>
      <c r="AU244" s="102" t="e">
        <v>#N/A</v>
      </c>
      <c r="AV244" s="102" t="e">
        <v>#N/A</v>
      </c>
      <c r="AW244" s="102" t="e">
        <v>#N/A</v>
      </c>
      <c r="AX244" s="102" t="e">
        <v>#N/A</v>
      </c>
      <c r="AY244" s="102" t="e">
        <v>#N/A</v>
      </c>
    </row>
    <row r="245" spans="1:51" s="105" customFormat="1">
      <c r="A245" s="105" t="s">
        <v>233</v>
      </c>
      <c r="B245" s="103">
        <v>191</v>
      </c>
      <c r="C245" s="103"/>
      <c r="D245" s="103"/>
      <c r="E245" s="103"/>
      <c r="F245" s="103"/>
      <c r="G245" s="103"/>
      <c r="H245" s="103"/>
      <c r="I245" s="103"/>
      <c r="J245" s="103"/>
      <c r="K245" s="103"/>
      <c r="L245" s="103"/>
      <c r="M245" s="103"/>
      <c r="N245" s="103"/>
      <c r="T245" s="103">
        <f t="shared" si="3"/>
        <v>0</v>
      </c>
      <c r="W245"/>
      <c r="X245"/>
      <c r="Y245"/>
      <c r="Z245"/>
      <c r="AA245"/>
      <c r="AB245" s="105">
        <v>0</v>
      </c>
      <c r="AC245" s="105">
        <v>0</v>
      </c>
      <c r="AD245" s="105">
        <v>0</v>
      </c>
      <c r="AE245" s="105">
        <v>0</v>
      </c>
      <c r="AF245" s="102" t="e">
        <v>#N/A</v>
      </c>
      <c r="AG245" s="102" t="e">
        <v>#N/A</v>
      </c>
      <c r="AH245" s="102" t="e">
        <v>#N/A</v>
      </c>
      <c r="AI245" s="102" t="e">
        <v>#N/A</v>
      </c>
      <c r="AJ245" s="102" t="e">
        <v>#N/A</v>
      </c>
      <c r="AK245" s="102" t="e">
        <v>#N/A</v>
      </c>
      <c r="AL245" s="102" t="e">
        <v>#N/A</v>
      </c>
      <c r="AM245" s="102" t="e">
        <v>#N/A</v>
      </c>
      <c r="AN245" s="102" t="e">
        <v>#N/A</v>
      </c>
      <c r="AO245" s="102" t="e">
        <v>#N/A</v>
      </c>
      <c r="AP245" s="102" t="e">
        <v>#N/A</v>
      </c>
      <c r="AQ245" s="102" t="e">
        <v>#N/A</v>
      </c>
      <c r="AR245" s="102" t="e">
        <v>#N/A</v>
      </c>
      <c r="AS245" s="102" t="e">
        <v>#N/A</v>
      </c>
      <c r="AT245" s="102" t="e">
        <v>#N/A</v>
      </c>
      <c r="AU245" s="102" t="e">
        <v>#N/A</v>
      </c>
      <c r="AV245" s="102" t="e">
        <v>#N/A</v>
      </c>
      <c r="AW245" s="102" t="e">
        <v>#N/A</v>
      </c>
      <c r="AX245" s="102" t="e">
        <v>#N/A</v>
      </c>
      <c r="AY245" s="102" t="e">
        <v>#N/A</v>
      </c>
    </row>
    <row r="246" spans="1:51" customFormat="1">
      <c r="A246" s="102" t="s">
        <v>382</v>
      </c>
      <c r="B246" s="102">
        <v>695</v>
      </c>
      <c r="C246" s="102">
        <v>690</v>
      </c>
      <c r="D246" s="102">
        <v>0.8</v>
      </c>
      <c r="E246" s="102">
        <v>62581</v>
      </c>
      <c r="F246" s="102">
        <v>12.8</v>
      </c>
      <c r="G246" s="102">
        <v>335</v>
      </c>
      <c r="H246" s="102">
        <v>105</v>
      </c>
      <c r="I246" s="102">
        <v>10</v>
      </c>
      <c r="J246" s="102">
        <v>83.6</v>
      </c>
      <c r="K246" s="102">
        <v>16.399999999999999</v>
      </c>
      <c r="L246" s="102">
        <v>71.3</v>
      </c>
      <c r="M246" s="102">
        <v>69.599999999999994</v>
      </c>
      <c r="N246" s="102">
        <v>2.4</v>
      </c>
      <c r="O246" s="102">
        <v>110</v>
      </c>
      <c r="P246" s="102">
        <v>60</v>
      </c>
      <c r="Q246" s="102">
        <v>120</v>
      </c>
      <c r="R246" s="102">
        <v>75</v>
      </c>
      <c r="S246" s="102"/>
      <c r="T246" s="102">
        <f t="shared" si="3"/>
        <v>0</v>
      </c>
      <c r="U246" s="102"/>
      <c r="V246" s="102"/>
      <c r="W246">
        <v>26604</v>
      </c>
      <c r="X246">
        <v>28003</v>
      </c>
      <c r="Y246">
        <v>25029</v>
      </c>
      <c r="Z246">
        <v>30648</v>
      </c>
      <c r="AA246">
        <v>25869</v>
      </c>
      <c r="AB246">
        <v>110</v>
      </c>
      <c r="AC246">
        <v>395</v>
      </c>
      <c r="AD246">
        <v>185</v>
      </c>
      <c r="AE246">
        <v>170</v>
      </c>
      <c r="AF246" s="102">
        <v>2.888993163980083</v>
      </c>
      <c r="AG246" s="102">
        <v>0</v>
      </c>
      <c r="AH246" s="102">
        <v>0.61906996371001766</v>
      </c>
      <c r="AI246" s="102">
        <v>0.41271330914001181</v>
      </c>
      <c r="AJ246" s="102">
        <v>0.41271330914001181</v>
      </c>
      <c r="AK246" s="102">
        <v>0.82542661828002362</v>
      </c>
      <c r="AL246" s="102">
        <v>2.4762798548400706</v>
      </c>
      <c r="AM246" s="102">
        <v>0.61906996371001766</v>
      </c>
      <c r="AN246" s="102">
        <v>1.6508532365600472</v>
      </c>
      <c r="AO246" s="102">
        <v>0</v>
      </c>
      <c r="AP246" s="102">
        <v>0</v>
      </c>
      <c r="AQ246" s="102">
        <v>0.61906996371001766</v>
      </c>
      <c r="AR246" s="102">
        <v>0</v>
      </c>
      <c r="AS246" s="102">
        <v>0.61906996371001766</v>
      </c>
      <c r="AT246" s="102">
        <v>0.61906996371001766</v>
      </c>
      <c r="AU246" s="102">
        <v>2.4762798548400706</v>
      </c>
      <c r="AV246" s="102">
        <v>0</v>
      </c>
      <c r="AW246" s="102">
        <v>0.82542661828002362</v>
      </c>
      <c r="AX246" s="102">
        <v>1.2381399274200353</v>
      </c>
      <c r="AY246" s="102">
        <v>0</v>
      </c>
    </row>
    <row r="247" spans="1:51" s="103" customFormat="1">
      <c r="A247" s="103" t="s">
        <v>234</v>
      </c>
      <c r="B247" s="103">
        <v>555</v>
      </c>
      <c r="C247" s="103">
        <v>555</v>
      </c>
      <c r="D247" s="103">
        <v>2.2999999999999998</v>
      </c>
      <c r="E247" s="103">
        <v>45029</v>
      </c>
      <c r="F247" s="103">
        <v>0</v>
      </c>
      <c r="G247" s="103">
        <v>100</v>
      </c>
      <c r="H247" s="103">
        <v>30</v>
      </c>
      <c r="I247" s="103">
        <v>60</v>
      </c>
      <c r="J247" s="103">
        <v>10</v>
      </c>
      <c r="K247" s="103">
        <v>10</v>
      </c>
      <c r="L247" s="103">
        <v>33.799999999999997</v>
      </c>
      <c r="M247" s="103">
        <v>29.4</v>
      </c>
      <c r="N247" s="103">
        <v>13</v>
      </c>
      <c r="O247" s="103">
        <v>20</v>
      </c>
      <c r="P247" s="103">
        <v>10</v>
      </c>
      <c r="Q247" s="103">
        <v>10</v>
      </c>
      <c r="R247" s="103">
        <v>15</v>
      </c>
      <c r="T247" s="103" t="str">
        <f t="shared" si="3"/>
        <v>Manto Sipi Cree Nation</v>
      </c>
      <c r="W247">
        <v>17963</v>
      </c>
      <c r="X247">
        <v>18421</v>
      </c>
      <c r="Y247">
        <v>17336</v>
      </c>
      <c r="Z247">
        <v>6992</v>
      </c>
      <c r="AA247">
        <v>10549</v>
      </c>
      <c r="AB247" s="103">
        <v>210</v>
      </c>
      <c r="AC247" s="103">
        <v>330</v>
      </c>
      <c r="AD247" s="103">
        <v>60</v>
      </c>
      <c r="AE247" s="103">
        <v>40</v>
      </c>
      <c r="AF247" s="102">
        <v>0</v>
      </c>
      <c r="AG247" s="102">
        <v>0</v>
      </c>
      <c r="AH247" s="102">
        <v>0</v>
      </c>
      <c r="AI247" s="102">
        <v>0</v>
      </c>
      <c r="AJ247" s="102">
        <v>0</v>
      </c>
      <c r="AK247" s="102">
        <v>0</v>
      </c>
      <c r="AL247" s="102">
        <v>1.4714126673687378</v>
      </c>
      <c r="AM247" s="102">
        <v>1.4714126673687378</v>
      </c>
      <c r="AN247" s="102">
        <v>0</v>
      </c>
      <c r="AO247" s="102">
        <v>0</v>
      </c>
      <c r="AP247" s="102">
        <v>0</v>
      </c>
      <c r="AQ247" s="102">
        <v>0</v>
      </c>
      <c r="AR247" s="102">
        <v>0</v>
      </c>
      <c r="AS247" s="102">
        <v>1.4714126673687378</v>
      </c>
      <c r="AT247" s="102">
        <v>4.4142380021062131</v>
      </c>
      <c r="AU247" s="102">
        <v>2.2071190010531065</v>
      </c>
      <c r="AV247" s="102">
        <v>0</v>
      </c>
      <c r="AW247" s="102">
        <v>0</v>
      </c>
      <c r="AX247" s="102">
        <v>1.4714126673687378</v>
      </c>
      <c r="AY247" s="102">
        <v>4.4142380021062131</v>
      </c>
    </row>
    <row r="248" spans="1:51" s="103" customFormat="1">
      <c r="A248" s="103" t="s">
        <v>235</v>
      </c>
      <c r="B248" s="103">
        <v>95</v>
      </c>
      <c r="C248" s="103">
        <v>95</v>
      </c>
      <c r="D248" s="103">
        <v>3</v>
      </c>
      <c r="E248" s="103">
        <v>0</v>
      </c>
      <c r="F248" s="103">
        <v>0</v>
      </c>
      <c r="G248" s="103">
        <v>20</v>
      </c>
      <c r="H248" s="103">
        <v>10</v>
      </c>
      <c r="I248" s="103">
        <v>10</v>
      </c>
      <c r="J248" s="103">
        <v>0</v>
      </c>
      <c r="K248" s="103">
        <v>0</v>
      </c>
      <c r="L248" s="103">
        <v>50</v>
      </c>
      <c r="M248" s="103">
        <v>25</v>
      </c>
      <c r="N248" s="103">
        <v>50</v>
      </c>
      <c r="O248" s="103">
        <v>0</v>
      </c>
      <c r="P248" s="103">
        <v>0</v>
      </c>
      <c r="Q248" s="103">
        <v>10</v>
      </c>
      <c r="R248" s="103">
        <v>0</v>
      </c>
      <c r="T248" s="103" t="str">
        <f t="shared" si="3"/>
        <v>Marcel Colomb First Nation</v>
      </c>
      <c r="W248">
        <v>0</v>
      </c>
      <c r="X248">
        <v>0</v>
      </c>
      <c r="Y248">
        <v>0</v>
      </c>
      <c r="Z248">
        <v>0</v>
      </c>
      <c r="AA248">
        <v>0</v>
      </c>
      <c r="AB248" s="103">
        <v>65</v>
      </c>
      <c r="AC248" s="103">
        <v>70</v>
      </c>
      <c r="AD248" s="103">
        <v>10</v>
      </c>
      <c r="AE248" s="103">
        <v>0</v>
      </c>
      <c r="AF248" s="102" t="e">
        <v>#N/A</v>
      </c>
      <c r="AG248" s="102" t="e">
        <v>#N/A</v>
      </c>
      <c r="AH248" s="102" t="e">
        <v>#N/A</v>
      </c>
      <c r="AI248" s="102" t="e">
        <v>#N/A</v>
      </c>
      <c r="AJ248" s="102" t="e">
        <v>#N/A</v>
      </c>
      <c r="AK248" s="102" t="e">
        <v>#N/A</v>
      </c>
      <c r="AL248" s="102" t="e">
        <v>#N/A</v>
      </c>
      <c r="AM248" s="102" t="e">
        <v>#N/A</v>
      </c>
      <c r="AN248" s="102" t="e">
        <v>#N/A</v>
      </c>
      <c r="AO248" s="102" t="e">
        <v>#N/A</v>
      </c>
      <c r="AP248" s="102" t="e">
        <v>#N/A</v>
      </c>
      <c r="AQ248" s="102" t="e">
        <v>#N/A</v>
      </c>
      <c r="AR248" s="102" t="e">
        <v>#N/A</v>
      </c>
      <c r="AS248" s="102" t="e">
        <v>#N/A</v>
      </c>
      <c r="AT248" s="102" t="e">
        <v>#N/A</v>
      </c>
      <c r="AU248" s="102" t="e">
        <v>#N/A</v>
      </c>
      <c r="AV248" s="102" t="e">
        <v>#N/A</v>
      </c>
      <c r="AW248" s="102" t="e">
        <v>#N/A</v>
      </c>
      <c r="AX248" s="102" t="e">
        <v>#N/A</v>
      </c>
      <c r="AY248" s="102" t="e">
        <v>#N/A</v>
      </c>
    </row>
    <row r="249" spans="1:51" s="103" customFormat="1">
      <c r="A249" s="105" t="s">
        <v>236</v>
      </c>
      <c r="B249" s="103">
        <v>117</v>
      </c>
      <c r="T249" s="103">
        <f t="shared" si="3"/>
        <v>0</v>
      </c>
      <c r="W249"/>
      <c r="X249"/>
      <c r="Y249"/>
      <c r="Z249"/>
      <c r="AA249"/>
      <c r="AB249" s="103">
        <v>0</v>
      </c>
      <c r="AC249" s="103">
        <v>0</v>
      </c>
      <c r="AD249" s="103">
        <v>0</v>
      </c>
      <c r="AE249" s="103">
        <v>0</v>
      </c>
      <c r="AF249" s="102" t="e">
        <v>#N/A</v>
      </c>
      <c r="AG249" s="102" t="e">
        <v>#N/A</v>
      </c>
      <c r="AH249" s="102" t="e">
        <v>#N/A</v>
      </c>
      <c r="AI249" s="102" t="e">
        <v>#N/A</v>
      </c>
      <c r="AJ249" s="102" t="e">
        <v>#N/A</v>
      </c>
      <c r="AK249" s="102" t="e">
        <v>#N/A</v>
      </c>
      <c r="AL249" s="102" t="e">
        <v>#N/A</v>
      </c>
      <c r="AM249" s="102" t="e">
        <v>#N/A</v>
      </c>
      <c r="AN249" s="102" t="e">
        <v>#N/A</v>
      </c>
      <c r="AO249" s="102" t="e">
        <v>#N/A</v>
      </c>
      <c r="AP249" s="102" t="e">
        <v>#N/A</v>
      </c>
      <c r="AQ249" s="102" t="e">
        <v>#N/A</v>
      </c>
      <c r="AR249" s="102" t="e">
        <v>#N/A</v>
      </c>
      <c r="AS249" s="102" t="e">
        <v>#N/A</v>
      </c>
      <c r="AT249" s="102" t="e">
        <v>#N/A</v>
      </c>
      <c r="AU249" s="102" t="e">
        <v>#N/A</v>
      </c>
      <c r="AV249" s="102" t="e">
        <v>#N/A</v>
      </c>
      <c r="AW249" s="102" t="e">
        <v>#N/A</v>
      </c>
      <c r="AX249" s="102" t="e">
        <v>#N/A</v>
      </c>
      <c r="AY249" s="102" t="e">
        <v>#N/A</v>
      </c>
    </row>
    <row r="250" spans="1:51" s="103" customFormat="1">
      <c r="A250" s="103" t="s">
        <v>237</v>
      </c>
      <c r="B250" s="103">
        <v>1480</v>
      </c>
      <c r="C250" s="103">
        <v>1480</v>
      </c>
      <c r="D250" s="103">
        <v>2.2999999999999998</v>
      </c>
      <c r="E250" s="103">
        <v>38877</v>
      </c>
      <c r="F250" s="103">
        <v>0</v>
      </c>
      <c r="G250" s="103">
        <v>315</v>
      </c>
      <c r="H250" s="103">
        <v>95</v>
      </c>
      <c r="I250" s="103">
        <v>180</v>
      </c>
      <c r="J250" s="103">
        <v>6.3</v>
      </c>
      <c r="K250" s="103">
        <v>19</v>
      </c>
      <c r="L250" s="103">
        <v>36</v>
      </c>
      <c r="M250" s="103">
        <v>29.2</v>
      </c>
      <c r="N250" s="103">
        <v>18.8</v>
      </c>
      <c r="O250" s="103">
        <v>85</v>
      </c>
      <c r="P250" s="103">
        <v>60</v>
      </c>
      <c r="Q250" s="103">
        <v>45</v>
      </c>
      <c r="R250" s="103">
        <v>75</v>
      </c>
      <c r="T250" s="103" t="str">
        <f t="shared" si="3"/>
        <v>Mathias Colomb First Nation</v>
      </c>
      <c r="W250">
        <v>20803</v>
      </c>
      <c r="X250">
        <v>21444</v>
      </c>
      <c r="Y250">
        <v>19835</v>
      </c>
      <c r="Z250">
        <v>7088</v>
      </c>
      <c r="AA250">
        <v>12544</v>
      </c>
      <c r="AB250" s="103">
        <v>585</v>
      </c>
      <c r="AC250" s="103">
        <v>835</v>
      </c>
      <c r="AD250" s="103">
        <v>160</v>
      </c>
      <c r="AE250" s="103">
        <v>60</v>
      </c>
      <c r="AF250" s="102" t="e">
        <v>#VALUE!</v>
      </c>
      <c r="AG250" s="102" t="e">
        <v>#VALUE!</v>
      </c>
      <c r="AH250" s="102" t="e">
        <v>#VALUE!</v>
      </c>
      <c r="AI250" s="102" t="e">
        <v>#VALUE!</v>
      </c>
      <c r="AJ250" s="102" t="e">
        <v>#VALUE!</v>
      </c>
      <c r="AK250" s="102" t="e">
        <v>#VALUE!</v>
      </c>
      <c r="AL250" s="102" t="e">
        <v>#VALUE!</v>
      </c>
      <c r="AM250" s="102" t="e">
        <v>#VALUE!</v>
      </c>
      <c r="AN250" s="102" t="e">
        <v>#VALUE!</v>
      </c>
      <c r="AO250" s="102" t="e">
        <v>#VALUE!</v>
      </c>
      <c r="AP250" s="102" t="e">
        <v>#VALUE!</v>
      </c>
      <c r="AQ250" s="102" t="e">
        <v>#VALUE!</v>
      </c>
      <c r="AR250" s="102" t="e">
        <v>#VALUE!</v>
      </c>
      <c r="AS250" s="102" t="e">
        <v>#VALUE!</v>
      </c>
      <c r="AT250" s="102" t="e">
        <v>#VALUE!</v>
      </c>
      <c r="AU250" s="102" t="e">
        <v>#VALUE!</v>
      </c>
      <c r="AV250" s="102" t="e">
        <v>#VALUE!</v>
      </c>
      <c r="AW250" s="102" t="e">
        <v>#VALUE!</v>
      </c>
      <c r="AX250" s="102" t="e">
        <v>#VALUE!</v>
      </c>
      <c r="AY250" s="102" t="e">
        <v>#VALUE!</v>
      </c>
    </row>
    <row r="251" spans="1:51">
      <c r="A251" s="102" t="s">
        <v>384</v>
      </c>
      <c r="B251" s="102">
        <v>475</v>
      </c>
      <c r="C251" s="102">
        <v>475</v>
      </c>
      <c r="D251" s="102">
        <v>0.9</v>
      </c>
      <c r="E251" s="102">
        <v>51197</v>
      </c>
      <c r="F251" s="102">
        <v>21.9</v>
      </c>
      <c r="G251" s="102">
        <v>190</v>
      </c>
      <c r="H251" s="102">
        <v>75</v>
      </c>
      <c r="I251" s="102">
        <v>30</v>
      </c>
      <c r="J251" s="102">
        <v>92.1</v>
      </c>
      <c r="K251" s="102">
        <v>5.3</v>
      </c>
      <c r="L251" s="102">
        <v>70.7</v>
      </c>
      <c r="M251" s="102">
        <v>64.599999999999994</v>
      </c>
      <c r="N251" s="102">
        <v>6.9</v>
      </c>
      <c r="O251" s="102">
        <v>140</v>
      </c>
      <c r="P251" s="102">
        <v>10</v>
      </c>
      <c r="Q251" s="102">
        <v>55</v>
      </c>
      <c r="R251" s="102">
        <v>65</v>
      </c>
      <c r="T251" s="102">
        <f t="shared" si="3"/>
        <v>0</v>
      </c>
      <c r="W251">
        <v>23811</v>
      </c>
      <c r="X251">
        <v>23382</v>
      </c>
      <c r="Y251">
        <v>24398</v>
      </c>
      <c r="Z251">
        <v>15360</v>
      </c>
      <c r="AA251">
        <v>15500</v>
      </c>
      <c r="AB251" s="102">
        <v>60</v>
      </c>
      <c r="AC251" s="102">
        <v>315</v>
      </c>
      <c r="AD251" s="102">
        <v>185</v>
      </c>
      <c r="AE251" s="102">
        <v>80</v>
      </c>
      <c r="AF251" s="102">
        <v>9.0441140675337071</v>
      </c>
      <c r="AG251" s="102">
        <v>0</v>
      </c>
      <c r="AH251" s="102">
        <v>0</v>
      </c>
      <c r="AI251" s="102">
        <v>0</v>
      </c>
      <c r="AJ251" s="102">
        <v>0</v>
      </c>
      <c r="AK251" s="102">
        <v>0</v>
      </c>
      <c r="AL251" s="102">
        <v>0.58349123016346494</v>
      </c>
      <c r="AM251" s="102">
        <v>1.750473690490395</v>
      </c>
      <c r="AN251" s="102">
        <v>0</v>
      </c>
      <c r="AO251" s="102">
        <v>0.58349123016346494</v>
      </c>
      <c r="AP251" s="102">
        <v>0</v>
      </c>
      <c r="AQ251" s="102">
        <v>0</v>
      </c>
      <c r="AR251" s="102">
        <v>0</v>
      </c>
      <c r="AS251" s="102">
        <v>0</v>
      </c>
      <c r="AT251" s="102">
        <v>1.4587280754086625</v>
      </c>
      <c r="AU251" s="102">
        <v>0.87523684524519751</v>
      </c>
      <c r="AV251" s="102">
        <v>0</v>
      </c>
      <c r="AW251" s="102">
        <v>0</v>
      </c>
      <c r="AX251" s="102">
        <v>0.58349123016346494</v>
      </c>
      <c r="AY251" s="102">
        <v>1.1669824603269299</v>
      </c>
    </row>
    <row r="252" spans="1:51" s="103" customFormat="1">
      <c r="A252" s="103" t="s">
        <v>779</v>
      </c>
      <c r="B252" s="103">
        <v>455</v>
      </c>
      <c r="C252" s="103">
        <v>460</v>
      </c>
      <c r="D252" s="103">
        <v>0.6</v>
      </c>
      <c r="E252" s="103">
        <v>43290</v>
      </c>
      <c r="F252" s="103">
        <v>0</v>
      </c>
      <c r="G252" s="103">
        <v>245</v>
      </c>
      <c r="H252" s="103">
        <v>85</v>
      </c>
      <c r="I252" s="103">
        <v>25</v>
      </c>
      <c r="J252" s="103">
        <v>89.8</v>
      </c>
      <c r="K252" s="103">
        <v>8.1999999999999993</v>
      </c>
      <c r="L252" s="103">
        <v>38.799999999999997</v>
      </c>
      <c r="M252" s="103">
        <v>36.200000000000003</v>
      </c>
      <c r="N252" s="103">
        <v>6.5</v>
      </c>
      <c r="O252" s="103">
        <v>80</v>
      </c>
      <c r="P252" s="103">
        <v>50</v>
      </c>
      <c r="Q252" s="103">
        <v>50</v>
      </c>
      <c r="R252" s="103">
        <v>50</v>
      </c>
      <c r="T252" s="103">
        <f t="shared" si="3"/>
        <v>0</v>
      </c>
      <c r="W252">
        <v>20031</v>
      </c>
      <c r="X252">
        <v>21568</v>
      </c>
      <c r="Y252">
        <v>18428</v>
      </c>
      <c r="Z252">
        <v>20152</v>
      </c>
      <c r="AA252">
        <v>14250</v>
      </c>
      <c r="AB252" s="103">
        <v>60</v>
      </c>
      <c r="AC252" s="103">
        <v>200</v>
      </c>
      <c r="AD252" s="103">
        <v>115</v>
      </c>
      <c r="AE252" s="103">
        <v>180</v>
      </c>
      <c r="AF252" s="102">
        <v>1.0916932693380959</v>
      </c>
      <c r="AG252" s="102">
        <v>0</v>
      </c>
      <c r="AH252" s="102">
        <v>0</v>
      </c>
      <c r="AI252" s="102">
        <v>0</v>
      </c>
      <c r="AJ252" s="102">
        <v>0</v>
      </c>
      <c r="AK252" s="102">
        <v>0</v>
      </c>
      <c r="AL252" s="102">
        <v>2.1833865386761917</v>
      </c>
      <c r="AM252" s="102">
        <v>2.7292331733452393</v>
      </c>
      <c r="AN252" s="102">
        <v>1.0916932693380959</v>
      </c>
      <c r="AO252" s="102">
        <v>1.0916932693380959</v>
      </c>
      <c r="AP252" s="102">
        <v>0</v>
      </c>
      <c r="AQ252" s="102">
        <v>0</v>
      </c>
      <c r="AR252" s="102">
        <v>0</v>
      </c>
      <c r="AS252" s="102">
        <v>0</v>
      </c>
      <c r="AT252" s="102">
        <v>1.6375399040071437</v>
      </c>
      <c r="AU252" s="102">
        <v>1.0916932693380959</v>
      </c>
      <c r="AV252" s="102">
        <v>0</v>
      </c>
      <c r="AW252" s="102">
        <v>0</v>
      </c>
      <c r="AX252" s="102">
        <v>2.1833865386761917</v>
      </c>
      <c r="AY252" s="102">
        <v>2.1833865386761917</v>
      </c>
    </row>
    <row r="253" spans="1:51" s="103" customFormat="1">
      <c r="A253" s="105" t="s">
        <v>238</v>
      </c>
      <c r="B253" s="103">
        <v>70</v>
      </c>
      <c r="T253" s="103">
        <f t="shared" si="3"/>
        <v>0</v>
      </c>
      <c r="W253"/>
      <c r="X253"/>
      <c r="Y253"/>
      <c r="Z253"/>
      <c r="AA253"/>
      <c r="AB253" s="103">
        <v>0</v>
      </c>
      <c r="AC253" s="103">
        <v>0</v>
      </c>
      <c r="AD253" s="103">
        <v>0</v>
      </c>
      <c r="AE253" s="103">
        <v>0</v>
      </c>
      <c r="AF253" s="102" t="e">
        <v>#N/A</v>
      </c>
      <c r="AG253" s="102" t="e">
        <v>#N/A</v>
      </c>
      <c r="AH253" s="102" t="e">
        <v>#N/A</v>
      </c>
      <c r="AI253" s="102" t="e">
        <v>#N/A</v>
      </c>
      <c r="AJ253" s="102" t="e">
        <v>#N/A</v>
      </c>
      <c r="AK253" s="102" t="e">
        <v>#N/A</v>
      </c>
      <c r="AL253" s="102" t="e">
        <v>#N/A</v>
      </c>
      <c r="AM253" s="102" t="e">
        <v>#N/A</v>
      </c>
      <c r="AN253" s="102" t="e">
        <v>#N/A</v>
      </c>
      <c r="AO253" s="102" t="e">
        <v>#N/A</v>
      </c>
      <c r="AP253" s="102" t="e">
        <v>#N/A</v>
      </c>
      <c r="AQ253" s="102" t="e">
        <v>#N/A</v>
      </c>
      <c r="AR253" s="102" t="e">
        <v>#N/A</v>
      </c>
      <c r="AS253" s="102" t="e">
        <v>#N/A</v>
      </c>
      <c r="AT253" s="102" t="e">
        <v>#N/A</v>
      </c>
      <c r="AU253" s="102" t="e">
        <v>#N/A</v>
      </c>
      <c r="AV253" s="102" t="e">
        <v>#N/A</v>
      </c>
      <c r="AW253" s="102" t="e">
        <v>#N/A</v>
      </c>
      <c r="AX253" s="102" t="e">
        <v>#N/A</v>
      </c>
      <c r="AY253" s="102" t="e">
        <v>#N/A</v>
      </c>
    </row>
    <row r="254" spans="1:51">
      <c r="A254" s="102" t="s">
        <v>385</v>
      </c>
      <c r="B254" s="102">
        <v>1030</v>
      </c>
      <c r="C254" s="102">
        <v>1030</v>
      </c>
      <c r="D254" s="102">
        <v>1.2</v>
      </c>
      <c r="E254" s="102">
        <v>57789</v>
      </c>
      <c r="F254" s="102">
        <v>3.8</v>
      </c>
      <c r="G254" s="102">
        <v>485</v>
      </c>
      <c r="H254" s="102">
        <v>140</v>
      </c>
      <c r="I254" s="102">
        <v>25</v>
      </c>
      <c r="J254" s="102">
        <v>79.400000000000006</v>
      </c>
      <c r="K254" s="102">
        <v>18.600000000000001</v>
      </c>
      <c r="L254" s="102">
        <v>64.400000000000006</v>
      </c>
      <c r="M254" s="102">
        <v>63.1</v>
      </c>
      <c r="N254" s="102">
        <v>1.9</v>
      </c>
      <c r="O254" s="102">
        <v>180</v>
      </c>
      <c r="P254" s="102">
        <v>90</v>
      </c>
      <c r="Q254" s="102">
        <v>70</v>
      </c>
      <c r="R254" s="102">
        <v>80</v>
      </c>
      <c r="T254" s="102">
        <f t="shared" si="3"/>
        <v>0</v>
      </c>
      <c r="W254">
        <v>24130</v>
      </c>
      <c r="X254">
        <v>29832</v>
      </c>
      <c r="Y254">
        <v>18417</v>
      </c>
      <c r="Z254">
        <v>29896</v>
      </c>
      <c r="AA254">
        <v>16944</v>
      </c>
      <c r="AB254" s="102">
        <v>230</v>
      </c>
      <c r="AC254" s="102">
        <v>560</v>
      </c>
      <c r="AD254" s="102">
        <v>225</v>
      </c>
      <c r="AE254" s="102">
        <v>245</v>
      </c>
      <c r="AF254" s="102">
        <v>1.9714072630765613</v>
      </c>
      <c r="AG254" s="102">
        <v>0.98570363153828067</v>
      </c>
      <c r="AH254" s="102">
        <v>0.32856787717942687</v>
      </c>
      <c r="AI254" s="102">
        <v>0.8214196929485672</v>
      </c>
      <c r="AJ254" s="102">
        <v>0.32856787717942687</v>
      </c>
      <c r="AK254" s="102">
        <v>1.149987570127994</v>
      </c>
      <c r="AL254" s="102">
        <v>2.1356912016662748</v>
      </c>
      <c r="AM254" s="102">
        <v>0.8214196929485672</v>
      </c>
      <c r="AN254" s="102">
        <v>0.32856787717942687</v>
      </c>
      <c r="AO254" s="102">
        <v>0.32856787717942687</v>
      </c>
      <c r="AP254" s="102">
        <v>0.32856787717942687</v>
      </c>
      <c r="AQ254" s="102">
        <v>0.32856787717942687</v>
      </c>
      <c r="AR254" s="102">
        <v>0</v>
      </c>
      <c r="AS254" s="102">
        <v>0</v>
      </c>
      <c r="AT254" s="102">
        <v>1.9714072630765613</v>
      </c>
      <c r="AU254" s="102">
        <v>2.299975140255988</v>
      </c>
      <c r="AV254" s="102">
        <v>0</v>
      </c>
      <c r="AW254" s="102">
        <v>0.8214196929485672</v>
      </c>
      <c r="AX254" s="102">
        <v>0.8214196929485672</v>
      </c>
      <c r="AY254" s="102">
        <v>1.3142715087177075</v>
      </c>
    </row>
    <row r="255" spans="1:51">
      <c r="A255" s="102" t="s">
        <v>667</v>
      </c>
      <c r="B255" s="102">
        <v>905</v>
      </c>
      <c r="C255" s="102">
        <v>775</v>
      </c>
      <c r="D255" s="102">
        <v>0.9</v>
      </c>
      <c r="E255" s="102">
        <v>39292</v>
      </c>
      <c r="F255" s="102">
        <v>21.6</v>
      </c>
      <c r="G255" s="102">
        <v>325</v>
      </c>
      <c r="H255" s="102">
        <v>150</v>
      </c>
      <c r="I255" s="102">
        <v>30</v>
      </c>
      <c r="J255" s="102">
        <v>81.5</v>
      </c>
      <c r="K255" s="102">
        <v>18.5</v>
      </c>
      <c r="L255" s="102">
        <v>73.3</v>
      </c>
      <c r="M255" s="102">
        <v>73.3</v>
      </c>
      <c r="N255" s="102">
        <v>0</v>
      </c>
      <c r="O255" s="102">
        <v>270</v>
      </c>
      <c r="P255" s="102">
        <v>75</v>
      </c>
      <c r="Q255" s="102">
        <v>60</v>
      </c>
      <c r="R255" s="102">
        <v>60</v>
      </c>
      <c r="T255" s="102">
        <f t="shared" si="3"/>
        <v>0</v>
      </c>
      <c r="W255">
        <v>13879</v>
      </c>
      <c r="X255">
        <v>9996</v>
      </c>
      <c r="Y255">
        <v>19390</v>
      </c>
      <c r="Z255">
        <v>16009</v>
      </c>
      <c r="AA255">
        <v>17223</v>
      </c>
      <c r="AB255" s="102">
        <v>160</v>
      </c>
      <c r="AC255" s="102">
        <v>565</v>
      </c>
      <c r="AD255" s="102">
        <v>305</v>
      </c>
      <c r="AE255" s="102">
        <v>180</v>
      </c>
      <c r="AF255" s="102">
        <v>8.7682818496382513</v>
      </c>
      <c r="AG255" s="102">
        <v>0</v>
      </c>
      <c r="AH255" s="102">
        <v>0</v>
      </c>
      <c r="AI255" s="102">
        <v>0.61531802453601758</v>
      </c>
      <c r="AJ255" s="102">
        <v>0.76914753067002206</v>
      </c>
      <c r="AK255" s="102">
        <v>0.46148851840201321</v>
      </c>
      <c r="AL255" s="102">
        <v>1.2306360490720352</v>
      </c>
      <c r="AM255" s="102">
        <v>0.92297703680402643</v>
      </c>
      <c r="AN255" s="102">
        <v>0</v>
      </c>
      <c r="AO255" s="102">
        <v>0.30765901226800879</v>
      </c>
      <c r="AP255" s="102">
        <v>0</v>
      </c>
      <c r="AQ255" s="102">
        <v>0.61531802453601758</v>
      </c>
      <c r="AR255" s="102">
        <v>0</v>
      </c>
      <c r="AS255" s="102">
        <v>0.30765901226800879</v>
      </c>
      <c r="AT255" s="102">
        <v>0.76914753067002206</v>
      </c>
      <c r="AU255" s="102">
        <v>1.0768065429380307</v>
      </c>
      <c r="AV255" s="102">
        <v>0</v>
      </c>
      <c r="AW255" s="102">
        <v>0</v>
      </c>
      <c r="AX255" s="102">
        <v>0</v>
      </c>
      <c r="AY255" s="102">
        <v>0.61531802453601758</v>
      </c>
    </row>
    <row r="256" spans="1:51">
      <c r="A256" s="102" t="s">
        <v>387</v>
      </c>
      <c r="B256" s="102">
        <v>1120</v>
      </c>
      <c r="C256" s="102">
        <v>1120</v>
      </c>
      <c r="D256" s="102">
        <v>1.2</v>
      </c>
      <c r="E256" s="102">
        <v>56260</v>
      </c>
      <c r="F256" s="102">
        <v>9.1</v>
      </c>
      <c r="G256" s="102">
        <v>385</v>
      </c>
      <c r="H256" s="102">
        <v>145</v>
      </c>
      <c r="I256" s="102">
        <v>50</v>
      </c>
      <c r="J256" s="102">
        <v>94.8</v>
      </c>
      <c r="K256" s="102">
        <v>5.2</v>
      </c>
      <c r="L256" s="102">
        <v>77.599999999999994</v>
      </c>
      <c r="M256" s="102">
        <v>74.7</v>
      </c>
      <c r="N256" s="102">
        <v>3.8</v>
      </c>
      <c r="O256" s="102">
        <v>320</v>
      </c>
      <c r="P256" s="102">
        <v>50</v>
      </c>
      <c r="Q256" s="102">
        <v>115</v>
      </c>
      <c r="R256" s="102">
        <v>90</v>
      </c>
      <c r="T256" s="102">
        <f t="shared" si="3"/>
        <v>0</v>
      </c>
      <c r="W256">
        <v>23029</v>
      </c>
      <c r="X256">
        <v>26251</v>
      </c>
      <c r="Y256">
        <v>18688</v>
      </c>
      <c r="Z256">
        <v>22997</v>
      </c>
      <c r="AA256">
        <v>15141</v>
      </c>
      <c r="AB256" s="102">
        <v>260</v>
      </c>
      <c r="AC256" s="102">
        <v>735</v>
      </c>
      <c r="AD256" s="102">
        <v>350</v>
      </c>
      <c r="AE256" s="102">
        <v>90</v>
      </c>
      <c r="AF256" s="102">
        <v>5.8967977351368361</v>
      </c>
      <c r="AG256" s="102">
        <v>0.25638251022334069</v>
      </c>
      <c r="AH256" s="102">
        <v>0.25638251022334069</v>
      </c>
      <c r="AI256" s="102">
        <v>0.25638251022334069</v>
      </c>
      <c r="AJ256" s="102">
        <v>1.5382950613400441</v>
      </c>
      <c r="AK256" s="102">
        <v>0.64095627555835166</v>
      </c>
      <c r="AL256" s="102">
        <v>0.76914753067002206</v>
      </c>
      <c r="AM256" s="102">
        <v>1.1537212960050329</v>
      </c>
      <c r="AN256" s="102">
        <v>0</v>
      </c>
      <c r="AO256" s="102">
        <v>0.51276502044668137</v>
      </c>
      <c r="AP256" s="102">
        <v>0</v>
      </c>
      <c r="AQ256" s="102">
        <v>0</v>
      </c>
      <c r="AR256" s="102">
        <v>0</v>
      </c>
      <c r="AS256" s="102">
        <v>0.51276502044668137</v>
      </c>
      <c r="AT256" s="102">
        <v>1.0255300408933627</v>
      </c>
      <c r="AU256" s="102">
        <v>2.6920163573450768</v>
      </c>
      <c r="AV256" s="102">
        <v>0</v>
      </c>
      <c r="AW256" s="102">
        <v>0.38457376533501103</v>
      </c>
      <c r="AX256" s="102">
        <v>0.51276502044668137</v>
      </c>
      <c r="AY256" s="102">
        <v>0.25638251022334069</v>
      </c>
    </row>
    <row r="257" spans="1:51">
      <c r="A257" s="102" t="s">
        <v>387</v>
      </c>
      <c r="B257" s="102">
        <v>495</v>
      </c>
      <c r="C257" s="102">
        <v>500</v>
      </c>
      <c r="D257" s="102">
        <v>1.1000000000000001</v>
      </c>
      <c r="E257" s="102">
        <v>45862</v>
      </c>
      <c r="F257" s="102">
        <v>10.7</v>
      </c>
      <c r="G257" s="102">
        <v>225</v>
      </c>
      <c r="H257" s="102">
        <v>75</v>
      </c>
      <c r="I257" s="102">
        <v>20</v>
      </c>
      <c r="J257" s="102">
        <v>86.7</v>
      </c>
      <c r="K257" s="102">
        <v>13.3</v>
      </c>
      <c r="L257" s="102">
        <v>53.2</v>
      </c>
      <c r="M257" s="102">
        <v>48.1</v>
      </c>
      <c r="N257" s="102">
        <v>9.8000000000000007</v>
      </c>
      <c r="O257" s="102">
        <v>90</v>
      </c>
      <c r="P257" s="102">
        <v>20</v>
      </c>
      <c r="Q257" s="102">
        <v>40</v>
      </c>
      <c r="R257" s="102">
        <v>25</v>
      </c>
      <c r="T257" s="102">
        <f t="shared" si="3"/>
        <v>0</v>
      </c>
      <c r="W257">
        <v>23029</v>
      </c>
      <c r="X257">
        <v>26251</v>
      </c>
      <c r="Y257">
        <v>18688</v>
      </c>
      <c r="Z257">
        <v>22997</v>
      </c>
      <c r="AA257">
        <v>15141</v>
      </c>
      <c r="AB257" s="102">
        <v>260</v>
      </c>
      <c r="AC257" s="102">
        <v>735</v>
      </c>
      <c r="AD257" s="102">
        <v>350</v>
      </c>
      <c r="AE257" s="102">
        <v>90</v>
      </c>
      <c r="AF257" s="102">
        <v>5.8967977351368361</v>
      </c>
      <c r="AG257" s="102">
        <v>0.25638251022334069</v>
      </c>
      <c r="AH257" s="102">
        <v>0.25638251022334069</v>
      </c>
      <c r="AI257" s="102">
        <v>0.25638251022334069</v>
      </c>
      <c r="AJ257" s="102">
        <v>1.5382950613400441</v>
      </c>
      <c r="AK257" s="102">
        <v>0.64095627555835166</v>
      </c>
      <c r="AL257" s="102">
        <v>0.76914753067002206</v>
      </c>
      <c r="AM257" s="102">
        <v>1.1537212960050329</v>
      </c>
      <c r="AN257" s="102">
        <v>0</v>
      </c>
      <c r="AO257" s="102">
        <v>0.51276502044668137</v>
      </c>
      <c r="AP257" s="102">
        <v>0</v>
      </c>
      <c r="AQ257" s="102">
        <v>0</v>
      </c>
      <c r="AR257" s="102">
        <v>0</v>
      </c>
      <c r="AS257" s="102">
        <v>0.51276502044668137</v>
      </c>
      <c r="AT257" s="102">
        <v>1.0255300408933627</v>
      </c>
      <c r="AU257" s="102">
        <v>2.6920163573450768</v>
      </c>
      <c r="AV257" s="102">
        <v>0</v>
      </c>
      <c r="AW257" s="102">
        <v>0.38457376533501103</v>
      </c>
      <c r="AX257" s="102">
        <v>0.51276502044668137</v>
      </c>
      <c r="AY257" s="102">
        <v>0.25638251022334069</v>
      </c>
    </row>
    <row r="258" spans="1:51">
      <c r="A258" s="102" t="s">
        <v>388</v>
      </c>
      <c r="B258" s="102">
        <v>2420</v>
      </c>
      <c r="C258" s="102">
        <v>2420</v>
      </c>
      <c r="D258" s="102">
        <v>0.8</v>
      </c>
      <c r="E258" s="102">
        <v>64829</v>
      </c>
      <c r="F258" s="102">
        <v>7.6</v>
      </c>
      <c r="G258" s="102">
        <v>1140</v>
      </c>
      <c r="H258" s="102">
        <v>390</v>
      </c>
      <c r="I258" s="102">
        <v>95</v>
      </c>
      <c r="J258" s="102">
        <v>78.5</v>
      </c>
      <c r="K258" s="102">
        <v>21.5</v>
      </c>
      <c r="L258" s="102">
        <v>59.6</v>
      </c>
      <c r="M258" s="102">
        <v>58.9</v>
      </c>
      <c r="N258" s="102">
        <v>1.2</v>
      </c>
      <c r="O258" s="102">
        <v>455</v>
      </c>
      <c r="P258" s="102">
        <v>320</v>
      </c>
      <c r="Q258" s="102">
        <v>330</v>
      </c>
      <c r="R258" s="102">
        <v>335</v>
      </c>
      <c r="T258" s="102">
        <f t="shared" si="3"/>
        <v>0</v>
      </c>
      <c r="W258">
        <v>28751</v>
      </c>
      <c r="X258">
        <v>34133</v>
      </c>
      <c r="Y258">
        <v>22986</v>
      </c>
      <c r="Z258">
        <v>30875</v>
      </c>
      <c r="AA258">
        <v>18305</v>
      </c>
      <c r="AB258" s="102">
        <v>390</v>
      </c>
      <c r="AC258" s="102">
        <v>1435</v>
      </c>
      <c r="AD258" s="102">
        <v>685</v>
      </c>
      <c r="AE258" s="102">
        <v>580</v>
      </c>
      <c r="AF258" s="102">
        <v>0.76914753067002206</v>
      </c>
      <c r="AG258" s="102">
        <v>0</v>
      </c>
      <c r="AH258" s="102">
        <v>0</v>
      </c>
      <c r="AI258" s="102">
        <v>0.27969001115273529</v>
      </c>
      <c r="AJ258" s="102">
        <v>1.2586050501873087</v>
      </c>
      <c r="AK258" s="102">
        <v>0.27969001115273529</v>
      </c>
      <c r="AL258" s="102">
        <v>3.0066676198919042</v>
      </c>
      <c r="AM258" s="102">
        <v>1.0488375418227573</v>
      </c>
      <c r="AN258" s="102">
        <v>0.20976750836455146</v>
      </c>
      <c r="AO258" s="102">
        <v>0.27969001115273529</v>
      </c>
      <c r="AP258" s="102">
        <v>0.13984500557636764</v>
      </c>
      <c r="AQ258" s="102">
        <v>0.62930252509365436</v>
      </c>
      <c r="AR258" s="102">
        <v>0</v>
      </c>
      <c r="AS258" s="102">
        <v>0.34961251394091913</v>
      </c>
      <c r="AT258" s="102">
        <v>1.3285275529754925</v>
      </c>
      <c r="AU258" s="102">
        <v>2.587132603162801</v>
      </c>
      <c r="AV258" s="102">
        <v>0.20976750836455146</v>
      </c>
      <c r="AW258" s="102">
        <v>1.4683725585518603</v>
      </c>
      <c r="AX258" s="102">
        <v>0.97891503903457355</v>
      </c>
      <c r="AY258" s="102">
        <v>1.6082175641282279</v>
      </c>
    </row>
    <row r="259" spans="1:51">
      <c r="A259" s="102" t="s">
        <v>672</v>
      </c>
      <c r="B259" s="102">
        <v>665</v>
      </c>
      <c r="C259" s="102">
        <v>585</v>
      </c>
      <c r="D259" s="102">
        <v>1.1000000000000001</v>
      </c>
      <c r="E259" s="102">
        <v>72204</v>
      </c>
      <c r="F259" s="102">
        <v>8.6</v>
      </c>
      <c r="G259" s="102">
        <v>215</v>
      </c>
      <c r="H259" s="102">
        <v>75</v>
      </c>
      <c r="I259" s="102">
        <v>10</v>
      </c>
      <c r="J259" s="102">
        <v>95.3</v>
      </c>
      <c r="K259" s="102">
        <v>4.7</v>
      </c>
      <c r="L259" s="102">
        <v>82.9</v>
      </c>
      <c r="M259" s="102">
        <v>80</v>
      </c>
      <c r="N259" s="102">
        <v>3.4</v>
      </c>
      <c r="O259" s="102">
        <v>110</v>
      </c>
      <c r="P259" s="102">
        <v>55</v>
      </c>
      <c r="Q259" s="102">
        <v>35</v>
      </c>
      <c r="R259" s="102">
        <v>75</v>
      </c>
      <c r="T259" s="102">
        <f t="shared" si="3"/>
        <v>0</v>
      </c>
      <c r="W259">
        <v>29440</v>
      </c>
      <c r="X259">
        <v>38094</v>
      </c>
      <c r="Y259">
        <v>17260</v>
      </c>
      <c r="Z259">
        <v>22952</v>
      </c>
      <c r="AA259">
        <v>19886</v>
      </c>
      <c r="AB259" s="102">
        <v>155</v>
      </c>
      <c r="AC259" s="102">
        <v>455</v>
      </c>
      <c r="AD259" s="102">
        <v>215</v>
      </c>
      <c r="AE259" s="102">
        <v>60</v>
      </c>
      <c r="AF259" s="102">
        <v>2.9174561508173249</v>
      </c>
      <c r="AG259" s="102">
        <v>0</v>
      </c>
      <c r="AH259" s="102">
        <v>0</v>
      </c>
      <c r="AI259" s="102">
        <v>0.77798830688461995</v>
      </c>
      <c r="AJ259" s="102">
        <v>0.58349123016346494</v>
      </c>
      <c r="AK259" s="102">
        <v>0.58349123016346494</v>
      </c>
      <c r="AL259" s="102">
        <v>2.9174561508173249</v>
      </c>
      <c r="AM259" s="102">
        <v>2.5284619973750151</v>
      </c>
      <c r="AN259" s="102">
        <v>0.77798830688461995</v>
      </c>
      <c r="AO259" s="102">
        <v>0.38899415344230998</v>
      </c>
      <c r="AP259" s="102">
        <v>0</v>
      </c>
      <c r="AQ259" s="102">
        <v>0</v>
      </c>
      <c r="AR259" s="102">
        <v>0.38899415344230998</v>
      </c>
      <c r="AS259" s="102">
        <v>0.38899415344230998</v>
      </c>
      <c r="AT259" s="102">
        <v>0.58349123016346494</v>
      </c>
      <c r="AU259" s="102">
        <v>1.5559766137692399</v>
      </c>
      <c r="AV259" s="102">
        <v>0</v>
      </c>
      <c r="AW259" s="102">
        <v>0.77798830688461995</v>
      </c>
      <c r="AX259" s="102">
        <v>0</v>
      </c>
      <c r="AY259" s="102">
        <v>0.97248538360577497</v>
      </c>
    </row>
    <row r="260" spans="1:51" s="103" customFormat="1">
      <c r="A260" s="103" t="s">
        <v>494</v>
      </c>
      <c r="B260" s="103">
        <v>650</v>
      </c>
      <c r="C260" s="103">
        <v>650</v>
      </c>
      <c r="D260" s="103">
        <v>2.1</v>
      </c>
      <c r="E260" s="103">
        <v>46170</v>
      </c>
      <c r="F260" s="103">
        <v>0</v>
      </c>
      <c r="G260" s="103">
        <v>170</v>
      </c>
      <c r="H260" s="103">
        <v>50</v>
      </c>
      <c r="I260" s="103">
        <v>85</v>
      </c>
      <c r="J260" s="103">
        <v>5.9</v>
      </c>
      <c r="K260" s="103">
        <v>0</v>
      </c>
      <c r="L260" s="103">
        <v>67.099999999999994</v>
      </c>
      <c r="M260" s="103">
        <v>45.1</v>
      </c>
      <c r="N260" s="103">
        <v>32.700000000000003</v>
      </c>
      <c r="O260" s="103">
        <v>80</v>
      </c>
      <c r="P260" s="103">
        <v>10</v>
      </c>
      <c r="Q260" s="103">
        <v>10</v>
      </c>
      <c r="R260" s="103">
        <v>30</v>
      </c>
      <c r="T260" s="103" t="str">
        <f t="shared" si="3"/>
        <v>Misipawistik Cree Nation</v>
      </c>
      <c r="W260"/>
      <c r="X260"/>
      <c r="Y260"/>
      <c r="Z260"/>
      <c r="AA260"/>
      <c r="AB260" s="103">
        <v>0</v>
      </c>
      <c r="AC260" s="103">
        <v>0</v>
      </c>
      <c r="AD260" s="103">
        <v>0</v>
      </c>
      <c r="AE260" s="103">
        <v>0</v>
      </c>
      <c r="AF260" s="102">
        <v>3.3842491349480972</v>
      </c>
      <c r="AG260" s="102">
        <v>0</v>
      </c>
      <c r="AH260" s="102">
        <v>0.61531802453601758</v>
      </c>
      <c r="AI260" s="102">
        <v>0.92297703680402643</v>
      </c>
      <c r="AJ260" s="102">
        <v>0</v>
      </c>
      <c r="AK260" s="102">
        <v>0.61531802453601758</v>
      </c>
      <c r="AL260" s="102">
        <v>0.92297703680402643</v>
      </c>
      <c r="AM260" s="102">
        <v>0.61531802453601758</v>
      </c>
      <c r="AN260" s="102">
        <v>0</v>
      </c>
      <c r="AO260" s="102">
        <v>0</v>
      </c>
      <c r="AP260" s="102">
        <v>0</v>
      </c>
      <c r="AQ260" s="102">
        <v>0</v>
      </c>
      <c r="AR260" s="102">
        <v>0</v>
      </c>
      <c r="AS260" s="102">
        <v>0</v>
      </c>
      <c r="AT260" s="102">
        <v>0.61531802453601758</v>
      </c>
      <c r="AU260" s="102">
        <v>2.1536130858760614</v>
      </c>
      <c r="AV260" s="102">
        <v>0</v>
      </c>
      <c r="AW260" s="102">
        <v>0.61531802453601758</v>
      </c>
      <c r="AX260" s="102">
        <v>0.61531802453601758</v>
      </c>
      <c r="AY260" s="102">
        <v>3.0765901226800882</v>
      </c>
    </row>
    <row r="261" spans="1:51">
      <c r="A261" s="102" t="s">
        <v>611</v>
      </c>
      <c r="B261" s="102">
        <v>1320</v>
      </c>
      <c r="C261" s="102">
        <v>1205</v>
      </c>
      <c r="D261" s="102">
        <v>1.1000000000000001</v>
      </c>
      <c r="E261" s="102">
        <v>67237</v>
      </c>
      <c r="F261" s="102">
        <v>8.6</v>
      </c>
      <c r="G261" s="102">
        <v>480</v>
      </c>
      <c r="H261" s="102">
        <v>150</v>
      </c>
      <c r="I261" s="102">
        <v>40</v>
      </c>
      <c r="J261" s="102">
        <v>81.3</v>
      </c>
      <c r="K261" s="102">
        <v>18.8</v>
      </c>
      <c r="L261" s="102">
        <v>77.5</v>
      </c>
      <c r="M261" s="102">
        <v>75.599999999999994</v>
      </c>
      <c r="N261" s="102">
        <v>3.1</v>
      </c>
      <c r="O261" s="102">
        <v>365</v>
      </c>
      <c r="P261" s="102">
        <v>60</v>
      </c>
      <c r="Q261" s="102">
        <v>130</v>
      </c>
      <c r="R261" s="102">
        <v>115</v>
      </c>
      <c r="T261" s="102">
        <f t="shared" ref="T261:T325" si="4">IFERROR(VLOOKUP(A261,$U$12:$U$74,1,0),0)</f>
        <v>0</v>
      </c>
      <c r="W261">
        <v>26125</v>
      </c>
      <c r="X261">
        <v>30035</v>
      </c>
      <c r="Y261">
        <v>21864</v>
      </c>
      <c r="Z261">
        <v>28905</v>
      </c>
      <c r="AA261">
        <v>20138</v>
      </c>
      <c r="AB261" s="102">
        <v>275</v>
      </c>
      <c r="AC261" s="102">
        <v>890</v>
      </c>
      <c r="AD261" s="102">
        <v>365</v>
      </c>
      <c r="AE261" s="102">
        <v>150</v>
      </c>
      <c r="AF261" s="102">
        <v>4.7003460207612457</v>
      </c>
      <c r="AG261" s="102">
        <v>0</v>
      </c>
      <c r="AH261" s="102">
        <v>0.20890426758938868</v>
      </c>
      <c r="AI261" s="102">
        <v>1.3578777393310264</v>
      </c>
      <c r="AJ261" s="102">
        <v>1.8801384083044981</v>
      </c>
      <c r="AK261" s="102">
        <v>1.2534256055363322</v>
      </c>
      <c r="AL261" s="102">
        <v>1.4623298731257208</v>
      </c>
      <c r="AM261" s="102">
        <v>0.52226066897347168</v>
      </c>
      <c r="AN261" s="102">
        <v>0</v>
      </c>
      <c r="AO261" s="102">
        <v>0.52226066897347168</v>
      </c>
      <c r="AP261" s="102">
        <v>0</v>
      </c>
      <c r="AQ261" s="102">
        <v>0.31335640138408305</v>
      </c>
      <c r="AR261" s="102">
        <v>0</v>
      </c>
      <c r="AS261" s="102">
        <v>0.20890426758938868</v>
      </c>
      <c r="AT261" s="102">
        <v>0.94006920415224904</v>
      </c>
      <c r="AU261" s="102">
        <v>1.5667820069204152</v>
      </c>
      <c r="AV261" s="102">
        <v>0</v>
      </c>
      <c r="AW261" s="102">
        <v>0.52226066897347168</v>
      </c>
      <c r="AX261" s="102">
        <v>0.20890426758938868</v>
      </c>
      <c r="AY261" s="102">
        <v>0.94006920415224904</v>
      </c>
    </row>
    <row r="262" spans="1:51" s="103" customFormat="1">
      <c r="A262" s="105" t="s">
        <v>389</v>
      </c>
      <c r="B262" s="103">
        <v>205</v>
      </c>
      <c r="T262" s="103">
        <f t="shared" si="4"/>
        <v>0</v>
      </c>
      <c r="W262"/>
      <c r="X262"/>
      <c r="Y262"/>
      <c r="Z262"/>
      <c r="AA262"/>
      <c r="AB262" s="103">
        <v>0</v>
      </c>
      <c r="AC262" s="103">
        <v>0</v>
      </c>
      <c r="AD262" s="103">
        <v>0</v>
      </c>
      <c r="AE262" s="103">
        <v>0</v>
      </c>
      <c r="AF262" s="102" t="e">
        <v>#N/A</v>
      </c>
      <c r="AG262" s="102" t="e">
        <v>#N/A</v>
      </c>
      <c r="AH262" s="102" t="e">
        <v>#N/A</v>
      </c>
      <c r="AI262" s="102" t="e">
        <v>#N/A</v>
      </c>
      <c r="AJ262" s="102" t="e">
        <v>#N/A</v>
      </c>
      <c r="AK262" s="102" t="e">
        <v>#N/A</v>
      </c>
      <c r="AL262" s="102" t="e">
        <v>#N/A</v>
      </c>
      <c r="AM262" s="102" t="e">
        <v>#N/A</v>
      </c>
      <c r="AN262" s="102" t="e">
        <v>#N/A</v>
      </c>
      <c r="AO262" s="102" t="e">
        <v>#N/A</v>
      </c>
      <c r="AP262" s="102" t="e">
        <v>#N/A</v>
      </c>
      <c r="AQ262" s="102" t="e">
        <v>#N/A</v>
      </c>
      <c r="AR262" s="102" t="e">
        <v>#N/A</v>
      </c>
      <c r="AS262" s="102" t="e">
        <v>#N/A</v>
      </c>
      <c r="AT262" s="102" t="e">
        <v>#N/A</v>
      </c>
      <c r="AU262" s="102" t="e">
        <v>#N/A</v>
      </c>
      <c r="AV262" s="102" t="e">
        <v>#N/A</v>
      </c>
      <c r="AW262" s="102" t="e">
        <v>#N/A</v>
      </c>
      <c r="AX262" s="102" t="e">
        <v>#N/A</v>
      </c>
      <c r="AY262" s="102" t="e">
        <v>#N/A</v>
      </c>
    </row>
    <row r="263" spans="1:51">
      <c r="A263" s="102" t="s">
        <v>390</v>
      </c>
      <c r="B263" s="102">
        <v>6490</v>
      </c>
      <c r="C263" s="102">
        <v>6480</v>
      </c>
      <c r="D263" s="102">
        <v>1.1000000000000001</v>
      </c>
      <c r="E263" s="102">
        <v>61651</v>
      </c>
      <c r="F263" s="102">
        <v>10.6</v>
      </c>
      <c r="G263" s="102">
        <v>2690</v>
      </c>
      <c r="H263" s="102">
        <v>815</v>
      </c>
      <c r="I263" s="102">
        <v>150</v>
      </c>
      <c r="J263" s="102">
        <v>76.2</v>
      </c>
      <c r="K263" s="102">
        <v>24</v>
      </c>
      <c r="L263" s="102">
        <v>68.8</v>
      </c>
      <c r="M263" s="102">
        <v>65.900000000000006</v>
      </c>
      <c r="N263" s="102">
        <v>4.2</v>
      </c>
      <c r="O263" s="102">
        <v>1275</v>
      </c>
      <c r="P263" s="102">
        <v>485</v>
      </c>
      <c r="Q263" s="102">
        <v>755</v>
      </c>
      <c r="R263" s="102">
        <v>810</v>
      </c>
      <c r="T263" s="102">
        <f t="shared" si="4"/>
        <v>0</v>
      </c>
      <c r="W263">
        <v>27871</v>
      </c>
      <c r="X263">
        <v>33414</v>
      </c>
      <c r="Y263">
        <v>21762</v>
      </c>
      <c r="Z263">
        <v>29033</v>
      </c>
      <c r="AA263">
        <v>17342</v>
      </c>
      <c r="AB263" s="102">
        <v>1310</v>
      </c>
      <c r="AC263" s="102">
        <v>4085</v>
      </c>
      <c r="AD263" s="102">
        <v>1485</v>
      </c>
      <c r="AE263" s="102">
        <v>1095</v>
      </c>
      <c r="AF263" s="102">
        <v>0.83063618319202936</v>
      </c>
      <c r="AG263" s="102">
        <v>7.1197387130745374E-2</v>
      </c>
      <c r="AH263" s="102">
        <v>0.18985969901532099</v>
      </c>
      <c r="AI263" s="102">
        <v>0.68824140893053865</v>
      </c>
      <c r="AJ263" s="102">
        <v>2.8004305604759847</v>
      </c>
      <c r="AK263" s="102">
        <v>0.59331155942287817</v>
      </c>
      <c r="AL263" s="102">
        <v>2.1596540762992764</v>
      </c>
      <c r="AM263" s="102">
        <v>0.68824140893053865</v>
      </c>
      <c r="AN263" s="102">
        <v>0.23732462376915126</v>
      </c>
      <c r="AO263" s="102">
        <v>0.30852201089989661</v>
      </c>
      <c r="AP263" s="102">
        <v>0.23732462376915126</v>
      </c>
      <c r="AQ263" s="102">
        <v>0.52211417229213275</v>
      </c>
      <c r="AR263" s="102">
        <v>4.7464924753830247E-2</v>
      </c>
      <c r="AS263" s="102">
        <v>0.40345186040755715</v>
      </c>
      <c r="AT263" s="102">
        <v>1.5663425168763982</v>
      </c>
      <c r="AU263" s="102">
        <v>2.3495137753145974</v>
      </c>
      <c r="AV263" s="102">
        <v>0.30852201089989661</v>
      </c>
      <c r="AW263" s="102">
        <v>1.0679608069611806</v>
      </c>
      <c r="AX263" s="102">
        <v>0.8781011079458596</v>
      </c>
      <c r="AY263" s="102">
        <v>0.8069037208151143</v>
      </c>
    </row>
    <row r="264" spans="1:51">
      <c r="A264" s="102" t="s">
        <v>391</v>
      </c>
      <c r="B264" s="102">
        <v>1605</v>
      </c>
      <c r="C264" s="102">
        <v>1600</v>
      </c>
      <c r="D264" s="102">
        <v>1</v>
      </c>
      <c r="E264" s="102">
        <v>60320</v>
      </c>
      <c r="F264" s="102">
        <v>13.7</v>
      </c>
      <c r="G264" s="102">
        <v>660</v>
      </c>
      <c r="H264" s="102">
        <v>250</v>
      </c>
      <c r="I264" s="102">
        <v>75</v>
      </c>
      <c r="J264" s="102">
        <v>74.2</v>
      </c>
      <c r="K264" s="102">
        <v>25</v>
      </c>
      <c r="L264" s="102">
        <v>64.7</v>
      </c>
      <c r="M264" s="102">
        <v>63.1</v>
      </c>
      <c r="N264" s="102">
        <v>2.4</v>
      </c>
      <c r="O264" s="102">
        <v>285</v>
      </c>
      <c r="P264" s="102">
        <v>150</v>
      </c>
      <c r="Q264" s="102">
        <v>205</v>
      </c>
      <c r="R264" s="102">
        <v>110</v>
      </c>
      <c r="T264" s="102">
        <f t="shared" si="4"/>
        <v>0</v>
      </c>
      <c r="W264">
        <v>27077</v>
      </c>
      <c r="X264">
        <v>33455</v>
      </c>
      <c r="Y264">
        <v>19831</v>
      </c>
      <c r="Z264">
        <v>29121</v>
      </c>
      <c r="AA264">
        <v>19447</v>
      </c>
      <c r="AB264" s="102">
        <v>325</v>
      </c>
      <c r="AC264" s="102">
        <v>960</v>
      </c>
      <c r="AD264" s="102">
        <v>340</v>
      </c>
      <c r="AE264" s="102">
        <v>300</v>
      </c>
      <c r="AF264" s="102">
        <v>1.1280830449826988</v>
      </c>
      <c r="AG264" s="102">
        <v>0</v>
      </c>
      <c r="AH264" s="102">
        <v>0.20510600817867253</v>
      </c>
      <c r="AI264" s="102">
        <v>1.1280830449826988</v>
      </c>
      <c r="AJ264" s="102">
        <v>2.4612720981440703</v>
      </c>
      <c r="AK264" s="102">
        <v>1.3331890531613715</v>
      </c>
      <c r="AL264" s="102">
        <v>0.41021201635734506</v>
      </c>
      <c r="AM264" s="102">
        <v>1.1280830449826988</v>
      </c>
      <c r="AN264" s="102">
        <v>0.20510600817867253</v>
      </c>
      <c r="AO264" s="102">
        <v>1.0255300408933627</v>
      </c>
      <c r="AP264" s="102">
        <v>0</v>
      </c>
      <c r="AQ264" s="102">
        <v>0.20510600817867253</v>
      </c>
      <c r="AR264" s="102">
        <v>0</v>
      </c>
      <c r="AS264" s="102">
        <v>0.51276502044668137</v>
      </c>
      <c r="AT264" s="102">
        <v>1.0255300408933627</v>
      </c>
      <c r="AU264" s="102">
        <v>3.4868021390374331</v>
      </c>
      <c r="AV264" s="102">
        <v>0.20510600817867253</v>
      </c>
      <c r="AW264" s="102">
        <v>0.92297703680402643</v>
      </c>
      <c r="AX264" s="102">
        <v>0.7178710286253539</v>
      </c>
      <c r="AY264" s="102">
        <v>0.7178710286253539</v>
      </c>
    </row>
    <row r="265" spans="1:51" s="103" customFormat="1">
      <c r="A265" s="108" t="s">
        <v>780</v>
      </c>
      <c r="B265" s="103">
        <v>2665</v>
      </c>
      <c r="C265" s="103">
        <v>2590</v>
      </c>
      <c r="D265" s="103">
        <v>1.3</v>
      </c>
      <c r="E265" s="103">
        <v>63349</v>
      </c>
      <c r="F265" s="103">
        <v>8.8000000000000007</v>
      </c>
      <c r="G265" s="103">
        <v>875</v>
      </c>
      <c r="H265" s="103">
        <v>285</v>
      </c>
      <c r="I265" s="103">
        <v>70</v>
      </c>
      <c r="J265" s="103">
        <v>83.4</v>
      </c>
      <c r="K265" s="103">
        <v>16.600000000000001</v>
      </c>
      <c r="L265" s="103">
        <v>72.2</v>
      </c>
      <c r="M265" s="103">
        <v>70.7</v>
      </c>
      <c r="N265" s="103">
        <v>1.7</v>
      </c>
      <c r="O265" s="103">
        <v>470</v>
      </c>
      <c r="P265" s="103">
        <v>145</v>
      </c>
      <c r="Q265" s="103">
        <v>250</v>
      </c>
      <c r="R265" s="103">
        <v>235</v>
      </c>
      <c r="T265" s="103">
        <f t="shared" si="4"/>
        <v>0</v>
      </c>
      <c r="W265">
        <v>25607</v>
      </c>
      <c r="X265">
        <v>31512</v>
      </c>
      <c r="Y265">
        <v>18062</v>
      </c>
      <c r="Z265">
        <v>26426</v>
      </c>
      <c r="AA265">
        <v>13450</v>
      </c>
      <c r="AB265" s="103">
        <v>610</v>
      </c>
      <c r="AC265" s="103">
        <v>1700</v>
      </c>
      <c r="AD265" s="103">
        <v>690</v>
      </c>
      <c r="AE265" s="103">
        <v>345</v>
      </c>
      <c r="AF265" s="102">
        <v>4.6304760123445243</v>
      </c>
      <c r="AG265" s="102">
        <v>0</v>
      </c>
      <c r="AH265" s="102">
        <v>0</v>
      </c>
      <c r="AI265" s="102">
        <v>1.3719928925465259</v>
      </c>
      <c r="AJ265" s="102">
        <v>2.4009875619564198</v>
      </c>
      <c r="AK265" s="102">
        <v>0.45733096418217528</v>
      </c>
      <c r="AL265" s="102">
        <v>0.97182829888712252</v>
      </c>
      <c r="AM265" s="102">
        <v>0.8574955578415786</v>
      </c>
      <c r="AN265" s="102">
        <v>0</v>
      </c>
      <c r="AO265" s="102">
        <v>0</v>
      </c>
      <c r="AP265" s="102">
        <v>0.11433274104554382</v>
      </c>
      <c r="AQ265" s="102">
        <v>0.17149911156831574</v>
      </c>
      <c r="AR265" s="102">
        <v>0</v>
      </c>
      <c r="AS265" s="102">
        <v>0.28583185261385957</v>
      </c>
      <c r="AT265" s="102">
        <v>1.7721574862059291</v>
      </c>
      <c r="AU265" s="102">
        <v>1.3719928925465259</v>
      </c>
      <c r="AV265" s="102">
        <v>0</v>
      </c>
      <c r="AW265" s="102">
        <v>0.80032918731880676</v>
      </c>
      <c r="AX265" s="102">
        <v>0.80032918731880676</v>
      </c>
      <c r="AY265" s="102">
        <v>0.40016459365940338</v>
      </c>
    </row>
    <row r="266" spans="1:51">
      <c r="A266" s="102" t="s">
        <v>620</v>
      </c>
      <c r="B266" s="102">
        <v>715</v>
      </c>
      <c r="C266" s="102">
        <v>705</v>
      </c>
      <c r="D266" s="102">
        <v>1</v>
      </c>
      <c r="E266" s="102">
        <v>77383</v>
      </c>
      <c r="F266" s="102">
        <v>10</v>
      </c>
      <c r="G266" s="102">
        <v>260</v>
      </c>
      <c r="H266" s="102">
        <v>105</v>
      </c>
      <c r="I266" s="102">
        <v>30</v>
      </c>
      <c r="J266" s="102">
        <v>84.6</v>
      </c>
      <c r="K266" s="102">
        <v>11.5</v>
      </c>
      <c r="L266" s="102">
        <v>82.3</v>
      </c>
      <c r="M266" s="102">
        <v>81.400000000000006</v>
      </c>
      <c r="N266" s="102">
        <v>0</v>
      </c>
      <c r="O266" s="102">
        <v>130</v>
      </c>
      <c r="P266" s="102">
        <v>55</v>
      </c>
      <c r="Q266" s="102">
        <v>120</v>
      </c>
      <c r="R266" s="102">
        <v>120</v>
      </c>
      <c r="T266" s="102">
        <f t="shared" si="4"/>
        <v>0</v>
      </c>
      <c r="W266">
        <v>28109</v>
      </c>
      <c r="X266">
        <v>37287</v>
      </c>
      <c r="Y266">
        <v>16572</v>
      </c>
      <c r="Z266">
        <v>28837</v>
      </c>
      <c r="AA266">
        <v>21542</v>
      </c>
      <c r="AB266" s="102">
        <v>150</v>
      </c>
      <c r="AC266" s="102">
        <v>470</v>
      </c>
      <c r="AD266" s="102">
        <v>245</v>
      </c>
      <c r="AE266" s="102">
        <v>80</v>
      </c>
      <c r="AF266" s="102">
        <v>7.4599040071436544</v>
      </c>
      <c r="AG266" s="102">
        <v>0</v>
      </c>
      <c r="AH266" s="102">
        <v>0</v>
      </c>
      <c r="AI266" s="102">
        <v>1.0916932693380959</v>
      </c>
      <c r="AJ266" s="102">
        <v>0</v>
      </c>
      <c r="AK266" s="102">
        <v>0.36389775644603195</v>
      </c>
      <c r="AL266" s="102">
        <v>0.54584663466904793</v>
      </c>
      <c r="AM266" s="102">
        <v>0.36389775644603195</v>
      </c>
      <c r="AN266" s="102">
        <v>0</v>
      </c>
      <c r="AO266" s="102">
        <v>0.54584663466904793</v>
      </c>
      <c r="AP266" s="102">
        <v>0.36389775644603195</v>
      </c>
      <c r="AQ266" s="102">
        <v>0.7277955128920639</v>
      </c>
      <c r="AR266" s="102">
        <v>0</v>
      </c>
      <c r="AS266" s="102">
        <v>0.36389775644603195</v>
      </c>
      <c r="AT266" s="102">
        <v>0.90974439111507988</v>
      </c>
      <c r="AU266" s="102">
        <v>2.1833865386761917</v>
      </c>
      <c r="AV266" s="102">
        <v>0.36389775644603195</v>
      </c>
      <c r="AW266" s="102">
        <v>0.90974439111507988</v>
      </c>
      <c r="AX266" s="102">
        <v>0.54584663466904793</v>
      </c>
      <c r="AY266" s="102">
        <v>0.36389775644603195</v>
      </c>
    </row>
    <row r="267" spans="1:51" s="103" customFormat="1">
      <c r="A267" s="103" t="s">
        <v>758</v>
      </c>
      <c r="B267" s="103">
        <v>700</v>
      </c>
      <c r="C267" s="103">
        <v>695</v>
      </c>
      <c r="D267" s="103">
        <v>2.2000000000000002</v>
      </c>
      <c r="E267" s="103">
        <v>36088</v>
      </c>
      <c r="F267" s="103">
        <v>0</v>
      </c>
      <c r="G267" s="103">
        <v>170</v>
      </c>
      <c r="H267" s="103">
        <v>45</v>
      </c>
      <c r="I267" s="103">
        <v>95</v>
      </c>
      <c r="J267" s="103">
        <v>8.8000000000000007</v>
      </c>
      <c r="K267" s="103">
        <v>8.8000000000000007</v>
      </c>
      <c r="L267" s="103">
        <v>37.6</v>
      </c>
      <c r="M267" s="103">
        <v>27.1</v>
      </c>
      <c r="N267" s="103">
        <v>28.1</v>
      </c>
      <c r="O267" s="103">
        <v>60</v>
      </c>
      <c r="P267" s="103">
        <v>25</v>
      </c>
      <c r="Q267" s="103">
        <v>15</v>
      </c>
      <c r="R267" s="103">
        <v>15</v>
      </c>
      <c r="T267" s="103" t="str">
        <f t="shared" si="4"/>
        <v>Mosakahiken Cree Nation</v>
      </c>
      <c r="W267">
        <v>17254</v>
      </c>
      <c r="X267">
        <v>17428</v>
      </c>
      <c r="Y267">
        <v>17072</v>
      </c>
      <c r="Z267">
        <v>8608</v>
      </c>
      <c r="AA267">
        <v>12448</v>
      </c>
      <c r="AB267" s="103">
        <v>275</v>
      </c>
      <c r="AC267" s="103">
        <v>380</v>
      </c>
      <c r="AD267" s="103">
        <v>70</v>
      </c>
      <c r="AE267" s="103">
        <v>10</v>
      </c>
      <c r="AF267" s="102">
        <v>1.5863667820069205</v>
      </c>
      <c r="AG267" s="102">
        <v>0</v>
      </c>
      <c r="AH267" s="102">
        <v>0</v>
      </c>
      <c r="AI267" s="102">
        <v>1.0575778546712802</v>
      </c>
      <c r="AJ267" s="102">
        <v>0</v>
      </c>
      <c r="AK267" s="102">
        <v>0</v>
      </c>
      <c r="AL267" s="102">
        <v>0</v>
      </c>
      <c r="AM267" s="102">
        <v>1.0575778546712802</v>
      </c>
      <c r="AN267" s="102">
        <v>1.0575778546712802</v>
      </c>
      <c r="AO267" s="102">
        <v>0</v>
      </c>
      <c r="AP267" s="102">
        <v>0</v>
      </c>
      <c r="AQ267" s="102">
        <v>0</v>
      </c>
      <c r="AR267" s="102">
        <v>0</v>
      </c>
      <c r="AS267" s="102">
        <v>1.5863667820069205</v>
      </c>
      <c r="AT267" s="102">
        <v>2.6439446366782007</v>
      </c>
      <c r="AU267" s="102">
        <v>2.1151557093425604</v>
      </c>
      <c r="AV267" s="102">
        <v>0</v>
      </c>
      <c r="AW267" s="102">
        <v>0</v>
      </c>
      <c r="AX267" s="102">
        <v>0</v>
      </c>
      <c r="AY267" s="102">
        <v>3.172733564013841</v>
      </c>
    </row>
    <row r="268" spans="1:51">
      <c r="A268" s="102" t="s">
        <v>684</v>
      </c>
      <c r="B268" s="102">
        <v>610</v>
      </c>
      <c r="C268" s="102">
        <v>615</v>
      </c>
      <c r="D268" s="102">
        <v>1.2</v>
      </c>
      <c r="E268" s="102">
        <v>46725</v>
      </c>
      <c r="F268" s="102">
        <v>5.4</v>
      </c>
      <c r="G268" s="102">
        <v>240</v>
      </c>
      <c r="H268" s="102">
        <v>100</v>
      </c>
      <c r="I268" s="102">
        <v>25</v>
      </c>
      <c r="J268" s="102">
        <v>97.9</v>
      </c>
      <c r="K268" s="102">
        <v>0</v>
      </c>
      <c r="L268" s="102">
        <v>76.7</v>
      </c>
      <c r="M268" s="102">
        <v>71.8</v>
      </c>
      <c r="N268" s="102">
        <v>6.3</v>
      </c>
      <c r="O268" s="102">
        <v>150</v>
      </c>
      <c r="P268" s="102">
        <v>60</v>
      </c>
      <c r="Q268" s="102">
        <v>15</v>
      </c>
      <c r="R268" s="102">
        <v>75</v>
      </c>
      <c r="T268" s="102">
        <f t="shared" si="4"/>
        <v>0</v>
      </c>
      <c r="W268">
        <v>17919</v>
      </c>
      <c r="X268">
        <v>15846</v>
      </c>
      <c r="Y268">
        <v>20565</v>
      </c>
      <c r="Z268">
        <v>15362</v>
      </c>
      <c r="AA268">
        <v>15678</v>
      </c>
      <c r="AB268" s="102">
        <v>95</v>
      </c>
      <c r="AC268" s="102">
        <v>435</v>
      </c>
      <c r="AD268" s="102">
        <v>215</v>
      </c>
      <c r="AE268" s="102">
        <v>90</v>
      </c>
      <c r="AF268" s="102">
        <v>7.4967544128597075</v>
      </c>
      <c r="AG268" s="102">
        <v>0.64257894967368934</v>
      </c>
      <c r="AH268" s="102">
        <v>0</v>
      </c>
      <c r="AI268" s="102">
        <v>0.85677193289825238</v>
      </c>
      <c r="AJ268" s="102">
        <v>0</v>
      </c>
      <c r="AK268" s="102">
        <v>0</v>
      </c>
      <c r="AL268" s="102">
        <v>1.2851578993473787</v>
      </c>
      <c r="AM268" s="102">
        <v>0</v>
      </c>
      <c r="AN268" s="102">
        <v>0</v>
      </c>
      <c r="AO268" s="102">
        <v>1.4993508825719417</v>
      </c>
      <c r="AP268" s="102">
        <v>0</v>
      </c>
      <c r="AQ268" s="102">
        <v>0.64257894967368934</v>
      </c>
      <c r="AR268" s="102">
        <v>0</v>
      </c>
      <c r="AS268" s="102">
        <v>0.42838596644912619</v>
      </c>
      <c r="AT268" s="102">
        <v>1.0709649161228156</v>
      </c>
      <c r="AU268" s="102">
        <v>1.0709649161228156</v>
      </c>
      <c r="AV268" s="102">
        <v>0</v>
      </c>
      <c r="AW268" s="102">
        <v>0.42838596644912619</v>
      </c>
      <c r="AX268" s="102">
        <v>0.64257894967368934</v>
      </c>
      <c r="AY268" s="102">
        <v>0.42838596644912619</v>
      </c>
    </row>
    <row r="269" spans="1:51">
      <c r="A269" s="102" t="s">
        <v>698</v>
      </c>
      <c r="B269" s="102">
        <v>765</v>
      </c>
      <c r="C269" s="102">
        <v>765</v>
      </c>
      <c r="D269" s="102">
        <v>0.9</v>
      </c>
      <c r="E269" s="102">
        <v>48040</v>
      </c>
      <c r="F269" s="102">
        <v>13</v>
      </c>
      <c r="G269" s="102">
        <v>340</v>
      </c>
      <c r="H269" s="102">
        <v>120</v>
      </c>
      <c r="I269" s="102">
        <v>90</v>
      </c>
      <c r="J269" s="102">
        <v>75</v>
      </c>
      <c r="K269" s="102">
        <v>23.5</v>
      </c>
      <c r="L269" s="102">
        <v>55.6</v>
      </c>
      <c r="M269" s="102">
        <v>45.1</v>
      </c>
      <c r="N269" s="102">
        <v>16.2</v>
      </c>
      <c r="O269" s="102">
        <v>160</v>
      </c>
      <c r="P269" s="102">
        <v>70</v>
      </c>
      <c r="Q269" s="102">
        <v>40</v>
      </c>
      <c r="R269" s="102">
        <v>15</v>
      </c>
      <c r="T269" s="102">
        <f t="shared" si="4"/>
        <v>0</v>
      </c>
      <c r="W269">
        <v>21295</v>
      </c>
      <c r="X269">
        <v>25288</v>
      </c>
      <c r="Y269">
        <v>15546</v>
      </c>
      <c r="Z269">
        <v>16466</v>
      </c>
      <c r="AA269">
        <v>13854</v>
      </c>
      <c r="AB269" s="102">
        <v>85</v>
      </c>
      <c r="AC269" s="102">
        <v>505</v>
      </c>
      <c r="AD269" s="102">
        <v>230</v>
      </c>
      <c r="AE269" s="102">
        <v>165</v>
      </c>
      <c r="AF269" s="102">
        <v>4.1159786776395775</v>
      </c>
      <c r="AG269" s="102">
        <v>0</v>
      </c>
      <c r="AH269" s="102">
        <v>0</v>
      </c>
      <c r="AI269" s="102">
        <v>0.91466192836435056</v>
      </c>
      <c r="AJ269" s="102">
        <v>0.68599644627326295</v>
      </c>
      <c r="AK269" s="102">
        <v>0.68599644627326295</v>
      </c>
      <c r="AL269" s="102">
        <v>0.68599644627326295</v>
      </c>
      <c r="AM269" s="102">
        <v>1.8293238567287011</v>
      </c>
      <c r="AN269" s="102">
        <v>0</v>
      </c>
      <c r="AO269" s="102">
        <v>0</v>
      </c>
      <c r="AP269" s="102">
        <v>0</v>
      </c>
      <c r="AQ269" s="102">
        <v>0</v>
      </c>
      <c r="AR269" s="102">
        <v>0</v>
      </c>
      <c r="AS269" s="102">
        <v>0.45733096418217528</v>
      </c>
      <c r="AT269" s="102">
        <v>1.3719928925465259</v>
      </c>
      <c r="AU269" s="102">
        <v>1.3719928925465259</v>
      </c>
      <c r="AV269" s="102">
        <v>0</v>
      </c>
      <c r="AW269" s="102">
        <v>1.3719928925465259</v>
      </c>
      <c r="AX269" s="102">
        <v>0</v>
      </c>
      <c r="AY269" s="102">
        <v>2.2866548209108766</v>
      </c>
    </row>
    <row r="270" spans="1:51">
      <c r="A270" s="102" t="s">
        <v>696</v>
      </c>
      <c r="B270" s="102">
        <v>570</v>
      </c>
      <c r="C270" s="102">
        <v>570</v>
      </c>
      <c r="D270" s="102">
        <v>1.2</v>
      </c>
      <c r="E270" s="102">
        <v>39018</v>
      </c>
      <c r="F270" s="102">
        <v>22.6</v>
      </c>
      <c r="G270" s="102">
        <v>230</v>
      </c>
      <c r="H270" s="102">
        <v>90</v>
      </c>
      <c r="I270" s="102">
        <v>65</v>
      </c>
      <c r="J270" s="102">
        <v>84.8</v>
      </c>
      <c r="K270" s="102">
        <v>15.2</v>
      </c>
      <c r="L270" s="102">
        <v>54.9</v>
      </c>
      <c r="M270" s="102">
        <v>49.5</v>
      </c>
      <c r="N270" s="102">
        <v>8</v>
      </c>
      <c r="O270" s="102">
        <v>120</v>
      </c>
      <c r="P270" s="102">
        <v>35</v>
      </c>
      <c r="Q270" s="102">
        <v>25</v>
      </c>
      <c r="R270" s="102">
        <v>30</v>
      </c>
      <c r="T270" s="102">
        <f t="shared" si="4"/>
        <v>0</v>
      </c>
      <c r="W270">
        <v>14752</v>
      </c>
      <c r="X270">
        <v>18463</v>
      </c>
      <c r="Y270">
        <v>10661</v>
      </c>
      <c r="Z270">
        <v>19601</v>
      </c>
      <c r="AA270">
        <v>15936</v>
      </c>
      <c r="AB270" s="102">
        <v>110</v>
      </c>
      <c r="AC270" s="102">
        <v>340</v>
      </c>
      <c r="AD270" s="102">
        <v>185</v>
      </c>
      <c r="AE270" s="102">
        <v>110</v>
      </c>
      <c r="AF270" s="102">
        <v>9.8143224913494809</v>
      </c>
      <c r="AG270" s="102">
        <v>0</v>
      </c>
      <c r="AH270" s="102">
        <v>0</v>
      </c>
      <c r="AI270" s="102">
        <v>1.3536996539792387</v>
      </c>
      <c r="AJ270" s="102">
        <v>0</v>
      </c>
      <c r="AK270" s="102">
        <v>0</v>
      </c>
      <c r="AL270" s="102">
        <v>1.0152747404844291</v>
      </c>
      <c r="AM270" s="102">
        <v>0</v>
      </c>
      <c r="AN270" s="102">
        <v>0</v>
      </c>
      <c r="AO270" s="102">
        <v>0</v>
      </c>
      <c r="AP270" s="102">
        <v>0</v>
      </c>
      <c r="AQ270" s="102">
        <v>0</v>
      </c>
      <c r="AR270" s="102">
        <v>0</v>
      </c>
      <c r="AS270" s="102">
        <v>0</v>
      </c>
      <c r="AT270" s="102">
        <v>1.0152747404844291</v>
      </c>
      <c r="AU270" s="102">
        <v>0</v>
      </c>
      <c r="AV270" s="102">
        <v>0</v>
      </c>
      <c r="AW270" s="102">
        <v>1.6921245674740486</v>
      </c>
      <c r="AX270" s="102">
        <v>0</v>
      </c>
      <c r="AY270" s="102">
        <v>0</v>
      </c>
    </row>
    <row r="271" spans="1:51">
      <c r="A271" s="102" t="s">
        <v>704</v>
      </c>
      <c r="B271" s="102">
        <v>135</v>
      </c>
      <c r="C271" s="102">
        <v>135</v>
      </c>
      <c r="D271" s="102">
        <v>0</v>
      </c>
      <c r="E271" s="102">
        <v>0</v>
      </c>
      <c r="F271" s="102">
        <v>0</v>
      </c>
      <c r="G271" s="102">
        <v>60</v>
      </c>
      <c r="H271" s="102">
        <v>10</v>
      </c>
      <c r="I271" s="102">
        <v>0</v>
      </c>
      <c r="J271" s="102">
        <v>108.3</v>
      </c>
      <c r="K271" s="102">
        <v>0</v>
      </c>
      <c r="L271" s="102">
        <v>63</v>
      </c>
      <c r="M271" s="102">
        <v>55.6</v>
      </c>
      <c r="N271" s="102">
        <v>11.8</v>
      </c>
      <c r="O271" s="102">
        <v>30</v>
      </c>
      <c r="P271" s="102">
        <v>40</v>
      </c>
      <c r="Q271" s="102">
        <v>25</v>
      </c>
      <c r="R271" s="102">
        <v>35</v>
      </c>
      <c r="T271" s="102">
        <f t="shared" si="4"/>
        <v>0</v>
      </c>
      <c r="W271">
        <v>0</v>
      </c>
      <c r="X271">
        <v>0</v>
      </c>
      <c r="Y271">
        <v>0</v>
      </c>
      <c r="Z271">
        <v>0</v>
      </c>
      <c r="AA271">
        <v>0</v>
      </c>
      <c r="AB271" s="102">
        <v>0</v>
      </c>
      <c r="AC271" s="102">
        <v>130</v>
      </c>
      <c r="AD271" s="102">
        <v>110</v>
      </c>
      <c r="AE271" s="102">
        <v>10</v>
      </c>
      <c r="AF271" s="102">
        <v>0</v>
      </c>
      <c r="AG271" s="102">
        <v>1.9907347852635864</v>
      </c>
      <c r="AH271" s="102">
        <v>0</v>
      </c>
      <c r="AI271" s="102">
        <v>0</v>
      </c>
      <c r="AJ271" s="102">
        <v>0</v>
      </c>
      <c r="AK271" s="102">
        <v>1.9907347852635864</v>
      </c>
      <c r="AL271" s="102">
        <v>1.9907347852635864</v>
      </c>
      <c r="AM271" s="102">
        <v>0</v>
      </c>
      <c r="AN271" s="102">
        <v>0</v>
      </c>
      <c r="AO271" s="102">
        <v>0</v>
      </c>
      <c r="AP271" s="102">
        <v>0</v>
      </c>
      <c r="AQ271" s="102">
        <v>0</v>
      </c>
      <c r="AR271" s="102">
        <v>0</v>
      </c>
      <c r="AS271" s="102">
        <v>0</v>
      </c>
      <c r="AT271" s="102">
        <v>2.98610217789538</v>
      </c>
      <c r="AU271" s="102">
        <v>1.9907347852635864</v>
      </c>
      <c r="AV271" s="102">
        <v>0</v>
      </c>
      <c r="AW271" s="102">
        <v>0</v>
      </c>
      <c r="AX271" s="102">
        <v>0</v>
      </c>
      <c r="AY271" s="102">
        <v>1.9907347852635864</v>
      </c>
    </row>
    <row r="272" spans="1:51" s="103" customFormat="1">
      <c r="A272" s="105" t="s">
        <v>240</v>
      </c>
      <c r="B272" s="103">
        <v>18</v>
      </c>
      <c r="T272" s="103">
        <f t="shared" si="4"/>
        <v>0</v>
      </c>
      <c r="W272"/>
      <c r="X272"/>
      <c r="Y272"/>
      <c r="Z272"/>
      <c r="AA272"/>
      <c r="AB272" s="103">
        <v>0</v>
      </c>
      <c r="AC272" s="103">
        <v>0</v>
      </c>
      <c r="AD272" s="103">
        <v>0</v>
      </c>
      <c r="AE272" s="103">
        <v>0</v>
      </c>
      <c r="AF272" s="102" t="e">
        <v>#N/A</v>
      </c>
      <c r="AG272" s="102" t="e">
        <v>#N/A</v>
      </c>
      <c r="AH272" s="102" t="e">
        <v>#N/A</v>
      </c>
      <c r="AI272" s="102" t="e">
        <v>#N/A</v>
      </c>
      <c r="AJ272" s="102" t="e">
        <v>#N/A</v>
      </c>
      <c r="AK272" s="102" t="e">
        <v>#N/A</v>
      </c>
      <c r="AL272" s="102" t="e">
        <v>#N/A</v>
      </c>
      <c r="AM272" s="102" t="e">
        <v>#N/A</v>
      </c>
      <c r="AN272" s="102" t="e">
        <v>#N/A</v>
      </c>
      <c r="AO272" s="102" t="e">
        <v>#N/A</v>
      </c>
      <c r="AP272" s="102" t="e">
        <v>#N/A</v>
      </c>
      <c r="AQ272" s="102" t="e">
        <v>#N/A</v>
      </c>
      <c r="AR272" s="102" t="e">
        <v>#N/A</v>
      </c>
      <c r="AS272" s="102" t="e">
        <v>#N/A</v>
      </c>
      <c r="AT272" s="102" t="e">
        <v>#N/A</v>
      </c>
      <c r="AU272" s="102" t="e">
        <v>#N/A</v>
      </c>
      <c r="AV272" s="102" t="e">
        <v>#N/A</v>
      </c>
      <c r="AW272" s="102" t="e">
        <v>#N/A</v>
      </c>
      <c r="AX272" s="102" t="e">
        <v>#N/A</v>
      </c>
      <c r="AY272" s="102" t="e">
        <v>#N/A</v>
      </c>
    </row>
    <row r="273" spans="1:51">
      <c r="A273" s="102" t="s">
        <v>394</v>
      </c>
      <c r="B273" s="102">
        <v>3160</v>
      </c>
      <c r="C273" s="102">
        <v>3150</v>
      </c>
      <c r="D273" s="102">
        <v>0.9</v>
      </c>
      <c r="E273" s="102">
        <v>59617</v>
      </c>
      <c r="F273" s="102">
        <v>9.1999999999999993</v>
      </c>
      <c r="G273" s="102">
        <v>1485</v>
      </c>
      <c r="H273" s="102">
        <v>375</v>
      </c>
      <c r="I273" s="102">
        <v>90</v>
      </c>
      <c r="J273" s="102">
        <v>71</v>
      </c>
      <c r="K273" s="102">
        <v>29.3</v>
      </c>
      <c r="L273" s="102">
        <v>57.5</v>
      </c>
      <c r="M273" s="102">
        <v>56.2</v>
      </c>
      <c r="N273" s="102">
        <v>2</v>
      </c>
      <c r="O273" s="102">
        <v>590</v>
      </c>
      <c r="P273" s="102">
        <v>350</v>
      </c>
      <c r="Q273" s="102">
        <v>290</v>
      </c>
      <c r="R273" s="102">
        <v>410</v>
      </c>
      <c r="T273" s="102">
        <f t="shared" si="4"/>
        <v>0</v>
      </c>
      <c r="W273">
        <v>26747</v>
      </c>
      <c r="X273">
        <v>30748</v>
      </c>
      <c r="Y273">
        <v>22762</v>
      </c>
      <c r="Z273">
        <v>28346</v>
      </c>
      <c r="AA273">
        <v>20099</v>
      </c>
      <c r="AB273" s="102">
        <v>520</v>
      </c>
      <c r="AC273" s="102">
        <v>1890</v>
      </c>
      <c r="AD273" s="102">
        <v>850</v>
      </c>
      <c r="AE273" s="102">
        <v>755</v>
      </c>
      <c r="AF273" s="102">
        <v>0.99863089227976631</v>
      </c>
      <c r="AG273" s="102">
        <v>0.22191797606217029</v>
      </c>
      <c r="AH273" s="102">
        <v>0.16643848204662773</v>
      </c>
      <c r="AI273" s="102">
        <v>0.88767190424868114</v>
      </c>
      <c r="AJ273" s="102">
        <v>1.7753438084973623</v>
      </c>
      <c r="AK273" s="102">
        <v>0.99863089227976631</v>
      </c>
      <c r="AL273" s="102">
        <v>1.7753438084973623</v>
      </c>
      <c r="AM273" s="102">
        <v>0.61027443417096838</v>
      </c>
      <c r="AN273" s="102">
        <v>0.22191797606217029</v>
      </c>
      <c r="AO273" s="102">
        <v>0.44383595212434057</v>
      </c>
      <c r="AP273" s="102">
        <v>0.11095898803108514</v>
      </c>
      <c r="AQ273" s="102">
        <v>0.27739747007771287</v>
      </c>
      <c r="AR273" s="102">
        <v>0.11095898803108514</v>
      </c>
      <c r="AS273" s="102">
        <v>0.55479494015542574</v>
      </c>
      <c r="AT273" s="102">
        <v>1.3869873503885641</v>
      </c>
      <c r="AU273" s="102">
        <v>2.3856182426683303</v>
      </c>
      <c r="AV273" s="102">
        <v>0.44383595212434057</v>
      </c>
      <c r="AW273" s="102">
        <v>1.8863027965284476</v>
      </c>
      <c r="AX273" s="102">
        <v>0.88767190424868114</v>
      </c>
      <c r="AY273" s="102">
        <v>0.72123342220205344</v>
      </c>
    </row>
    <row r="274" spans="1:51">
      <c r="A274" t="s">
        <v>396</v>
      </c>
      <c r="B274" s="103">
        <v>109</v>
      </c>
      <c r="T274" s="102">
        <f t="shared" si="4"/>
        <v>0</v>
      </c>
      <c r="W274"/>
      <c r="X274"/>
      <c r="Y274"/>
      <c r="Z274"/>
      <c r="AA274"/>
      <c r="AB274" s="102">
        <v>0</v>
      </c>
      <c r="AC274" s="102">
        <v>0</v>
      </c>
      <c r="AD274" s="102">
        <v>0</v>
      </c>
      <c r="AE274" s="102">
        <v>0</v>
      </c>
      <c r="AF274" s="102" t="e">
        <v>#N/A</v>
      </c>
      <c r="AG274" s="102" t="e">
        <v>#N/A</v>
      </c>
      <c r="AH274" s="102" t="e">
        <v>#N/A</v>
      </c>
      <c r="AI274" s="102" t="e">
        <v>#N/A</v>
      </c>
      <c r="AJ274" s="102" t="e">
        <v>#N/A</v>
      </c>
      <c r="AK274" s="102" t="e">
        <v>#N/A</v>
      </c>
      <c r="AL274" s="102" t="e">
        <v>#N/A</v>
      </c>
      <c r="AM274" s="102" t="e">
        <v>#N/A</v>
      </c>
      <c r="AN274" s="102" t="e">
        <v>#N/A</v>
      </c>
      <c r="AO274" s="102" t="e">
        <v>#N/A</v>
      </c>
      <c r="AP274" s="102" t="e">
        <v>#N/A</v>
      </c>
      <c r="AQ274" s="102" t="e">
        <v>#N/A</v>
      </c>
      <c r="AR274" s="102" t="e">
        <v>#N/A</v>
      </c>
      <c r="AS274" s="102" t="e">
        <v>#N/A</v>
      </c>
      <c r="AT274" s="102" t="e">
        <v>#N/A</v>
      </c>
      <c r="AU274" s="102" t="e">
        <v>#N/A</v>
      </c>
      <c r="AV274" s="102" t="e">
        <v>#N/A</v>
      </c>
      <c r="AW274" s="102" t="e">
        <v>#N/A</v>
      </c>
      <c r="AX274" s="102" t="e">
        <v>#N/A</v>
      </c>
      <c r="AY274" s="102" t="e">
        <v>#N/A</v>
      </c>
    </row>
    <row r="275" spans="1:51" s="103" customFormat="1">
      <c r="A275" s="103" t="s">
        <v>241</v>
      </c>
      <c r="B275" s="103">
        <v>2075</v>
      </c>
      <c r="C275" s="103">
        <v>2075</v>
      </c>
      <c r="D275" s="103">
        <v>2.5</v>
      </c>
      <c r="E275" s="103">
        <v>40314</v>
      </c>
      <c r="F275" s="103">
        <v>0</v>
      </c>
      <c r="G275" s="103">
        <v>420</v>
      </c>
      <c r="H275" s="103">
        <v>130</v>
      </c>
      <c r="I275" s="103">
        <v>250</v>
      </c>
      <c r="J275" s="103">
        <v>4.8</v>
      </c>
      <c r="K275" s="103">
        <v>3.6</v>
      </c>
      <c r="L275" s="103">
        <v>39.5</v>
      </c>
      <c r="M275" s="103">
        <v>29.2</v>
      </c>
      <c r="N275" s="103">
        <v>26</v>
      </c>
      <c r="O275" s="103">
        <v>150</v>
      </c>
      <c r="P275" s="103">
        <v>95</v>
      </c>
      <c r="Q275" s="103">
        <v>75</v>
      </c>
      <c r="R275" s="103">
        <v>110</v>
      </c>
      <c r="T275" s="103" t="str">
        <f t="shared" si="4"/>
        <v>Nisichawayasihk Cree Nation</v>
      </c>
      <c r="W275">
        <v>20113</v>
      </c>
      <c r="X275">
        <v>18674</v>
      </c>
      <c r="Y275">
        <v>21650</v>
      </c>
      <c r="Z275">
        <v>7952</v>
      </c>
      <c r="AA275">
        <v>10816</v>
      </c>
      <c r="AB275" s="103">
        <v>865</v>
      </c>
      <c r="AC275" s="103">
        <v>1150</v>
      </c>
      <c r="AD275" s="103">
        <v>280</v>
      </c>
      <c r="AE275" s="103">
        <v>80</v>
      </c>
      <c r="AF275" s="102">
        <v>0</v>
      </c>
      <c r="AG275" s="102">
        <v>0</v>
      </c>
      <c r="AH275" s="102">
        <v>0.52878892733564009</v>
      </c>
      <c r="AI275" s="102">
        <v>1.4101038062283737</v>
      </c>
      <c r="AJ275" s="102">
        <v>0</v>
      </c>
      <c r="AK275" s="102">
        <v>0.35252595155709343</v>
      </c>
      <c r="AL275" s="102">
        <v>0.70505190311418686</v>
      </c>
      <c r="AM275" s="102">
        <v>0.52878892733564009</v>
      </c>
      <c r="AN275" s="102">
        <v>0</v>
      </c>
      <c r="AO275" s="102">
        <v>0.35252595155709343</v>
      </c>
      <c r="AP275" s="102">
        <v>0</v>
      </c>
      <c r="AQ275" s="102">
        <v>0.35252595155709343</v>
      </c>
      <c r="AR275" s="102">
        <v>0.35252595155709343</v>
      </c>
      <c r="AS275" s="102">
        <v>0.70505190311418686</v>
      </c>
      <c r="AT275" s="102">
        <v>2.2914186851211071</v>
      </c>
      <c r="AU275" s="102">
        <v>2.8202076124567474</v>
      </c>
      <c r="AV275" s="102">
        <v>0.35252595155709343</v>
      </c>
      <c r="AW275" s="102">
        <v>0</v>
      </c>
      <c r="AX275" s="102">
        <v>0.35252595155709343</v>
      </c>
      <c r="AY275" s="102">
        <v>3.8777854671280276</v>
      </c>
    </row>
    <row r="276" spans="1:51" s="103" customFormat="1">
      <c r="A276" s="103" t="s">
        <v>397</v>
      </c>
      <c r="B276" s="103">
        <v>2460</v>
      </c>
      <c r="C276" s="103">
        <v>2455</v>
      </c>
      <c r="D276" s="103">
        <v>1.3</v>
      </c>
      <c r="E276" s="103">
        <v>69791</v>
      </c>
      <c r="F276" s="103">
        <v>3.1</v>
      </c>
      <c r="G276" s="103">
        <v>825</v>
      </c>
      <c r="H276" s="103">
        <v>190</v>
      </c>
      <c r="I276" s="103">
        <v>50</v>
      </c>
      <c r="J276" s="103">
        <v>80</v>
      </c>
      <c r="K276" s="103">
        <v>20</v>
      </c>
      <c r="L276" s="103">
        <v>73.7</v>
      </c>
      <c r="M276" s="103">
        <v>70.7</v>
      </c>
      <c r="N276" s="103">
        <v>3.7</v>
      </c>
      <c r="O276" s="103">
        <v>545</v>
      </c>
      <c r="P276" s="103">
        <v>185</v>
      </c>
      <c r="Q276" s="103">
        <v>260</v>
      </c>
      <c r="R276" s="103">
        <v>250</v>
      </c>
      <c r="T276" s="103">
        <f t="shared" si="4"/>
        <v>0</v>
      </c>
      <c r="W276">
        <v>27802</v>
      </c>
      <c r="X276">
        <v>36081</v>
      </c>
      <c r="Y276">
        <v>18212</v>
      </c>
      <c r="Z276">
        <v>33198</v>
      </c>
      <c r="AA276">
        <v>17520</v>
      </c>
      <c r="AB276" s="103">
        <v>610</v>
      </c>
      <c r="AC276" s="103">
        <v>1595</v>
      </c>
      <c r="AD276" s="103">
        <v>450</v>
      </c>
      <c r="AE276" s="103">
        <v>235</v>
      </c>
      <c r="AF276" s="102">
        <v>1.0575778546712802</v>
      </c>
      <c r="AG276" s="102">
        <v>0</v>
      </c>
      <c r="AH276" s="102">
        <v>0.18663138611846125</v>
      </c>
      <c r="AI276" s="102">
        <v>2.1151557093425604</v>
      </c>
      <c r="AJ276" s="102">
        <v>2.5506289436189697</v>
      </c>
      <c r="AK276" s="102">
        <v>0.80873600651333188</v>
      </c>
      <c r="AL276" s="102">
        <v>1.6174720130266638</v>
      </c>
      <c r="AM276" s="102">
        <v>0.93315693059230609</v>
      </c>
      <c r="AN276" s="102">
        <v>0.12442092407897415</v>
      </c>
      <c r="AO276" s="102">
        <v>0.6843150824343579</v>
      </c>
      <c r="AP276" s="102">
        <v>0.12442092407897415</v>
      </c>
      <c r="AQ276" s="102">
        <v>0.80873600651333188</v>
      </c>
      <c r="AR276" s="102">
        <v>0</v>
      </c>
      <c r="AS276" s="102">
        <v>0.6843150824343579</v>
      </c>
      <c r="AT276" s="102">
        <v>1.1197883167107674</v>
      </c>
      <c r="AU276" s="102">
        <v>1.8663138611846122</v>
      </c>
      <c r="AV276" s="102">
        <v>0</v>
      </c>
      <c r="AW276" s="102">
        <v>0.5598941583553837</v>
      </c>
      <c r="AX276" s="102">
        <v>1.1819987787502544</v>
      </c>
      <c r="AY276" s="102">
        <v>0.4976836963158966</v>
      </c>
    </row>
    <row r="277" spans="1:51" s="103" customFormat="1">
      <c r="A277" s="103" t="s">
        <v>759</v>
      </c>
      <c r="B277" s="103">
        <v>22850</v>
      </c>
      <c r="C277" s="103">
        <v>22780</v>
      </c>
      <c r="D277" s="103">
        <v>1.4</v>
      </c>
      <c r="E277" s="103">
        <v>67354</v>
      </c>
      <c r="F277" s="103">
        <v>12.5</v>
      </c>
      <c r="G277" s="103">
        <v>8235</v>
      </c>
      <c r="H277" s="103">
        <v>2735</v>
      </c>
      <c r="I277" s="103">
        <v>1720</v>
      </c>
      <c r="J277" s="103">
        <v>61.7</v>
      </c>
      <c r="K277" s="103">
        <v>28.3</v>
      </c>
      <c r="L277" s="103">
        <v>65</v>
      </c>
      <c r="M277" s="103">
        <v>58</v>
      </c>
      <c r="N277" s="103">
        <v>10.8</v>
      </c>
      <c r="O277" s="103">
        <v>3615</v>
      </c>
      <c r="P277" s="103">
        <v>1885</v>
      </c>
      <c r="Q277" s="103">
        <v>2735</v>
      </c>
      <c r="R277" s="103">
        <v>2015</v>
      </c>
      <c r="T277" s="103">
        <f t="shared" si="4"/>
        <v>0</v>
      </c>
      <c r="W277">
        <v>33326</v>
      </c>
      <c r="X277">
        <v>41174</v>
      </c>
      <c r="Y277">
        <v>24577</v>
      </c>
      <c r="Z277">
        <v>30343</v>
      </c>
      <c r="AA277">
        <v>18232</v>
      </c>
      <c r="AB277" s="103">
        <v>6005</v>
      </c>
      <c r="AC277" s="103">
        <v>14920</v>
      </c>
      <c r="AD277" s="103">
        <v>5750</v>
      </c>
      <c r="AE277" s="103">
        <v>1925</v>
      </c>
      <c r="AF277" s="102">
        <v>0.47904896430772148</v>
      </c>
      <c r="AG277" s="102">
        <v>0.91946494762288478</v>
      </c>
      <c r="AH277" s="102">
        <v>0.20861809735981418</v>
      </c>
      <c r="AI277" s="102">
        <v>0.62585429207944254</v>
      </c>
      <c r="AJ277" s="102">
        <v>2.0475479926055837</v>
      </c>
      <c r="AK277" s="102">
        <v>0.28588405934493055</v>
      </c>
      <c r="AL277" s="102">
        <v>1.8466564914442813</v>
      </c>
      <c r="AM277" s="102">
        <v>0.63358088827795411</v>
      </c>
      <c r="AN277" s="102">
        <v>0.13907873157320944</v>
      </c>
      <c r="AO277" s="102">
        <v>0.27043086694790724</v>
      </c>
      <c r="AP277" s="102">
        <v>0.13135213537469784</v>
      </c>
      <c r="AQ277" s="102">
        <v>0.32451704033748874</v>
      </c>
      <c r="AR277" s="102">
        <v>0</v>
      </c>
      <c r="AS277" s="102">
        <v>0.37087661752855855</v>
      </c>
      <c r="AT277" s="102">
        <v>1.7848437218561881</v>
      </c>
      <c r="AU277" s="102">
        <v>2.2329863013698632</v>
      </c>
      <c r="AV277" s="102">
        <v>0.3554234251315353</v>
      </c>
      <c r="AW277" s="102">
        <v>1.5839522206948855</v>
      </c>
      <c r="AX277" s="102">
        <v>0.42496279091813999</v>
      </c>
      <c r="AY277" s="102">
        <v>1.7539373370621416</v>
      </c>
    </row>
    <row r="278" spans="1:51" s="103" customFormat="1">
      <c r="A278" s="103" t="s">
        <v>760</v>
      </c>
      <c r="B278" s="103">
        <v>84290</v>
      </c>
      <c r="C278" s="103">
        <v>84185</v>
      </c>
      <c r="D278" s="103">
        <v>1.7</v>
      </c>
      <c r="E278" s="103">
        <v>57880</v>
      </c>
      <c r="F278" s="103">
        <v>14.9</v>
      </c>
      <c r="G278" s="103">
        <v>25530</v>
      </c>
      <c r="H278" s="103">
        <v>8320</v>
      </c>
      <c r="I278" s="103">
        <v>7805</v>
      </c>
      <c r="J278" s="103">
        <v>40.6</v>
      </c>
      <c r="K278" s="103">
        <v>25.1</v>
      </c>
      <c r="L278" s="103">
        <v>57.8</v>
      </c>
      <c r="M278" s="103">
        <v>48.3</v>
      </c>
      <c r="N278" s="103">
        <v>16.399999999999999</v>
      </c>
      <c r="O278" s="103">
        <v>10115</v>
      </c>
      <c r="P278" s="103">
        <v>4995</v>
      </c>
      <c r="Q278" s="103">
        <v>6500</v>
      </c>
      <c r="R278" s="103">
        <v>5785</v>
      </c>
      <c r="T278" s="103">
        <f t="shared" si="4"/>
        <v>0</v>
      </c>
      <c r="W278"/>
      <c r="X278"/>
      <c r="Y278"/>
      <c r="Z278"/>
      <c r="AA278"/>
      <c r="AB278" s="103">
        <v>0</v>
      </c>
      <c r="AC278" s="103">
        <v>0</v>
      </c>
      <c r="AD278" s="103">
        <v>0</v>
      </c>
      <c r="AE278" s="103">
        <v>0</v>
      </c>
      <c r="AF278" s="102">
        <v>0.54535569181070376</v>
      </c>
      <c r="AG278" s="102">
        <v>1.1312959932445295</v>
      </c>
      <c r="AH278" s="102">
        <v>0.39569994382544083</v>
      </c>
      <c r="AI278" s="102">
        <v>0.78379027334654616</v>
      </c>
      <c r="AJ278" s="102">
        <v>0.85227680208556478</v>
      </c>
      <c r="AK278" s="102">
        <v>0.18516728140549474</v>
      </c>
      <c r="AL278" s="102">
        <v>1.580263237200318</v>
      </c>
      <c r="AM278" s="102">
        <v>0.7761806590422109</v>
      </c>
      <c r="AN278" s="102">
        <v>0.12682690507225666</v>
      </c>
      <c r="AO278" s="102">
        <v>0.19531343381127528</v>
      </c>
      <c r="AP278" s="102">
        <v>0.17755766710115933</v>
      </c>
      <c r="AQ278" s="102">
        <v>0.22575189102861687</v>
      </c>
      <c r="AR278" s="102">
        <v>0</v>
      </c>
      <c r="AS278" s="102">
        <v>0.4819422392745753</v>
      </c>
      <c r="AT278" s="102">
        <v>2.0596689383734486</v>
      </c>
      <c r="AU278" s="102">
        <v>2.3741996629526447</v>
      </c>
      <c r="AV278" s="102">
        <v>0.24350765773873279</v>
      </c>
      <c r="AW278" s="102">
        <v>1.194709445780658</v>
      </c>
      <c r="AX278" s="102">
        <v>0.51745377269480719</v>
      </c>
      <c r="AY278" s="102">
        <v>1.9937189477358748</v>
      </c>
    </row>
    <row r="279" spans="1:51" s="103" customFormat="1">
      <c r="A279" s="103" t="s">
        <v>485</v>
      </c>
      <c r="B279" s="103">
        <v>46215</v>
      </c>
      <c r="C279" s="103">
        <v>42510</v>
      </c>
      <c r="D279" s="103">
        <v>1.2</v>
      </c>
      <c r="E279" s="103">
        <v>65992</v>
      </c>
      <c r="F279" s="103">
        <v>8.9</v>
      </c>
      <c r="G279" s="103">
        <v>16250</v>
      </c>
      <c r="H279" s="103">
        <v>5270</v>
      </c>
      <c r="I279" s="103">
        <v>2000</v>
      </c>
      <c r="J279" s="103">
        <v>77.599999999999994</v>
      </c>
      <c r="K279" s="103">
        <v>18.100000000000001</v>
      </c>
      <c r="L279" s="103">
        <v>68.599999999999994</v>
      </c>
      <c r="M279" s="103">
        <v>65.8</v>
      </c>
      <c r="N279" s="103">
        <v>4.0999999999999996</v>
      </c>
      <c r="O279" s="103">
        <v>8470</v>
      </c>
      <c r="P279" s="103">
        <v>3580</v>
      </c>
      <c r="Q279" s="103">
        <v>4770</v>
      </c>
      <c r="R279" s="103">
        <v>4900</v>
      </c>
      <c r="T279" s="103">
        <f t="shared" si="4"/>
        <v>0</v>
      </c>
      <c r="W279"/>
      <c r="X279"/>
      <c r="Y279"/>
      <c r="Z279"/>
      <c r="AA279"/>
      <c r="AB279" s="103">
        <v>0</v>
      </c>
      <c r="AC279" s="103">
        <v>0</v>
      </c>
      <c r="AD279" s="103">
        <v>0</v>
      </c>
      <c r="AE279" s="103">
        <v>0</v>
      </c>
      <c r="AF279" s="102">
        <v>3.7598910680640021</v>
      </c>
      <c r="AG279" s="102">
        <v>5.9019527384199473E-2</v>
      </c>
      <c r="AH279" s="102">
        <v>0.14928468691297514</v>
      </c>
      <c r="AI279" s="102">
        <v>0.88876464766794505</v>
      </c>
      <c r="AJ279" s="102">
        <v>1.3748078143613525</v>
      </c>
      <c r="AK279" s="102">
        <v>0.64227132741628845</v>
      </c>
      <c r="AL279" s="102">
        <v>1.4477142893653636</v>
      </c>
      <c r="AM279" s="102">
        <v>0.80197122504412233</v>
      </c>
      <c r="AN279" s="102">
        <v>0.15622816072288098</v>
      </c>
      <c r="AO279" s="102">
        <v>0.47215621907359578</v>
      </c>
      <c r="AP279" s="102">
        <v>0.1041521071485873</v>
      </c>
      <c r="AQ279" s="102">
        <v>0.43049537621416084</v>
      </c>
      <c r="AR279" s="102">
        <v>0</v>
      </c>
      <c r="AS279" s="102">
        <v>0.36800411192500848</v>
      </c>
      <c r="AT279" s="102">
        <v>1.2880143917375297</v>
      </c>
      <c r="AU279" s="102">
        <v>2.280931146554062</v>
      </c>
      <c r="AV279" s="102">
        <v>0.25343679406156244</v>
      </c>
      <c r="AW279" s="102">
        <v>0.82627338337879264</v>
      </c>
      <c r="AX279" s="102">
        <v>0.5693648524122773</v>
      </c>
      <c r="AY279" s="102">
        <v>0.93042549052737999</v>
      </c>
    </row>
    <row r="280" spans="1:51">
      <c r="A280" s="102" t="s">
        <v>637</v>
      </c>
      <c r="B280" s="102">
        <v>1900</v>
      </c>
      <c r="C280" s="102">
        <v>1500</v>
      </c>
      <c r="D280" s="102">
        <v>1.1000000000000001</v>
      </c>
      <c r="E280" s="102">
        <v>71141</v>
      </c>
      <c r="F280" s="102">
        <v>2.2000000000000002</v>
      </c>
      <c r="G280" s="102">
        <v>545</v>
      </c>
      <c r="H280" s="102">
        <v>175</v>
      </c>
      <c r="I280" s="102">
        <v>45</v>
      </c>
      <c r="J280" s="102">
        <v>90.8</v>
      </c>
      <c r="K280" s="102">
        <v>9.1999999999999993</v>
      </c>
      <c r="L280" s="102">
        <v>77.400000000000006</v>
      </c>
      <c r="M280" s="102">
        <v>75.099999999999994</v>
      </c>
      <c r="N280" s="102">
        <v>3.4</v>
      </c>
      <c r="O280" s="102">
        <v>455</v>
      </c>
      <c r="P280" s="102">
        <v>205</v>
      </c>
      <c r="Q280" s="102">
        <v>210</v>
      </c>
      <c r="R280" s="102">
        <v>160</v>
      </c>
      <c r="T280" s="102">
        <f t="shared" si="4"/>
        <v>0</v>
      </c>
      <c r="W280">
        <v>28573</v>
      </c>
      <c r="X280">
        <v>31303</v>
      </c>
      <c r="Y280">
        <v>24382</v>
      </c>
      <c r="Z280">
        <v>31175</v>
      </c>
      <c r="AA280">
        <v>21348</v>
      </c>
      <c r="AB280" s="102">
        <v>375</v>
      </c>
      <c r="AC280" s="102">
        <v>1325</v>
      </c>
      <c r="AD280" s="102">
        <v>535</v>
      </c>
      <c r="AE280" s="102">
        <v>190</v>
      </c>
      <c r="AF280" s="102">
        <v>5.807715676499912</v>
      </c>
      <c r="AG280" s="102">
        <v>0</v>
      </c>
      <c r="AH280" s="102">
        <v>0.14340038707407191</v>
      </c>
      <c r="AI280" s="102">
        <v>0.57360154829628762</v>
      </c>
      <c r="AJ280" s="102">
        <v>1.720804644888863</v>
      </c>
      <c r="AK280" s="102">
        <v>0.28680077414814381</v>
      </c>
      <c r="AL280" s="102">
        <v>1.0755029030555392</v>
      </c>
      <c r="AM280" s="102">
        <v>0.28680077414814381</v>
      </c>
      <c r="AN280" s="102">
        <v>0.14340038707407191</v>
      </c>
      <c r="AO280" s="102">
        <v>0.21510058061110787</v>
      </c>
      <c r="AP280" s="102">
        <v>0</v>
      </c>
      <c r="AQ280" s="102">
        <v>0.14340038707407191</v>
      </c>
      <c r="AR280" s="102">
        <v>0</v>
      </c>
      <c r="AS280" s="102">
        <v>0.43020116122221574</v>
      </c>
      <c r="AT280" s="102">
        <v>1.0755029030555392</v>
      </c>
      <c r="AU280" s="102">
        <v>1.5774042578147909</v>
      </c>
      <c r="AV280" s="102">
        <v>0.35850096768517975</v>
      </c>
      <c r="AW280" s="102">
        <v>0.21510058061110787</v>
      </c>
      <c r="AX280" s="102">
        <v>0.43020116122221574</v>
      </c>
      <c r="AY280" s="102">
        <v>2.3661063867221861</v>
      </c>
    </row>
    <row r="281" spans="1:51" s="103" customFormat="1">
      <c r="A281" s="103" t="s">
        <v>761</v>
      </c>
      <c r="B281" s="103">
        <v>39960</v>
      </c>
      <c r="C281" s="103">
        <v>39355</v>
      </c>
      <c r="D281" s="103">
        <v>1.1000000000000001</v>
      </c>
      <c r="E281" s="103">
        <v>72689</v>
      </c>
      <c r="F281" s="103">
        <v>5.3</v>
      </c>
      <c r="G281" s="103">
        <v>14865</v>
      </c>
      <c r="H281" s="103">
        <v>4580</v>
      </c>
      <c r="I281" s="103">
        <v>2205</v>
      </c>
      <c r="J281" s="103">
        <v>80.7</v>
      </c>
      <c r="K281" s="103">
        <v>10.8</v>
      </c>
      <c r="L281" s="103">
        <v>62.8</v>
      </c>
      <c r="M281" s="103">
        <v>58.4</v>
      </c>
      <c r="N281" s="103">
        <v>7</v>
      </c>
      <c r="O281" s="103">
        <v>7545</v>
      </c>
      <c r="P281" s="103">
        <v>3885</v>
      </c>
      <c r="Q281" s="103">
        <v>4605</v>
      </c>
      <c r="R281" s="103">
        <v>4015</v>
      </c>
      <c r="T281" s="103">
        <f t="shared" si="4"/>
        <v>0</v>
      </c>
      <c r="W281">
        <v>32385</v>
      </c>
      <c r="X281">
        <v>39379</v>
      </c>
      <c r="Y281">
        <v>24408</v>
      </c>
      <c r="Z281">
        <v>31003</v>
      </c>
      <c r="AA281">
        <v>18691</v>
      </c>
      <c r="AB281" s="103">
        <v>8380</v>
      </c>
      <c r="AC281" s="103">
        <v>25950</v>
      </c>
      <c r="AD281" s="103">
        <v>11850</v>
      </c>
      <c r="AE281" s="103">
        <v>5655</v>
      </c>
      <c r="AF281" s="102">
        <v>1.2546900954284244</v>
      </c>
      <c r="AG281" s="102">
        <v>0.33287696409325546</v>
      </c>
      <c r="AH281" s="102">
        <v>0.44810360551015155</v>
      </c>
      <c r="AI281" s="102">
        <v>1.3187048962155887</v>
      </c>
      <c r="AJ281" s="102">
        <v>1.3869873503885641</v>
      </c>
      <c r="AK281" s="102">
        <v>0.46517421905339545</v>
      </c>
      <c r="AL281" s="102">
        <v>1.4381991910182961</v>
      </c>
      <c r="AM281" s="102">
        <v>1.032772119366254</v>
      </c>
      <c r="AN281" s="102">
        <v>0.28166512346352385</v>
      </c>
      <c r="AO281" s="102">
        <v>0.46090656566758442</v>
      </c>
      <c r="AP281" s="102">
        <v>0.14936786850338385</v>
      </c>
      <c r="AQ281" s="102">
        <v>0.5633302469270477</v>
      </c>
      <c r="AR281" s="102">
        <v>2.5605920314865801E-2</v>
      </c>
      <c r="AS281" s="102">
        <v>0.48224483259663931</v>
      </c>
      <c r="AT281" s="102">
        <v>1.2162812149561257</v>
      </c>
      <c r="AU281" s="102">
        <v>1.9503175973156119</v>
      </c>
      <c r="AV281" s="102">
        <v>0.30300339039257868</v>
      </c>
      <c r="AW281" s="102">
        <v>0.98582793212233344</v>
      </c>
      <c r="AX281" s="102">
        <v>0.86206598393381539</v>
      </c>
      <c r="AY281" s="102">
        <v>1.5832994061358687</v>
      </c>
    </row>
    <row r="282" spans="1:51" s="103" customFormat="1">
      <c r="A282" s="103" t="s">
        <v>643</v>
      </c>
      <c r="B282" s="103">
        <v>2735</v>
      </c>
      <c r="C282" s="103">
        <v>2460</v>
      </c>
      <c r="D282" s="103">
        <v>1.4</v>
      </c>
      <c r="E282" s="103">
        <v>51736</v>
      </c>
      <c r="F282" s="103">
        <v>10.5</v>
      </c>
      <c r="G282" s="103">
        <v>850</v>
      </c>
      <c r="H282" s="103">
        <v>340</v>
      </c>
      <c r="I282" s="103">
        <v>105</v>
      </c>
      <c r="J282" s="103">
        <v>88.8</v>
      </c>
      <c r="K282" s="103">
        <v>11.2</v>
      </c>
      <c r="L282" s="103">
        <v>72.3</v>
      </c>
      <c r="M282" s="103">
        <v>69.7</v>
      </c>
      <c r="N282" s="103">
        <v>3.2</v>
      </c>
      <c r="O282" s="103">
        <v>525</v>
      </c>
      <c r="P282" s="103">
        <v>200</v>
      </c>
      <c r="Q282" s="103">
        <v>140</v>
      </c>
      <c r="R282" s="103">
        <v>135</v>
      </c>
      <c r="T282" s="103">
        <f t="shared" si="4"/>
        <v>0</v>
      </c>
      <c r="W282">
        <v>20512</v>
      </c>
      <c r="X282">
        <v>24279</v>
      </c>
      <c r="Y282">
        <v>15704</v>
      </c>
      <c r="Z282">
        <v>21414</v>
      </c>
      <c r="AA282">
        <v>15671</v>
      </c>
      <c r="AB282" s="103">
        <v>765</v>
      </c>
      <c r="AC282" s="103">
        <v>1625</v>
      </c>
      <c r="AD282" s="103">
        <v>620</v>
      </c>
      <c r="AE282" s="103">
        <v>340</v>
      </c>
      <c r="AF282" s="102">
        <v>8.1031317315658651</v>
      </c>
      <c r="AG282" s="102">
        <v>0</v>
      </c>
      <c r="AH282" s="102">
        <v>0</v>
      </c>
      <c r="AI282" s="102">
        <v>0.59581850967396077</v>
      </c>
      <c r="AJ282" s="102">
        <v>1.5491281251522979</v>
      </c>
      <c r="AK282" s="102">
        <v>0.35749110580437643</v>
      </c>
      <c r="AL282" s="102">
        <v>0.89372776451094105</v>
      </c>
      <c r="AM282" s="102">
        <v>1.4895462741849017</v>
      </c>
      <c r="AN282" s="102">
        <v>0</v>
      </c>
      <c r="AO282" s="102">
        <v>0.23832740386958429</v>
      </c>
      <c r="AP282" s="102">
        <v>0</v>
      </c>
      <c r="AQ282" s="102">
        <v>0.17874555290218822</v>
      </c>
      <c r="AR282" s="102">
        <v>0</v>
      </c>
      <c r="AS282" s="102">
        <v>0.23832740386958429</v>
      </c>
      <c r="AT282" s="102">
        <v>0.65540036064135676</v>
      </c>
      <c r="AU282" s="102">
        <v>1.1320551683805253</v>
      </c>
      <c r="AV282" s="102">
        <v>0.29790925483698039</v>
      </c>
      <c r="AW282" s="102">
        <v>0.47665480773916857</v>
      </c>
      <c r="AX282" s="102">
        <v>0.41707295677177247</v>
      </c>
      <c r="AY282" s="102">
        <v>0.17874555290218822</v>
      </c>
    </row>
    <row r="283" spans="1:51" s="103" customFormat="1">
      <c r="A283" s="103" t="s">
        <v>242</v>
      </c>
      <c r="B283" s="103">
        <v>605</v>
      </c>
      <c r="C283" s="103">
        <v>605</v>
      </c>
      <c r="D283" s="103">
        <v>2.2999999999999998</v>
      </c>
      <c r="E283" s="103">
        <v>42603</v>
      </c>
      <c r="F283" s="103">
        <v>0</v>
      </c>
      <c r="G283" s="103">
        <v>140</v>
      </c>
      <c r="H283" s="103">
        <v>45</v>
      </c>
      <c r="I283" s="103">
        <v>75</v>
      </c>
      <c r="J283" s="103">
        <v>0</v>
      </c>
      <c r="K283" s="103">
        <v>0</v>
      </c>
      <c r="L283" s="103">
        <v>40</v>
      </c>
      <c r="M283" s="103">
        <v>32.5</v>
      </c>
      <c r="N283" s="103">
        <v>18.8</v>
      </c>
      <c r="O283" s="103">
        <v>30</v>
      </c>
      <c r="P283" s="103">
        <v>10</v>
      </c>
      <c r="Q283" s="103">
        <v>10</v>
      </c>
      <c r="R283" s="103">
        <v>20</v>
      </c>
      <c r="T283" s="103" t="str">
        <f t="shared" si="4"/>
        <v>Northlands First Nation</v>
      </c>
      <c r="W283">
        <v>21716</v>
      </c>
      <c r="X283">
        <v>20822</v>
      </c>
      <c r="Y283">
        <v>22696</v>
      </c>
      <c r="Z283">
        <v>8208</v>
      </c>
      <c r="AA283">
        <v>12640</v>
      </c>
      <c r="AB283" s="103">
        <v>205</v>
      </c>
      <c r="AC283" s="103">
        <v>370</v>
      </c>
      <c r="AD283" s="103">
        <v>65</v>
      </c>
      <c r="AE283" s="103">
        <v>30</v>
      </c>
      <c r="AF283" s="102">
        <v>0</v>
      </c>
      <c r="AG283" s="102">
        <v>0</v>
      </c>
      <c r="AH283" s="102">
        <v>0</v>
      </c>
      <c r="AI283" s="102">
        <v>0</v>
      </c>
      <c r="AJ283" s="102">
        <v>0</v>
      </c>
      <c r="AK283" s="102">
        <v>0</v>
      </c>
      <c r="AL283" s="102">
        <v>2.1151557093425604</v>
      </c>
      <c r="AM283" s="102">
        <v>0</v>
      </c>
      <c r="AN283" s="102">
        <v>0</v>
      </c>
      <c r="AO283" s="102">
        <v>0</v>
      </c>
      <c r="AP283" s="102">
        <v>0</v>
      </c>
      <c r="AQ283" s="102">
        <v>0</v>
      </c>
      <c r="AR283" s="102">
        <v>0</v>
      </c>
      <c r="AS283" s="102">
        <v>0</v>
      </c>
      <c r="AT283" s="102">
        <v>3.7015224913494809</v>
      </c>
      <c r="AU283" s="102">
        <v>3.7015224913494809</v>
      </c>
      <c r="AV283" s="102">
        <v>0</v>
      </c>
      <c r="AW283" s="102">
        <v>0</v>
      </c>
      <c r="AX283" s="102">
        <v>1.0575778546712802</v>
      </c>
      <c r="AY283" s="102">
        <v>2.6439446366782007</v>
      </c>
    </row>
    <row r="284" spans="1:51" s="103" customFormat="1">
      <c r="A284" s="105" t="s">
        <v>398</v>
      </c>
      <c r="B284" s="103">
        <v>521</v>
      </c>
      <c r="T284" s="103">
        <f t="shared" si="4"/>
        <v>0</v>
      </c>
      <c r="W284"/>
      <c r="X284"/>
      <c r="Y284"/>
      <c r="Z284"/>
      <c r="AA284"/>
      <c r="AB284" s="103">
        <v>0</v>
      </c>
      <c r="AC284" s="103">
        <v>0</v>
      </c>
      <c r="AD284" s="103">
        <v>0</v>
      </c>
      <c r="AE284" s="103">
        <v>0</v>
      </c>
      <c r="AF284" s="102" t="e">
        <v>#N/A</v>
      </c>
      <c r="AG284" s="102" t="e">
        <v>#N/A</v>
      </c>
      <c r="AH284" s="102" t="e">
        <v>#N/A</v>
      </c>
      <c r="AI284" s="102" t="e">
        <v>#N/A</v>
      </c>
      <c r="AJ284" s="102" t="e">
        <v>#N/A</v>
      </c>
      <c r="AK284" s="102" t="e">
        <v>#N/A</v>
      </c>
      <c r="AL284" s="102" t="e">
        <v>#N/A</v>
      </c>
      <c r="AM284" s="102" t="e">
        <v>#N/A</v>
      </c>
      <c r="AN284" s="102" t="e">
        <v>#N/A</v>
      </c>
      <c r="AO284" s="102" t="e">
        <v>#N/A</v>
      </c>
      <c r="AP284" s="102" t="e">
        <v>#N/A</v>
      </c>
      <c r="AQ284" s="102" t="e">
        <v>#N/A</v>
      </c>
      <c r="AR284" s="102" t="e">
        <v>#N/A</v>
      </c>
      <c r="AS284" s="102" t="e">
        <v>#N/A</v>
      </c>
      <c r="AT284" s="102" t="e">
        <v>#N/A</v>
      </c>
      <c r="AU284" s="102" t="e">
        <v>#N/A</v>
      </c>
      <c r="AV284" s="102" t="e">
        <v>#N/A</v>
      </c>
      <c r="AW284" s="102" t="e">
        <v>#N/A</v>
      </c>
      <c r="AX284" s="102" t="e">
        <v>#N/A</v>
      </c>
      <c r="AY284" s="102" t="e">
        <v>#N/A</v>
      </c>
    </row>
    <row r="285" spans="1:51" s="103" customFormat="1">
      <c r="A285" s="103" t="s">
        <v>243</v>
      </c>
      <c r="B285" s="103">
        <v>4050</v>
      </c>
      <c r="C285" s="103">
        <v>4050</v>
      </c>
      <c r="D285" s="103">
        <v>2</v>
      </c>
      <c r="E285" s="103">
        <v>36121</v>
      </c>
      <c r="F285" s="103">
        <v>0</v>
      </c>
      <c r="G285" s="103">
        <v>1020</v>
      </c>
      <c r="H285" s="103">
        <v>370</v>
      </c>
      <c r="I285" s="103">
        <v>335</v>
      </c>
      <c r="J285" s="103">
        <v>5.4</v>
      </c>
      <c r="K285" s="103">
        <v>3.4</v>
      </c>
      <c r="L285" s="103">
        <v>45.8</v>
      </c>
      <c r="M285" s="103">
        <v>34.700000000000003</v>
      </c>
      <c r="N285" s="103">
        <v>23.5</v>
      </c>
      <c r="O285" s="103">
        <v>340</v>
      </c>
      <c r="P285" s="103">
        <v>120</v>
      </c>
      <c r="Q285" s="103">
        <v>115</v>
      </c>
      <c r="R285" s="103">
        <v>200</v>
      </c>
      <c r="T285" s="103" t="str">
        <f t="shared" si="4"/>
        <v>Norway House Cree Nation</v>
      </c>
      <c r="W285">
        <v>17032</v>
      </c>
      <c r="X285">
        <v>16387</v>
      </c>
      <c r="Y285">
        <v>17727</v>
      </c>
      <c r="Z285">
        <v>6139</v>
      </c>
      <c r="AA285">
        <v>10187</v>
      </c>
      <c r="AB285" s="103">
        <v>1400</v>
      </c>
      <c r="AC285" s="103">
        <v>2520</v>
      </c>
      <c r="AD285" s="103">
        <v>620</v>
      </c>
      <c r="AE285" s="103">
        <v>145</v>
      </c>
      <c r="AF285" s="102">
        <v>0.6963475586312956</v>
      </c>
      <c r="AG285" s="102">
        <v>0</v>
      </c>
      <c r="AH285" s="102">
        <v>0.20890426758938868</v>
      </c>
      <c r="AI285" s="102">
        <v>1.1837908496732026</v>
      </c>
      <c r="AJ285" s="102">
        <v>0.13926951172625915</v>
      </c>
      <c r="AK285" s="102">
        <v>0</v>
      </c>
      <c r="AL285" s="102">
        <v>1.3926951172625912</v>
      </c>
      <c r="AM285" s="102">
        <v>0.55707804690503659</v>
      </c>
      <c r="AN285" s="102">
        <v>0.13926951172625915</v>
      </c>
      <c r="AO285" s="102">
        <v>0</v>
      </c>
      <c r="AP285" s="102">
        <v>0.55707804690503659</v>
      </c>
      <c r="AQ285" s="102">
        <v>0</v>
      </c>
      <c r="AR285" s="102">
        <v>0</v>
      </c>
      <c r="AS285" s="102">
        <v>1.2534256055363322</v>
      </c>
      <c r="AT285" s="102">
        <v>2.576485966935794</v>
      </c>
      <c r="AU285" s="102">
        <v>2.9942945021145713</v>
      </c>
      <c r="AV285" s="102">
        <v>0.20890426758938868</v>
      </c>
      <c r="AW285" s="102">
        <v>0.97488658208381396</v>
      </c>
      <c r="AX285" s="102">
        <v>0.3481737793156478</v>
      </c>
      <c r="AY285" s="102">
        <v>2.3675816993464052</v>
      </c>
    </row>
    <row r="286" spans="1:51">
      <c r="A286" s="102" t="s">
        <v>641</v>
      </c>
      <c r="B286" s="102">
        <v>525</v>
      </c>
      <c r="C286" s="102">
        <v>525</v>
      </c>
      <c r="D286" s="102">
        <v>0.9</v>
      </c>
      <c r="E286" s="102">
        <v>56124</v>
      </c>
      <c r="F286" s="102">
        <v>0</v>
      </c>
      <c r="G286" s="102">
        <v>240</v>
      </c>
      <c r="H286" s="102">
        <v>65</v>
      </c>
      <c r="I286" s="102">
        <v>20</v>
      </c>
      <c r="J286" s="102">
        <v>81.3</v>
      </c>
      <c r="K286" s="102">
        <v>16.7</v>
      </c>
      <c r="L286" s="102">
        <v>67.400000000000006</v>
      </c>
      <c r="M286" s="102">
        <v>62.9</v>
      </c>
      <c r="N286" s="102">
        <v>5</v>
      </c>
      <c r="O286" s="102">
        <v>130</v>
      </c>
      <c r="P286" s="102">
        <v>35</v>
      </c>
      <c r="Q286" s="102">
        <v>35</v>
      </c>
      <c r="R286" s="102">
        <v>90</v>
      </c>
      <c r="T286" s="102">
        <f t="shared" si="4"/>
        <v>0</v>
      </c>
      <c r="W286">
        <v>24546</v>
      </c>
      <c r="X286">
        <v>25922</v>
      </c>
      <c r="Y286">
        <v>23102</v>
      </c>
      <c r="Z286">
        <v>23629</v>
      </c>
      <c r="AA286">
        <v>17511</v>
      </c>
      <c r="AB286" s="102">
        <v>85</v>
      </c>
      <c r="AC286" s="102">
        <v>270</v>
      </c>
      <c r="AD286" s="102">
        <v>80</v>
      </c>
      <c r="AE286" s="102">
        <v>155</v>
      </c>
      <c r="AF286" s="102">
        <v>1.9741453287197233</v>
      </c>
      <c r="AG286" s="102">
        <v>0.56404152249134942</v>
      </c>
      <c r="AH286" s="102">
        <v>0</v>
      </c>
      <c r="AI286" s="102">
        <v>1.1280830449826988</v>
      </c>
      <c r="AJ286" s="102">
        <v>1.1280830449826988</v>
      </c>
      <c r="AK286" s="102">
        <v>1.4101038062283737</v>
      </c>
      <c r="AL286" s="102">
        <v>0</v>
      </c>
      <c r="AM286" s="102">
        <v>0.56404152249134942</v>
      </c>
      <c r="AN286" s="102">
        <v>0</v>
      </c>
      <c r="AO286" s="102">
        <v>0.56404152249134942</v>
      </c>
      <c r="AP286" s="102">
        <v>0</v>
      </c>
      <c r="AQ286" s="102">
        <v>0</v>
      </c>
      <c r="AR286" s="102">
        <v>0</v>
      </c>
      <c r="AS286" s="102">
        <v>0.56404152249134942</v>
      </c>
      <c r="AT286" s="102">
        <v>1.4101038062283737</v>
      </c>
      <c r="AU286" s="102">
        <v>4.7943529411764709</v>
      </c>
      <c r="AV286" s="102">
        <v>0.8460622837370243</v>
      </c>
      <c r="AW286" s="102">
        <v>0.56404152249134942</v>
      </c>
      <c r="AX286" s="102">
        <v>1.1280830449826988</v>
      </c>
      <c r="AY286" s="102">
        <v>0.56404152249134942</v>
      </c>
    </row>
    <row r="287" spans="1:51">
      <c r="A287" s="102" t="s">
        <v>401</v>
      </c>
      <c r="B287" s="102">
        <v>365</v>
      </c>
      <c r="C287" s="102">
        <v>360</v>
      </c>
      <c r="D287" s="102">
        <v>1.1000000000000001</v>
      </c>
      <c r="E287" s="102">
        <v>41126</v>
      </c>
      <c r="F287" s="102">
        <v>19</v>
      </c>
      <c r="G287" s="102">
        <v>155</v>
      </c>
      <c r="H287" s="102">
        <v>90</v>
      </c>
      <c r="I287" s="102">
        <v>20</v>
      </c>
      <c r="J287" s="102">
        <v>90.3</v>
      </c>
      <c r="K287" s="102">
        <v>9.6999999999999993</v>
      </c>
      <c r="L287" s="102">
        <v>55.4</v>
      </c>
      <c r="M287" s="102">
        <v>57.1</v>
      </c>
      <c r="N287" s="102">
        <v>0</v>
      </c>
      <c r="O287" s="102">
        <v>65</v>
      </c>
      <c r="P287" s="102">
        <v>15</v>
      </c>
      <c r="Q287" s="102">
        <v>55</v>
      </c>
      <c r="R287" s="102">
        <v>15</v>
      </c>
      <c r="T287" s="102">
        <f t="shared" si="4"/>
        <v>0</v>
      </c>
      <c r="W287">
        <v>17343</v>
      </c>
      <c r="X287">
        <v>19628</v>
      </c>
      <c r="Y287">
        <v>13963</v>
      </c>
      <c r="Z287">
        <v>21996</v>
      </c>
      <c r="AA287">
        <v>15727</v>
      </c>
      <c r="AB287" s="102">
        <v>80</v>
      </c>
      <c r="AC287" s="102">
        <v>215</v>
      </c>
      <c r="AD287" s="102">
        <v>65</v>
      </c>
      <c r="AE287" s="102">
        <v>90</v>
      </c>
      <c r="AF287" s="102">
        <v>1.0916932693380959</v>
      </c>
      <c r="AG287" s="102">
        <v>0</v>
      </c>
      <c r="AH287" s="102">
        <v>0</v>
      </c>
      <c r="AI287" s="102">
        <v>8.7335461547047668</v>
      </c>
      <c r="AJ287" s="102">
        <v>2.1833865386761917</v>
      </c>
      <c r="AK287" s="102">
        <v>0</v>
      </c>
      <c r="AL287" s="102">
        <v>0</v>
      </c>
      <c r="AM287" s="102">
        <v>0</v>
      </c>
      <c r="AN287" s="102">
        <v>1.0916932693380959</v>
      </c>
      <c r="AO287" s="102">
        <v>1.0916932693380959</v>
      </c>
      <c r="AP287" s="102">
        <v>0</v>
      </c>
      <c r="AQ287" s="102">
        <v>0</v>
      </c>
      <c r="AR287" s="102">
        <v>0</v>
      </c>
      <c r="AS287" s="102">
        <v>0</v>
      </c>
      <c r="AT287" s="102">
        <v>0</v>
      </c>
      <c r="AU287" s="102">
        <v>1.0916932693380959</v>
      </c>
      <c r="AV287" s="102">
        <v>0</v>
      </c>
      <c r="AW287" s="102">
        <v>1.0916932693380959</v>
      </c>
      <c r="AX287" s="102">
        <v>0</v>
      </c>
      <c r="AY287" s="102">
        <v>1.0916932693380959</v>
      </c>
    </row>
    <row r="288" spans="1:51">
      <c r="A288" s="102" t="s">
        <v>633</v>
      </c>
      <c r="B288" s="102">
        <v>1035</v>
      </c>
      <c r="C288" s="102">
        <v>930</v>
      </c>
      <c r="D288" s="102">
        <v>1</v>
      </c>
      <c r="E288" s="102">
        <v>64112</v>
      </c>
      <c r="F288" s="102">
        <v>5.3</v>
      </c>
      <c r="G288" s="102">
        <v>360</v>
      </c>
      <c r="H288" s="102">
        <v>120</v>
      </c>
      <c r="I288" s="102">
        <v>40</v>
      </c>
      <c r="J288" s="102">
        <v>91.7</v>
      </c>
      <c r="K288" s="102">
        <v>6.9</v>
      </c>
      <c r="L288" s="102">
        <v>80.2</v>
      </c>
      <c r="M288" s="102">
        <v>77.3</v>
      </c>
      <c r="N288" s="102">
        <v>2.9</v>
      </c>
      <c r="O288" s="102">
        <v>210</v>
      </c>
      <c r="P288" s="102">
        <v>100</v>
      </c>
      <c r="Q288" s="102">
        <v>150</v>
      </c>
      <c r="R288" s="102">
        <v>170</v>
      </c>
      <c r="T288" s="102">
        <f t="shared" si="4"/>
        <v>0</v>
      </c>
      <c r="W288">
        <v>24461</v>
      </c>
      <c r="X288">
        <v>29023</v>
      </c>
      <c r="Y288">
        <v>19449</v>
      </c>
      <c r="Z288">
        <v>34034</v>
      </c>
      <c r="AA288">
        <v>19711</v>
      </c>
      <c r="AB288" s="102">
        <v>170</v>
      </c>
      <c r="AC288" s="102">
        <v>760</v>
      </c>
      <c r="AD288" s="102">
        <v>365</v>
      </c>
      <c r="AE288" s="102">
        <v>90</v>
      </c>
      <c r="AF288" s="102">
        <v>5.027326613509854</v>
      </c>
      <c r="AG288" s="102">
        <v>0</v>
      </c>
      <c r="AH288" s="102">
        <v>0</v>
      </c>
      <c r="AI288" s="102">
        <v>1.1035595005265533</v>
      </c>
      <c r="AJ288" s="102">
        <v>0.49047088912291259</v>
      </c>
      <c r="AK288" s="102">
        <v>0</v>
      </c>
      <c r="AL288" s="102">
        <v>1.9618835564916504</v>
      </c>
      <c r="AM288" s="102">
        <v>0.24523544456145629</v>
      </c>
      <c r="AN288" s="102">
        <v>0.24523544456145629</v>
      </c>
      <c r="AO288" s="102">
        <v>0.85832405596509709</v>
      </c>
      <c r="AP288" s="102">
        <v>0.24523544456145629</v>
      </c>
      <c r="AQ288" s="102">
        <v>0.36785316684218444</v>
      </c>
      <c r="AR288" s="102">
        <v>0</v>
      </c>
      <c r="AS288" s="102">
        <v>0.36785316684218444</v>
      </c>
      <c r="AT288" s="102">
        <v>0.98094177824582518</v>
      </c>
      <c r="AU288" s="102">
        <v>1.2261772228072816</v>
      </c>
      <c r="AV288" s="102">
        <v>0.24523544456145629</v>
      </c>
      <c r="AW288" s="102">
        <v>0.98094177824582518</v>
      </c>
      <c r="AX288" s="102">
        <v>0.73570633368436888</v>
      </c>
      <c r="AY288" s="102">
        <v>1.4714126673687378</v>
      </c>
    </row>
    <row r="289" spans="1:51" s="103" customFormat="1">
      <c r="A289" s="103" t="s">
        <v>843</v>
      </c>
      <c r="B289" s="103">
        <v>420</v>
      </c>
      <c r="C289" s="103">
        <v>420</v>
      </c>
      <c r="D289" s="103">
        <v>2</v>
      </c>
      <c r="E289" s="103">
        <v>41883</v>
      </c>
      <c r="F289" s="103">
        <v>0</v>
      </c>
      <c r="G289" s="103">
        <v>105</v>
      </c>
      <c r="H289" s="103">
        <v>45</v>
      </c>
      <c r="I289" s="103">
        <v>50</v>
      </c>
      <c r="J289" s="103">
        <v>0</v>
      </c>
      <c r="K289" s="103">
        <v>0</v>
      </c>
      <c r="L289" s="103">
        <v>62</v>
      </c>
      <c r="M289" s="103">
        <v>40</v>
      </c>
      <c r="N289" s="103">
        <v>35.5</v>
      </c>
      <c r="O289" s="103">
        <v>25</v>
      </c>
      <c r="P289" s="103">
        <v>10</v>
      </c>
      <c r="Q289" s="103">
        <v>20</v>
      </c>
      <c r="R289" s="103">
        <v>10</v>
      </c>
      <c r="T289" s="103" t="str">
        <f t="shared" si="4"/>
        <v>OChiChakKoSipi First Nation</v>
      </c>
      <c r="W289">
        <v>18885</v>
      </c>
      <c r="X289">
        <v>17942</v>
      </c>
      <c r="Y289">
        <v>19815</v>
      </c>
      <c r="Z289">
        <v>14496</v>
      </c>
      <c r="AA289">
        <v>17728</v>
      </c>
      <c r="AB289" s="103">
        <v>170</v>
      </c>
      <c r="AC289" s="103">
        <v>245</v>
      </c>
      <c r="AD289" s="103">
        <v>70</v>
      </c>
      <c r="AE289" s="103">
        <v>10</v>
      </c>
      <c r="AF289" s="102" t="e">
        <v>#N/A</v>
      </c>
      <c r="AG289" s="102" t="e">
        <v>#N/A</v>
      </c>
      <c r="AH289" s="102" t="e">
        <v>#N/A</v>
      </c>
      <c r="AI289" s="102" t="e">
        <v>#N/A</v>
      </c>
      <c r="AJ289" s="102" t="e">
        <v>#N/A</v>
      </c>
      <c r="AK289" s="102" t="e">
        <v>#N/A</v>
      </c>
      <c r="AL289" s="102" t="e">
        <v>#N/A</v>
      </c>
      <c r="AM289" s="102" t="e">
        <v>#N/A</v>
      </c>
      <c r="AN289" s="102" t="e">
        <v>#N/A</v>
      </c>
      <c r="AO289" s="102" t="e">
        <v>#N/A</v>
      </c>
      <c r="AP289" s="102" t="e">
        <v>#N/A</v>
      </c>
      <c r="AQ289" s="102" t="e">
        <v>#N/A</v>
      </c>
      <c r="AR289" s="102" t="e">
        <v>#N/A</v>
      </c>
      <c r="AS289" s="102" t="e">
        <v>#N/A</v>
      </c>
      <c r="AT289" s="102" t="e">
        <v>#N/A</v>
      </c>
      <c r="AU289" s="102" t="e">
        <v>#N/A</v>
      </c>
      <c r="AV289" s="102" t="e">
        <v>#N/A</v>
      </c>
      <c r="AW289" s="102" t="e">
        <v>#N/A</v>
      </c>
      <c r="AX289" s="102" t="e">
        <v>#N/A</v>
      </c>
      <c r="AY289" s="102" t="e">
        <v>#N/A</v>
      </c>
    </row>
    <row r="290" spans="1:51">
      <c r="A290" s="102" t="s">
        <v>682</v>
      </c>
      <c r="B290" s="102">
        <v>930</v>
      </c>
      <c r="C290" s="102">
        <v>925</v>
      </c>
      <c r="D290" s="102">
        <v>0.8</v>
      </c>
      <c r="E290" s="102">
        <v>60503</v>
      </c>
      <c r="F290" s="102">
        <v>3.3</v>
      </c>
      <c r="G290" s="102">
        <v>405</v>
      </c>
      <c r="H290" s="102">
        <v>165</v>
      </c>
      <c r="I290" s="102">
        <v>40</v>
      </c>
      <c r="J290" s="102">
        <v>85.2</v>
      </c>
      <c r="K290" s="102">
        <v>13.6</v>
      </c>
      <c r="L290" s="102">
        <v>73.2</v>
      </c>
      <c r="M290" s="102">
        <v>69.3</v>
      </c>
      <c r="N290" s="102">
        <v>5.4</v>
      </c>
      <c r="O290" s="102">
        <v>270</v>
      </c>
      <c r="P290" s="102">
        <v>75</v>
      </c>
      <c r="Q290" s="102">
        <v>135</v>
      </c>
      <c r="R290" s="102">
        <v>105</v>
      </c>
      <c r="T290" s="102">
        <f t="shared" si="4"/>
        <v>0</v>
      </c>
      <c r="W290">
        <v>23552</v>
      </c>
      <c r="X290">
        <v>24084</v>
      </c>
      <c r="Y290">
        <v>22978</v>
      </c>
      <c r="Z290">
        <v>24894</v>
      </c>
      <c r="AA290">
        <v>19955</v>
      </c>
      <c r="AB290" s="102">
        <v>160</v>
      </c>
      <c r="AC290" s="102">
        <v>625</v>
      </c>
      <c r="AD290" s="102">
        <v>335</v>
      </c>
      <c r="AE290" s="102">
        <v>140</v>
      </c>
      <c r="AF290" s="102">
        <v>3.9281463173504698</v>
      </c>
      <c r="AG290" s="102">
        <v>0</v>
      </c>
      <c r="AH290" s="102">
        <v>0</v>
      </c>
      <c r="AI290" s="102">
        <v>0.30216510133465146</v>
      </c>
      <c r="AJ290" s="102">
        <v>0.75541275333662883</v>
      </c>
      <c r="AK290" s="102">
        <v>0.30216510133465146</v>
      </c>
      <c r="AL290" s="102">
        <v>1.812990608007909</v>
      </c>
      <c r="AM290" s="102">
        <v>0.90649530400395451</v>
      </c>
      <c r="AN290" s="102">
        <v>0</v>
      </c>
      <c r="AO290" s="102">
        <v>0.90649530400395451</v>
      </c>
      <c r="AP290" s="102">
        <v>0</v>
      </c>
      <c r="AQ290" s="102">
        <v>0.45324765200197725</v>
      </c>
      <c r="AR290" s="102">
        <v>0</v>
      </c>
      <c r="AS290" s="102">
        <v>0.45324765200197725</v>
      </c>
      <c r="AT290" s="102">
        <v>1.5108255066732577</v>
      </c>
      <c r="AU290" s="102">
        <v>3.4748986653484923</v>
      </c>
      <c r="AV290" s="102">
        <v>0.45324765200197725</v>
      </c>
      <c r="AW290" s="102">
        <v>0.30216510133465146</v>
      </c>
      <c r="AX290" s="102">
        <v>0.45324765200197725</v>
      </c>
      <c r="AY290" s="102">
        <v>0.75541275333662883</v>
      </c>
    </row>
    <row r="291" spans="1:51">
      <c r="A291" s="102" t="s">
        <v>664</v>
      </c>
      <c r="B291" s="102">
        <v>540</v>
      </c>
      <c r="C291" s="102">
        <v>450</v>
      </c>
      <c r="D291" s="102">
        <v>0.9</v>
      </c>
      <c r="E291" s="102">
        <v>53671</v>
      </c>
      <c r="F291" s="102">
        <v>10.3</v>
      </c>
      <c r="G291" s="102">
        <v>170</v>
      </c>
      <c r="H291" s="102">
        <v>90</v>
      </c>
      <c r="I291" s="102">
        <v>15</v>
      </c>
      <c r="J291" s="102">
        <v>97.1</v>
      </c>
      <c r="K291" s="102">
        <v>5.9</v>
      </c>
      <c r="L291" s="102">
        <v>69.5</v>
      </c>
      <c r="M291" s="102">
        <v>68.3</v>
      </c>
      <c r="N291" s="102">
        <v>0</v>
      </c>
      <c r="O291" s="102">
        <v>90</v>
      </c>
      <c r="P291" s="102">
        <v>40</v>
      </c>
      <c r="Q291" s="102">
        <v>65</v>
      </c>
      <c r="R291" s="102">
        <v>50</v>
      </c>
      <c r="T291" s="102">
        <f t="shared" si="4"/>
        <v>0</v>
      </c>
      <c r="W291">
        <v>19365</v>
      </c>
      <c r="X291">
        <v>19926</v>
      </c>
      <c r="Y291">
        <v>18641</v>
      </c>
      <c r="Z291">
        <v>22036</v>
      </c>
      <c r="AA291">
        <v>18900</v>
      </c>
      <c r="AB291" s="102">
        <v>135</v>
      </c>
      <c r="AC291" s="102">
        <v>345</v>
      </c>
      <c r="AD291" s="102">
        <v>160</v>
      </c>
      <c r="AE291" s="102">
        <v>75</v>
      </c>
      <c r="AF291" s="102">
        <v>5.3435512657075215</v>
      </c>
      <c r="AG291" s="102">
        <v>0</v>
      </c>
      <c r="AH291" s="102">
        <v>0</v>
      </c>
      <c r="AI291" s="102">
        <v>0.59372791841194683</v>
      </c>
      <c r="AJ291" s="102">
        <v>1.7811837552358403</v>
      </c>
      <c r="AK291" s="102">
        <v>0</v>
      </c>
      <c r="AL291" s="102">
        <v>0.89059187761792014</v>
      </c>
      <c r="AM291" s="102">
        <v>1.4843197960298671</v>
      </c>
      <c r="AN291" s="102">
        <v>0</v>
      </c>
      <c r="AO291" s="102">
        <v>0.59372791841194683</v>
      </c>
      <c r="AP291" s="102">
        <v>0</v>
      </c>
      <c r="AQ291" s="102">
        <v>0.59372791841194683</v>
      </c>
      <c r="AR291" s="102">
        <v>0</v>
      </c>
      <c r="AS291" s="102">
        <v>0.59372791841194683</v>
      </c>
      <c r="AT291" s="102">
        <v>0.59372791841194683</v>
      </c>
      <c r="AU291" s="102">
        <v>2.0780477144418139</v>
      </c>
      <c r="AV291" s="102">
        <v>0</v>
      </c>
      <c r="AW291" s="102">
        <v>1.1874558368238937</v>
      </c>
      <c r="AX291" s="102">
        <v>0.59372791841194683</v>
      </c>
      <c r="AY291" s="102">
        <v>0.59372791841194683</v>
      </c>
    </row>
    <row r="292" spans="1:51">
      <c r="A292" s="103" t="s">
        <v>245</v>
      </c>
      <c r="B292">
        <f>SUM(B293:B297)</f>
        <v>2495</v>
      </c>
      <c r="C292">
        <f>SUM(C293:C297)</f>
        <v>2490</v>
      </c>
      <c r="D292" s="116">
        <f>(D293*$B293+D294*$B294+D295*$B295+D296*$B296+D297*$B297)/$B292</f>
        <v>1.9917835671342685</v>
      </c>
      <c r="E292" s="117">
        <f>(E293*$B293+E294*$B294+E295*$B295+E296*$B296+E297*$B297)/$B292</f>
        <v>36657.456913827657</v>
      </c>
      <c r="F292" s="116">
        <f>(F293*$B293+F294*$B294+F295*$B295+F296*$B296+F297*$B297)/$B292</f>
        <v>0</v>
      </c>
      <c r="G292">
        <f>SUM(G293:G297)</f>
        <v>660</v>
      </c>
      <c r="H292">
        <f>SUM(H293:H297)</f>
        <v>205</v>
      </c>
      <c r="I292">
        <f>SUM(I293:I297)</f>
        <v>250</v>
      </c>
      <c r="J292" s="116">
        <f>(J293*$B293+J294*$B294+J295*$B295+J296*$B296+J297*$B297)/$B292</f>
        <v>45.818436873747494</v>
      </c>
      <c r="K292" s="116">
        <f>(K293*$B293+K294*$B294+K295*$B295+K296*$B296+K297*$B297)/$B292</f>
        <v>27.461723446893789</v>
      </c>
      <c r="L292" s="116">
        <f>(L293*$B293+L294*$B294+L295*$B295+L296*$B296+L297*$B297)/$B292</f>
        <v>54.707214428857718</v>
      </c>
      <c r="M292" s="116">
        <f>(M293*$B293+M294*$B294+M295*$B295+M296*$B296+M297*$B297)/$B292</f>
        <v>41.894388777555108</v>
      </c>
      <c r="N292" s="116">
        <f>(N293*$B293+N294*$B294+N295*$B295+N296*$B296+N297*$B297)/$B292</f>
        <v>22.724649298597193</v>
      </c>
      <c r="O292">
        <f>SUM(O293:O297)</f>
        <v>220</v>
      </c>
      <c r="P292">
        <f>SUM(P293:P297)</f>
        <v>125</v>
      </c>
      <c r="Q292">
        <f>SUM(Q293:Q297)</f>
        <v>205</v>
      </c>
      <c r="R292">
        <f>SUM(R293:R297)</f>
        <v>110</v>
      </c>
      <c r="T292" s="102" t="str">
        <f t="shared" si="4"/>
        <v>Opaskwayak Cree Nation</v>
      </c>
      <c r="W292">
        <v>17557.851703406814</v>
      </c>
      <c r="X292">
        <v>17951.711422845692</v>
      </c>
      <c r="Y292">
        <v>17153.627254509018</v>
      </c>
      <c r="Z292">
        <v>8015.3907815631264</v>
      </c>
      <c r="AA292">
        <v>12009.266533066133</v>
      </c>
      <c r="AB292" s="102">
        <v>880</v>
      </c>
      <c r="AC292" s="102">
        <v>1495</v>
      </c>
      <c r="AD292" s="102">
        <v>425</v>
      </c>
      <c r="AE292" s="102">
        <v>55</v>
      </c>
      <c r="AF292" s="102">
        <v>0.28359629622470084</v>
      </c>
      <c r="AG292" s="102">
        <v>0</v>
      </c>
      <c r="AH292" s="102">
        <v>0</v>
      </c>
      <c r="AI292" s="102">
        <v>1.0398530861572364</v>
      </c>
      <c r="AJ292" s="102">
        <v>0.47266049370783475</v>
      </c>
      <c r="AK292" s="102">
        <v>0</v>
      </c>
      <c r="AL292" s="102">
        <v>1.3234493823819373</v>
      </c>
      <c r="AM292" s="102">
        <v>0.47266049370783475</v>
      </c>
      <c r="AN292" s="102">
        <v>0</v>
      </c>
      <c r="AO292" s="102">
        <v>0</v>
      </c>
      <c r="AP292" s="102">
        <v>0.47266049370783475</v>
      </c>
      <c r="AQ292" s="102">
        <v>0.37812839496626782</v>
      </c>
      <c r="AR292" s="102">
        <v>0</v>
      </c>
      <c r="AS292" s="102">
        <v>0.47266049370783475</v>
      </c>
      <c r="AT292" s="102">
        <v>1.7015777773482053</v>
      </c>
      <c r="AU292" s="102">
        <v>3.0250271597301426</v>
      </c>
      <c r="AV292" s="102">
        <v>0.75625678993253564</v>
      </c>
      <c r="AW292" s="102">
        <v>1.2289172836403706</v>
      </c>
      <c r="AX292" s="102">
        <v>0.28359629622470084</v>
      </c>
      <c r="AY292" s="102">
        <v>2.5523666660223077</v>
      </c>
    </row>
    <row r="293" spans="1:51" s="103" customFormat="1">
      <c r="A293" s="103" t="s">
        <v>801</v>
      </c>
      <c r="B293" s="103">
        <v>2155</v>
      </c>
      <c r="C293" s="103">
        <v>2150</v>
      </c>
      <c r="D293" s="103">
        <v>2.1</v>
      </c>
      <c r="E293" s="103">
        <v>42441</v>
      </c>
      <c r="F293" s="103">
        <v>0</v>
      </c>
      <c r="G293" s="103">
        <v>540</v>
      </c>
      <c r="H293" s="103">
        <v>170</v>
      </c>
      <c r="I293" s="103">
        <v>210</v>
      </c>
      <c r="J293" s="103">
        <v>39.799999999999997</v>
      </c>
      <c r="K293" s="103">
        <v>30.6</v>
      </c>
      <c r="L293" s="103">
        <v>52.7</v>
      </c>
      <c r="M293" s="103">
        <v>40.299999999999997</v>
      </c>
      <c r="N293" s="103">
        <v>23.6</v>
      </c>
      <c r="O293" s="103">
        <v>185</v>
      </c>
      <c r="P293" s="103">
        <v>100</v>
      </c>
      <c r="Q293" s="103">
        <v>180</v>
      </c>
      <c r="R293" s="103">
        <v>75</v>
      </c>
      <c r="T293" s="103">
        <f t="shared" si="4"/>
        <v>0</v>
      </c>
      <c r="W293">
        <v>20328</v>
      </c>
      <c r="X293">
        <v>20784</v>
      </c>
      <c r="Y293">
        <v>19860</v>
      </c>
      <c r="Z293">
        <v>9280</v>
      </c>
      <c r="AA293">
        <v>13904</v>
      </c>
      <c r="AB293" s="103">
        <v>795</v>
      </c>
      <c r="AC293" s="103">
        <v>1290</v>
      </c>
      <c r="AD293" s="103">
        <v>345</v>
      </c>
      <c r="AE293" s="103">
        <v>35</v>
      </c>
      <c r="AF293" s="102" t="e">
        <v>#N/A</v>
      </c>
      <c r="AG293" s="102" t="e">
        <v>#N/A</v>
      </c>
      <c r="AH293" s="102" t="e">
        <v>#N/A</v>
      </c>
      <c r="AI293" s="102" t="e">
        <v>#N/A</v>
      </c>
      <c r="AJ293" s="102" t="e">
        <v>#N/A</v>
      </c>
      <c r="AK293" s="102" t="e">
        <v>#N/A</v>
      </c>
      <c r="AL293" s="102" t="e">
        <v>#N/A</v>
      </c>
      <c r="AM293" s="102" t="e">
        <v>#N/A</v>
      </c>
      <c r="AN293" s="102" t="e">
        <v>#N/A</v>
      </c>
      <c r="AO293" s="102" t="e">
        <v>#N/A</v>
      </c>
      <c r="AP293" s="102" t="e">
        <v>#N/A</v>
      </c>
      <c r="AQ293" s="102" t="e">
        <v>#N/A</v>
      </c>
      <c r="AR293" s="102" t="e">
        <v>#N/A</v>
      </c>
      <c r="AS293" s="102" t="e">
        <v>#N/A</v>
      </c>
      <c r="AT293" s="102" t="e">
        <v>#N/A</v>
      </c>
      <c r="AU293" s="102" t="e">
        <v>#N/A</v>
      </c>
      <c r="AV293" s="102" t="e">
        <v>#N/A</v>
      </c>
      <c r="AW293" s="102" t="e">
        <v>#N/A</v>
      </c>
      <c r="AX293" s="102" t="e">
        <v>#N/A</v>
      </c>
      <c r="AY293" s="102" t="e">
        <v>#N/A</v>
      </c>
    </row>
    <row r="294" spans="1:51" s="103" customFormat="1">
      <c r="A294" s="103" t="s">
        <v>701</v>
      </c>
      <c r="B294" s="103">
        <v>180</v>
      </c>
      <c r="C294" s="103">
        <v>180</v>
      </c>
      <c r="D294" s="103">
        <v>1.4</v>
      </c>
      <c r="E294" s="103">
        <v>0</v>
      </c>
      <c r="F294" s="103">
        <v>0</v>
      </c>
      <c r="G294" s="103">
        <v>70</v>
      </c>
      <c r="H294" s="103">
        <v>20</v>
      </c>
      <c r="I294" s="103">
        <v>30</v>
      </c>
      <c r="J294" s="103">
        <v>78.599999999999994</v>
      </c>
      <c r="K294" s="103">
        <v>14.3</v>
      </c>
      <c r="L294" s="103">
        <v>60.7</v>
      </c>
      <c r="M294" s="103">
        <v>46.4</v>
      </c>
      <c r="N294" s="103">
        <v>17.600000000000001</v>
      </c>
      <c r="O294" s="103">
        <v>10</v>
      </c>
      <c r="P294" s="103">
        <v>10</v>
      </c>
      <c r="Q294" s="103">
        <v>15</v>
      </c>
      <c r="R294" s="103">
        <v>10</v>
      </c>
      <c r="T294" s="103">
        <f t="shared" si="4"/>
        <v>0</v>
      </c>
      <c r="W294">
        <v>0</v>
      </c>
      <c r="X294">
        <v>0</v>
      </c>
      <c r="Y294">
        <v>0</v>
      </c>
      <c r="Z294">
        <v>0</v>
      </c>
      <c r="AA294">
        <v>0</v>
      </c>
      <c r="AB294" s="103">
        <v>50</v>
      </c>
      <c r="AC294" s="103">
        <v>105</v>
      </c>
      <c r="AD294" s="103">
        <v>40</v>
      </c>
      <c r="AE294" s="103">
        <v>10</v>
      </c>
      <c r="AF294" s="102" t="e">
        <v>#N/A</v>
      </c>
      <c r="AG294" s="102" t="e">
        <v>#N/A</v>
      </c>
      <c r="AH294" s="102" t="e">
        <v>#N/A</v>
      </c>
      <c r="AI294" s="102" t="e">
        <v>#N/A</v>
      </c>
      <c r="AJ294" s="102" t="e">
        <v>#N/A</v>
      </c>
      <c r="AK294" s="102" t="e">
        <v>#N/A</v>
      </c>
      <c r="AL294" s="102" t="e">
        <v>#N/A</v>
      </c>
      <c r="AM294" s="102" t="e">
        <v>#N/A</v>
      </c>
      <c r="AN294" s="102" t="e">
        <v>#N/A</v>
      </c>
      <c r="AO294" s="102" t="e">
        <v>#N/A</v>
      </c>
      <c r="AP294" s="102" t="e">
        <v>#N/A</v>
      </c>
      <c r="AQ294" s="102" t="e">
        <v>#N/A</v>
      </c>
      <c r="AR294" s="102" t="e">
        <v>#N/A</v>
      </c>
      <c r="AS294" s="102" t="e">
        <v>#N/A</v>
      </c>
      <c r="AT294" s="102" t="e">
        <v>#N/A</v>
      </c>
      <c r="AU294" s="102" t="e">
        <v>#N/A</v>
      </c>
      <c r="AV294" s="102" t="e">
        <v>#N/A</v>
      </c>
      <c r="AW294" s="102" t="e">
        <v>#N/A</v>
      </c>
      <c r="AX294" s="102" t="e">
        <v>#N/A</v>
      </c>
      <c r="AY294" s="102" t="e">
        <v>#N/A</v>
      </c>
    </row>
    <row r="295" spans="1:51" s="103" customFormat="1">
      <c r="A295" s="103" t="s">
        <v>769</v>
      </c>
      <c r="T295" s="103">
        <f t="shared" si="4"/>
        <v>0</v>
      </c>
      <c r="W295">
        <v>0</v>
      </c>
      <c r="X295">
        <v>0</v>
      </c>
      <c r="Y295">
        <v>0</v>
      </c>
      <c r="Z295">
        <v>0</v>
      </c>
      <c r="AA295">
        <v>0</v>
      </c>
      <c r="AB295" s="103">
        <v>0</v>
      </c>
      <c r="AC295" s="103">
        <v>0</v>
      </c>
      <c r="AD295" s="103">
        <v>0</v>
      </c>
      <c r="AE295" s="103">
        <v>0</v>
      </c>
      <c r="AF295" s="102" t="e">
        <v>#N/A</v>
      </c>
      <c r="AG295" s="102" t="e">
        <v>#N/A</v>
      </c>
      <c r="AH295" s="102" t="e">
        <v>#N/A</v>
      </c>
      <c r="AI295" s="102" t="e">
        <v>#N/A</v>
      </c>
      <c r="AJ295" s="102" t="e">
        <v>#N/A</v>
      </c>
      <c r="AK295" s="102" t="e">
        <v>#N/A</v>
      </c>
      <c r="AL295" s="102" t="e">
        <v>#N/A</v>
      </c>
      <c r="AM295" s="102" t="e">
        <v>#N/A</v>
      </c>
      <c r="AN295" s="102" t="e">
        <v>#N/A</v>
      </c>
      <c r="AO295" s="102" t="e">
        <v>#N/A</v>
      </c>
      <c r="AP295" s="102" t="e">
        <v>#N/A</v>
      </c>
      <c r="AQ295" s="102" t="e">
        <v>#N/A</v>
      </c>
      <c r="AR295" s="102" t="e">
        <v>#N/A</v>
      </c>
      <c r="AS295" s="102" t="e">
        <v>#N/A</v>
      </c>
      <c r="AT295" s="102" t="e">
        <v>#N/A</v>
      </c>
      <c r="AU295" s="102" t="e">
        <v>#N/A</v>
      </c>
      <c r="AV295" s="102" t="e">
        <v>#N/A</v>
      </c>
      <c r="AW295" s="102" t="e">
        <v>#N/A</v>
      </c>
      <c r="AX295" s="102" t="e">
        <v>#N/A</v>
      </c>
      <c r="AY295" s="102" t="e">
        <v>#N/A</v>
      </c>
    </row>
    <row r="296" spans="1:51" s="103" customFormat="1">
      <c r="A296" s="103" t="s">
        <v>770</v>
      </c>
      <c r="T296" s="103">
        <f t="shared" si="4"/>
        <v>0</v>
      </c>
      <c r="W296">
        <v>0</v>
      </c>
      <c r="X296">
        <v>0</v>
      </c>
      <c r="Y296">
        <v>0</v>
      </c>
      <c r="Z296">
        <v>0</v>
      </c>
      <c r="AA296">
        <v>0</v>
      </c>
      <c r="AB296" s="103">
        <v>0</v>
      </c>
      <c r="AC296" s="103">
        <v>0</v>
      </c>
      <c r="AD296" s="103">
        <v>0</v>
      </c>
      <c r="AE296" s="103">
        <v>0</v>
      </c>
      <c r="AF296" s="102" t="e">
        <v>#N/A</v>
      </c>
      <c r="AG296" s="102" t="e">
        <v>#N/A</v>
      </c>
      <c r="AH296" s="102" t="e">
        <v>#N/A</v>
      </c>
      <c r="AI296" s="102" t="e">
        <v>#N/A</v>
      </c>
      <c r="AJ296" s="102" t="e">
        <v>#N/A</v>
      </c>
      <c r="AK296" s="102" t="e">
        <v>#N/A</v>
      </c>
      <c r="AL296" s="102" t="e">
        <v>#N/A</v>
      </c>
      <c r="AM296" s="102" t="e">
        <v>#N/A</v>
      </c>
      <c r="AN296" s="102" t="e">
        <v>#N/A</v>
      </c>
      <c r="AO296" s="102" t="e">
        <v>#N/A</v>
      </c>
      <c r="AP296" s="102" t="e">
        <v>#N/A</v>
      </c>
      <c r="AQ296" s="102" t="e">
        <v>#N/A</v>
      </c>
      <c r="AR296" s="102" t="e">
        <v>#N/A</v>
      </c>
      <c r="AS296" s="102" t="e">
        <v>#N/A</v>
      </c>
      <c r="AT296" s="102" t="e">
        <v>#N/A</v>
      </c>
      <c r="AU296" s="102" t="e">
        <v>#N/A</v>
      </c>
      <c r="AV296" s="102" t="e">
        <v>#N/A</v>
      </c>
      <c r="AW296" s="102" t="e">
        <v>#N/A</v>
      </c>
      <c r="AX296" s="102" t="e">
        <v>#N/A</v>
      </c>
      <c r="AY296" s="102" t="e">
        <v>#N/A</v>
      </c>
    </row>
    <row r="297" spans="1:51" s="103" customFormat="1">
      <c r="A297" s="103" t="s">
        <v>702</v>
      </c>
      <c r="B297" s="103">
        <v>160</v>
      </c>
      <c r="C297" s="103">
        <v>160</v>
      </c>
      <c r="D297" s="103">
        <v>1.2</v>
      </c>
      <c r="E297" s="103">
        <v>0</v>
      </c>
      <c r="F297" s="103">
        <v>0</v>
      </c>
      <c r="G297" s="103">
        <v>50</v>
      </c>
      <c r="H297" s="103">
        <v>15</v>
      </c>
      <c r="I297" s="103">
        <v>10</v>
      </c>
      <c r="J297" s="103">
        <v>90</v>
      </c>
      <c r="K297" s="103">
        <v>0</v>
      </c>
      <c r="L297" s="103">
        <v>75</v>
      </c>
      <c r="M297" s="103">
        <v>58.3</v>
      </c>
      <c r="N297" s="103">
        <v>16.7</v>
      </c>
      <c r="O297" s="103">
        <v>25</v>
      </c>
      <c r="P297" s="103">
        <v>15</v>
      </c>
      <c r="Q297" s="103">
        <v>10</v>
      </c>
      <c r="R297" s="103">
        <v>25</v>
      </c>
      <c r="T297" s="103">
        <f t="shared" si="4"/>
        <v>0</v>
      </c>
      <c r="W297">
        <v>0</v>
      </c>
      <c r="X297">
        <v>0</v>
      </c>
      <c r="Y297">
        <v>0</v>
      </c>
      <c r="Z297">
        <v>0</v>
      </c>
      <c r="AA297">
        <v>0</v>
      </c>
      <c r="AB297" s="103">
        <v>35</v>
      </c>
      <c r="AC297" s="103">
        <v>100</v>
      </c>
      <c r="AD297" s="103">
        <v>40</v>
      </c>
      <c r="AE297" s="103">
        <v>10</v>
      </c>
      <c r="AF297" s="102" t="e">
        <v>#N/A</v>
      </c>
      <c r="AG297" s="102" t="e">
        <v>#N/A</v>
      </c>
      <c r="AH297" s="102" t="e">
        <v>#N/A</v>
      </c>
      <c r="AI297" s="102" t="e">
        <v>#N/A</v>
      </c>
      <c r="AJ297" s="102" t="e">
        <v>#N/A</v>
      </c>
      <c r="AK297" s="102" t="e">
        <v>#N/A</v>
      </c>
      <c r="AL297" s="102" t="e">
        <v>#N/A</v>
      </c>
      <c r="AM297" s="102" t="e">
        <v>#N/A</v>
      </c>
      <c r="AN297" s="102" t="e">
        <v>#N/A</v>
      </c>
      <c r="AO297" s="102" t="e">
        <v>#N/A</v>
      </c>
      <c r="AP297" s="102" t="e">
        <v>#N/A</v>
      </c>
      <c r="AQ297" s="102" t="e">
        <v>#N/A</v>
      </c>
      <c r="AR297" s="102" t="e">
        <v>#N/A</v>
      </c>
      <c r="AS297" s="102" t="e">
        <v>#N/A</v>
      </c>
      <c r="AT297" s="102" t="e">
        <v>#N/A</v>
      </c>
      <c r="AU297" s="102" t="e">
        <v>#N/A</v>
      </c>
      <c r="AV297" s="102" t="e">
        <v>#N/A</v>
      </c>
      <c r="AW297" s="102" t="e">
        <v>#N/A</v>
      </c>
      <c r="AX297" s="102" t="e">
        <v>#N/A</v>
      </c>
      <c r="AY297" s="102" t="e">
        <v>#N/A</v>
      </c>
    </row>
    <row r="298" spans="1:51" s="103" customFormat="1">
      <c r="A298" s="103" t="s">
        <v>844</v>
      </c>
      <c r="B298" s="103">
        <v>860</v>
      </c>
      <c r="C298" s="103">
        <v>855</v>
      </c>
      <c r="D298" s="103">
        <v>2.2000000000000002</v>
      </c>
      <c r="E298" s="103">
        <v>43364</v>
      </c>
      <c r="F298" s="103">
        <v>0</v>
      </c>
      <c r="G298" s="103">
        <v>160</v>
      </c>
      <c r="H298" s="103">
        <v>25</v>
      </c>
      <c r="I298" s="103">
        <v>115</v>
      </c>
      <c r="J298" s="103">
        <v>56.3</v>
      </c>
      <c r="K298" s="103">
        <v>46.9</v>
      </c>
      <c r="L298" s="103">
        <v>60</v>
      </c>
      <c r="M298" s="103">
        <v>36.200000000000003</v>
      </c>
      <c r="N298" s="103">
        <v>38.1</v>
      </c>
      <c r="O298" s="103">
        <v>40</v>
      </c>
      <c r="P298" s="103">
        <v>20</v>
      </c>
      <c r="Q298" s="103">
        <v>10</v>
      </c>
      <c r="R298" s="103">
        <v>55</v>
      </c>
      <c r="T298" s="103" t="str">
        <f t="shared" si="4"/>
        <v>OPiponNaPiwin</v>
      </c>
      <c r="W298">
        <v>13496</v>
      </c>
      <c r="X298">
        <v>13153</v>
      </c>
      <c r="Y298">
        <v>14020</v>
      </c>
      <c r="Z298">
        <v>8960</v>
      </c>
      <c r="AA298">
        <v>11152</v>
      </c>
      <c r="AB298" s="103">
        <v>325</v>
      </c>
      <c r="AC298" s="103">
        <v>505</v>
      </c>
      <c r="AD298" s="103">
        <v>110</v>
      </c>
      <c r="AE298" s="103">
        <v>30</v>
      </c>
      <c r="AF298" s="102" t="e">
        <v>#N/A</v>
      </c>
      <c r="AG298" s="102" t="e">
        <v>#N/A</v>
      </c>
      <c r="AH298" s="102" t="e">
        <v>#N/A</v>
      </c>
      <c r="AI298" s="102" t="e">
        <v>#N/A</v>
      </c>
      <c r="AJ298" s="102" t="e">
        <v>#N/A</v>
      </c>
      <c r="AK298" s="102" t="e">
        <v>#N/A</v>
      </c>
      <c r="AL298" s="102" t="e">
        <v>#N/A</v>
      </c>
      <c r="AM298" s="102" t="e">
        <v>#N/A</v>
      </c>
      <c r="AN298" s="102" t="e">
        <v>#N/A</v>
      </c>
      <c r="AO298" s="102" t="e">
        <v>#N/A</v>
      </c>
      <c r="AP298" s="102" t="e">
        <v>#N/A</v>
      </c>
      <c r="AQ298" s="102" t="e">
        <v>#N/A</v>
      </c>
      <c r="AR298" s="102" t="e">
        <v>#N/A</v>
      </c>
      <c r="AS298" s="102" t="e">
        <v>#N/A</v>
      </c>
      <c r="AT298" s="102" t="e">
        <v>#N/A</v>
      </c>
      <c r="AU298" s="102" t="e">
        <v>#N/A</v>
      </c>
      <c r="AV298" s="102" t="e">
        <v>#N/A</v>
      </c>
      <c r="AW298" s="102" t="e">
        <v>#N/A</v>
      </c>
      <c r="AX298" s="102" t="e">
        <v>#N/A</v>
      </c>
      <c r="AY298" s="102" t="e">
        <v>#N/A</v>
      </c>
    </row>
    <row r="299" spans="1:51">
      <c r="A299" s="102" t="s">
        <v>680</v>
      </c>
      <c r="B299" s="102">
        <v>285</v>
      </c>
      <c r="C299" s="102">
        <v>285</v>
      </c>
      <c r="D299" s="102">
        <v>0.5</v>
      </c>
      <c r="E299" s="102">
        <v>36071</v>
      </c>
      <c r="F299" s="102">
        <v>16.7</v>
      </c>
      <c r="G299" s="102">
        <v>130</v>
      </c>
      <c r="H299" s="102">
        <v>35</v>
      </c>
      <c r="I299" s="102">
        <v>35</v>
      </c>
      <c r="J299" s="102">
        <v>76.900000000000006</v>
      </c>
      <c r="K299" s="102">
        <v>30.8</v>
      </c>
      <c r="L299" s="102">
        <v>63</v>
      </c>
      <c r="M299" s="102">
        <v>55.6</v>
      </c>
      <c r="N299" s="102">
        <v>11.8</v>
      </c>
      <c r="O299" s="102">
        <v>70</v>
      </c>
      <c r="P299" s="102">
        <v>20</v>
      </c>
      <c r="Q299" s="102">
        <v>10</v>
      </c>
      <c r="R299" s="102">
        <v>10</v>
      </c>
      <c r="T299" s="102">
        <f t="shared" si="4"/>
        <v>0</v>
      </c>
      <c r="W299">
        <v>14699</v>
      </c>
      <c r="X299">
        <v>11635</v>
      </c>
      <c r="Y299">
        <v>18377</v>
      </c>
      <c r="Z299">
        <v>14638</v>
      </c>
      <c r="AA299">
        <v>11342</v>
      </c>
      <c r="AB299" s="102">
        <v>10</v>
      </c>
      <c r="AC299" s="102">
        <v>170</v>
      </c>
      <c r="AD299" s="102">
        <v>65</v>
      </c>
      <c r="AE299" s="102">
        <v>100</v>
      </c>
      <c r="AF299" s="102">
        <v>5.4745206594748632</v>
      </c>
      <c r="AG299" s="102">
        <v>0</v>
      </c>
      <c r="AH299" s="102">
        <v>0</v>
      </c>
      <c r="AI299" s="102">
        <v>1.9907347852635864</v>
      </c>
      <c r="AJ299" s="102">
        <v>0</v>
      </c>
      <c r="AK299" s="102">
        <v>0.99536739263179319</v>
      </c>
      <c r="AL299" s="102">
        <v>0</v>
      </c>
      <c r="AM299" s="102">
        <v>0.99536739263179319</v>
      </c>
      <c r="AN299" s="102">
        <v>0</v>
      </c>
      <c r="AO299" s="102">
        <v>0.99536739263179319</v>
      </c>
      <c r="AP299" s="102">
        <v>0</v>
      </c>
      <c r="AQ299" s="102">
        <v>0</v>
      </c>
      <c r="AR299" s="102">
        <v>0</v>
      </c>
      <c r="AS299" s="102">
        <v>0.99536739263179319</v>
      </c>
      <c r="AT299" s="102">
        <v>0</v>
      </c>
      <c r="AU299" s="102">
        <v>2.4884184815794832</v>
      </c>
      <c r="AV299" s="102">
        <v>0</v>
      </c>
      <c r="AW299" s="102">
        <v>1.49305108894769</v>
      </c>
      <c r="AX299" s="102">
        <v>0.99536739263179319</v>
      </c>
      <c r="AY299" s="102">
        <v>0</v>
      </c>
    </row>
    <row r="300" spans="1:51">
      <c r="A300" s="102" t="s">
        <v>675</v>
      </c>
      <c r="B300" s="102">
        <v>1005</v>
      </c>
      <c r="C300" s="102">
        <v>1005</v>
      </c>
      <c r="D300" s="102">
        <v>0.8</v>
      </c>
      <c r="E300" s="102">
        <v>64125</v>
      </c>
      <c r="F300" s="102">
        <v>4.9000000000000004</v>
      </c>
      <c r="G300" s="102">
        <v>465</v>
      </c>
      <c r="H300" s="102">
        <v>215</v>
      </c>
      <c r="I300" s="102">
        <v>25</v>
      </c>
      <c r="J300" s="102">
        <v>88.2</v>
      </c>
      <c r="K300" s="102">
        <v>8.6</v>
      </c>
      <c r="L300" s="102">
        <v>67.599999999999994</v>
      </c>
      <c r="M300" s="102">
        <v>65.400000000000006</v>
      </c>
      <c r="N300" s="102">
        <v>3.3</v>
      </c>
      <c r="O300" s="102">
        <v>260</v>
      </c>
      <c r="P300" s="102">
        <v>70</v>
      </c>
      <c r="Q300" s="102">
        <v>155</v>
      </c>
      <c r="R300" s="102">
        <v>175</v>
      </c>
      <c r="T300" s="102">
        <f t="shared" si="4"/>
        <v>0</v>
      </c>
      <c r="W300">
        <v>22753</v>
      </c>
      <c r="X300">
        <v>21944</v>
      </c>
      <c r="Y300">
        <v>23986</v>
      </c>
      <c r="Z300">
        <v>25873</v>
      </c>
      <c r="AA300">
        <v>22409</v>
      </c>
      <c r="AB300" s="102">
        <v>95</v>
      </c>
      <c r="AC300" s="102">
        <v>675</v>
      </c>
      <c r="AD300" s="102">
        <v>400</v>
      </c>
      <c r="AE300" s="102">
        <v>200</v>
      </c>
      <c r="AF300" s="102">
        <v>2.3773650947982499</v>
      </c>
      <c r="AG300" s="102">
        <v>0</v>
      </c>
      <c r="AH300" s="102">
        <v>0</v>
      </c>
      <c r="AI300" s="102">
        <v>1.1187600446109411</v>
      </c>
      <c r="AJ300" s="102">
        <v>0</v>
      </c>
      <c r="AK300" s="102">
        <v>0.27969001115273529</v>
      </c>
      <c r="AL300" s="102">
        <v>1.5382950613400441</v>
      </c>
      <c r="AM300" s="102">
        <v>1.2586050501873087</v>
      </c>
      <c r="AN300" s="102">
        <v>0.27969001115273529</v>
      </c>
      <c r="AO300" s="102">
        <v>0</v>
      </c>
      <c r="AP300" s="102">
        <v>0.27969001115273529</v>
      </c>
      <c r="AQ300" s="102">
        <v>0.83907003345820586</v>
      </c>
      <c r="AR300" s="102">
        <v>0</v>
      </c>
      <c r="AS300" s="102">
        <v>0.83907003345820586</v>
      </c>
      <c r="AT300" s="102">
        <v>1.5382950613400441</v>
      </c>
      <c r="AU300" s="102">
        <v>2.2375200892218823</v>
      </c>
      <c r="AV300" s="102">
        <v>2.657055105950985</v>
      </c>
      <c r="AW300" s="102">
        <v>0.97891503903457355</v>
      </c>
      <c r="AX300" s="102">
        <v>0.97891503903457355</v>
      </c>
      <c r="AY300" s="102">
        <v>0.27969001115273529</v>
      </c>
    </row>
    <row r="301" spans="1:51" s="103" customFormat="1">
      <c r="A301" s="103" t="s">
        <v>762</v>
      </c>
      <c r="B301" s="103">
        <v>39385</v>
      </c>
      <c r="C301" s="103">
        <v>39330</v>
      </c>
      <c r="D301" s="103">
        <v>1.1000000000000001</v>
      </c>
      <c r="E301" s="103">
        <v>52958</v>
      </c>
      <c r="F301" s="103">
        <v>12.5</v>
      </c>
      <c r="G301" s="103">
        <v>16510</v>
      </c>
      <c r="H301" s="103">
        <v>5825</v>
      </c>
      <c r="I301" s="103">
        <v>2525</v>
      </c>
      <c r="J301" s="103">
        <v>72.3</v>
      </c>
      <c r="K301" s="103">
        <v>22.4</v>
      </c>
      <c r="L301" s="103">
        <v>59</v>
      </c>
      <c r="M301" s="103">
        <v>54.4</v>
      </c>
      <c r="N301" s="103">
        <v>7.9</v>
      </c>
      <c r="O301" s="103">
        <v>7335</v>
      </c>
      <c r="P301" s="103">
        <v>3060</v>
      </c>
      <c r="Q301" s="103">
        <v>4025</v>
      </c>
      <c r="R301" s="103">
        <v>3360</v>
      </c>
      <c r="T301" s="103">
        <f t="shared" si="4"/>
        <v>0</v>
      </c>
      <c r="W301">
        <v>23040</v>
      </c>
      <c r="X301">
        <v>25264</v>
      </c>
      <c r="Y301">
        <v>20388</v>
      </c>
      <c r="Z301">
        <v>20349</v>
      </c>
      <c r="AA301">
        <v>16556</v>
      </c>
      <c r="AB301" s="103">
        <v>8010</v>
      </c>
      <c r="AC301" s="103">
        <v>23895</v>
      </c>
      <c r="AD301" s="103">
        <v>10585</v>
      </c>
      <c r="AE301" s="103">
        <v>7460</v>
      </c>
      <c r="AF301" s="102">
        <v>3.4391288506499582</v>
      </c>
      <c r="AG301" s="102">
        <v>0.29269181707659214</v>
      </c>
      <c r="AH301" s="102">
        <v>0.13719928925465258</v>
      </c>
      <c r="AI301" s="102">
        <v>0.85520890302066765</v>
      </c>
      <c r="AJ301" s="102">
        <v>0.57166370522771914</v>
      </c>
      <c r="AK301" s="102">
        <v>0.48934413167492752</v>
      </c>
      <c r="AL301" s="102">
        <v>1.8567637145796316</v>
      </c>
      <c r="AM301" s="102">
        <v>0.83691566445338073</v>
      </c>
      <c r="AN301" s="102">
        <v>0.16463914710558308</v>
      </c>
      <c r="AO301" s="102">
        <v>0.45733096418217528</v>
      </c>
      <c r="AP301" s="102">
        <v>5.9453025343682783E-2</v>
      </c>
      <c r="AQ301" s="102">
        <v>0.36129146170391846</v>
      </c>
      <c r="AR301" s="102">
        <v>9.1466192836435044E-3</v>
      </c>
      <c r="AS301" s="102">
        <v>0.19665231459833535</v>
      </c>
      <c r="AT301" s="102">
        <v>1.3262597961283082</v>
      </c>
      <c r="AU301" s="102">
        <v>2.6845327597493687</v>
      </c>
      <c r="AV301" s="102">
        <v>0.20579893388197887</v>
      </c>
      <c r="AW301" s="102">
        <v>0.87807545122977648</v>
      </c>
      <c r="AX301" s="102">
        <v>0.71343630412419334</v>
      </c>
      <c r="AY301" s="102">
        <v>0.96039502478256811</v>
      </c>
    </row>
    <row r="302" spans="1:51" s="103" customFormat="1">
      <c r="A302" s="103" t="s">
        <v>763</v>
      </c>
      <c r="B302" s="103">
        <v>42055</v>
      </c>
      <c r="C302" s="103">
        <v>42000</v>
      </c>
      <c r="D302" s="103">
        <v>1</v>
      </c>
      <c r="E302" s="103">
        <v>54326</v>
      </c>
      <c r="F302" s="103">
        <v>11.5</v>
      </c>
      <c r="G302" s="103">
        <v>17985</v>
      </c>
      <c r="H302" s="103">
        <v>6300</v>
      </c>
      <c r="I302" s="103">
        <v>2430</v>
      </c>
      <c r="J302" s="103">
        <v>75.599999999999994</v>
      </c>
      <c r="K302" s="103">
        <v>20.399999999999999</v>
      </c>
      <c r="L302" s="103">
        <v>60.7</v>
      </c>
      <c r="M302" s="103">
        <v>56.8</v>
      </c>
      <c r="N302" s="103">
        <v>6.6</v>
      </c>
      <c r="O302" s="103">
        <v>8185</v>
      </c>
      <c r="P302" s="103">
        <v>3480</v>
      </c>
      <c r="Q302" s="103">
        <v>4515</v>
      </c>
      <c r="R302" s="103">
        <v>3790</v>
      </c>
      <c r="T302" s="103">
        <f t="shared" si="4"/>
        <v>0</v>
      </c>
      <c r="W302"/>
      <c r="X302"/>
      <c r="Y302"/>
      <c r="Z302"/>
      <c r="AA302"/>
      <c r="AB302" s="103">
        <v>0</v>
      </c>
      <c r="AC302" s="103">
        <v>0</v>
      </c>
      <c r="AD302" s="103">
        <v>0</v>
      </c>
      <c r="AE302" s="103">
        <v>0</v>
      </c>
      <c r="AF302" s="102">
        <v>3.5999160897557898</v>
      </c>
      <c r="AG302" s="102">
        <v>0.38951256096446474</v>
      </c>
      <c r="AH302" s="102">
        <v>0.11890383439967872</v>
      </c>
      <c r="AI302" s="102">
        <v>0.84052710523910812</v>
      </c>
      <c r="AJ302" s="102">
        <v>0.58631890755703642</v>
      </c>
      <c r="AK302" s="102">
        <v>0.48791573426075058</v>
      </c>
      <c r="AL302" s="102">
        <v>1.8942610859535023</v>
      </c>
      <c r="AM302" s="102">
        <v>0.79132551859096523</v>
      </c>
      <c r="AN302" s="102">
        <v>0.15580502438578589</v>
      </c>
      <c r="AO302" s="102">
        <v>0.47971546981939345</v>
      </c>
      <c r="AP302" s="102">
        <v>4.9201586648142913E-2</v>
      </c>
      <c r="AQ302" s="102">
        <v>0.34031097431632185</v>
      </c>
      <c r="AR302" s="102">
        <v>2.0500661103392881E-2</v>
      </c>
      <c r="AS302" s="102">
        <v>0.23370753657867885</v>
      </c>
      <c r="AT302" s="102">
        <v>1.258740591748323</v>
      </c>
      <c r="AU302" s="102">
        <v>2.6076840923515743</v>
      </c>
      <c r="AV302" s="102">
        <v>0.23370753657867885</v>
      </c>
      <c r="AW302" s="102">
        <v>1.0127326585076084</v>
      </c>
      <c r="AX302" s="102">
        <v>0.70112260973603657</v>
      </c>
      <c r="AY302" s="102">
        <v>0.861027766342501</v>
      </c>
    </row>
    <row r="303" spans="1:51">
      <c r="A303" s="102" t="s">
        <v>246</v>
      </c>
      <c r="B303" s="102">
        <v>355</v>
      </c>
      <c r="C303" s="102">
        <v>355</v>
      </c>
      <c r="D303" s="102">
        <v>1.8</v>
      </c>
      <c r="E303" s="102">
        <v>30821</v>
      </c>
      <c r="F303" s="102">
        <v>0</v>
      </c>
      <c r="G303" s="102">
        <v>100</v>
      </c>
      <c r="H303" s="102">
        <v>35</v>
      </c>
      <c r="I303" s="102">
        <v>40</v>
      </c>
      <c r="J303" s="102">
        <v>0</v>
      </c>
      <c r="K303" s="102">
        <v>0</v>
      </c>
      <c r="L303" s="102">
        <v>37.5</v>
      </c>
      <c r="M303" s="102">
        <v>25</v>
      </c>
      <c r="N303" s="102">
        <v>33.299999999999997</v>
      </c>
      <c r="O303" s="102">
        <v>0</v>
      </c>
      <c r="P303" s="102">
        <v>10</v>
      </c>
      <c r="Q303" s="102">
        <v>0</v>
      </c>
      <c r="R303" s="102">
        <v>10</v>
      </c>
      <c r="T303" s="102" t="str">
        <f t="shared" si="4"/>
        <v>Pauingassi First Nation</v>
      </c>
      <c r="W303">
        <v>18239</v>
      </c>
      <c r="X303">
        <v>15511</v>
      </c>
      <c r="Y303">
        <v>22653</v>
      </c>
      <c r="Z303">
        <v>8544</v>
      </c>
      <c r="AA303">
        <v>10016</v>
      </c>
      <c r="AB303" s="102">
        <v>115</v>
      </c>
      <c r="AC303" s="102">
        <v>230</v>
      </c>
      <c r="AD303" s="102">
        <v>65</v>
      </c>
      <c r="AE303" s="102">
        <v>10</v>
      </c>
      <c r="AF303" s="102">
        <v>0</v>
      </c>
      <c r="AG303" s="102">
        <v>0</v>
      </c>
      <c r="AH303" s="102">
        <v>0</v>
      </c>
      <c r="AI303" s="102">
        <v>1.8801384083044981</v>
      </c>
      <c r="AJ303" s="102">
        <v>0</v>
      </c>
      <c r="AK303" s="102">
        <v>0</v>
      </c>
      <c r="AL303" s="102">
        <v>0</v>
      </c>
      <c r="AM303" s="102">
        <v>0</v>
      </c>
      <c r="AN303" s="102">
        <v>0</v>
      </c>
      <c r="AO303" s="102">
        <v>0</v>
      </c>
      <c r="AP303" s="102">
        <v>0</v>
      </c>
      <c r="AQ303" s="102">
        <v>0</v>
      </c>
      <c r="AR303" s="102">
        <v>0</v>
      </c>
      <c r="AS303" s="102">
        <v>1.8801384083044981</v>
      </c>
      <c r="AT303" s="102">
        <v>5.6404152249134949</v>
      </c>
      <c r="AU303" s="102">
        <v>1.8801384083044981</v>
      </c>
      <c r="AV303" s="102">
        <v>0</v>
      </c>
      <c r="AW303" s="102">
        <v>0</v>
      </c>
      <c r="AX303" s="102">
        <v>0</v>
      </c>
      <c r="AY303" s="102">
        <v>2.8202076124567474</v>
      </c>
    </row>
    <row r="304" spans="1:51" s="103" customFormat="1">
      <c r="A304" s="103" t="s">
        <v>247</v>
      </c>
      <c r="B304" s="103">
        <v>2520</v>
      </c>
      <c r="C304" s="103">
        <v>2520</v>
      </c>
      <c r="D304" s="103">
        <v>1.6</v>
      </c>
      <c r="E304" s="103">
        <v>24816</v>
      </c>
      <c r="F304" s="103">
        <v>0</v>
      </c>
      <c r="G304" s="103">
        <v>755</v>
      </c>
      <c r="H304" s="103">
        <v>255</v>
      </c>
      <c r="I304" s="103">
        <v>370</v>
      </c>
      <c r="J304" s="103">
        <v>6.6</v>
      </c>
      <c r="K304" s="103">
        <v>1.3</v>
      </c>
      <c r="L304" s="103">
        <v>49.9</v>
      </c>
      <c r="M304" s="103">
        <v>34.9</v>
      </c>
      <c r="N304" s="103">
        <v>29.9</v>
      </c>
      <c r="O304" s="103">
        <v>285</v>
      </c>
      <c r="P304" s="103">
        <v>170</v>
      </c>
      <c r="Q304" s="103">
        <v>180</v>
      </c>
      <c r="R304" s="103">
        <v>175</v>
      </c>
      <c r="T304" s="103" t="str">
        <f t="shared" si="4"/>
        <v>Peguis First Nation</v>
      </c>
      <c r="W304">
        <v>17035</v>
      </c>
      <c r="X304">
        <v>15444</v>
      </c>
      <c r="Y304">
        <v>18712</v>
      </c>
      <c r="Z304">
        <v>1333</v>
      </c>
      <c r="AA304">
        <v>7397</v>
      </c>
      <c r="AB304" s="103">
        <v>735</v>
      </c>
      <c r="AC304" s="103">
        <v>1625</v>
      </c>
      <c r="AD304" s="103">
        <v>485</v>
      </c>
      <c r="AE304" s="103">
        <v>145</v>
      </c>
      <c r="AF304" s="102">
        <v>0.38240103219752508</v>
      </c>
      <c r="AG304" s="102">
        <v>0</v>
      </c>
      <c r="AH304" s="102">
        <v>0</v>
      </c>
      <c r="AI304" s="102">
        <v>2.2944061931851505</v>
      </c>
      <c r="AJ304" s="102">
        <v>0.19120051609876254</v>
      </c>
      <c r="AK304" s="102">
        <v>0</v>
      </c>
      <c r="AL304" s="102">
        <v>1.1472030965925752</v>
      </c>
      <c r="AM304" s="102">
        <v>0.47800129024690635</v>
      </c>
      <c r="AN304" s="102">
        <v>0.19120051609876254</v>
      </c>
      <c r="AO304" s="102">
        <v>0.19120051609876254</v>
      </c>
      <c r="AP304" s="102">
        <v>0</v>
      </c>
      <c r="AQ304" s="102">
        <v>0</v>
      </c>
      <c r="AR304" s="102">
        <v>0</v>
      </c>
      <c r="AS304" s="102">
        <v>0.47800129024690635</v>
      </c>
      <c r="AT304" s="102">
        <v>3.3460090317283444</v>
      </c>
      <c r="AU304" s="102">
        <v>3.0592082575802007</v>
      </c>
      <c r="AV304" s="102">
        <v>0.57360154829628762</v>
      </c>
      <c r="AW304" s="102">
        <v>0.66920180634566895</v>
      </c>
      <c r="AX304" s="102">
        <v>0.28680077414814381</v>
      </c>
      <c r="AY304" s="102">
        <v>2.3900064512345316</v>
      </c>
    </row>
    <row r="305" spans="1:51" s="103" customFormat="1">
      <c r="A305" s="105" t="s">
        <v>248</v>
      </c>
      <c r="B305" s="103">
        <v>89</v>
      </c>
      <c r="T305" s="103">
        <f t="shared" si="4"/>
        <v>0</v>
      </c>
      <c r="W305"/>
      <c r="X305"/>
      <c r="Y305"/>
      <c r="Z305"/>
      <c r="AA305"/>
      <c r="AB305" s="103">
        <v>0</v>
      </c>
      <c r="AC305" s="103">
        <v>0</v>
      </c>
      <c r="AD305" s="103">
        <v>0</v>
      </c>
      <c r="AE305" s="103">
        <v>0</v>
      </c>
      <c r="AF305" s="102" t="e">
        <v>#N/A</v>
      </c>
      <c r="AG305" s="102" t="e">
        <v>#N/A</v>
      </c>
      <c r="AH305" s="102" t="e">
        <v>#N/A</v>
      </c>
      <c r="AI305" s="102" t="e">
        <v>#N/A</v>
      </c>
      <c r="AJ305" s="102" t="e">
        <v>#N/A</v>
      </c>
      <c r="AK305" s="102" t="e">
        <v>#N/A</v>
      </c>
      <c r="AL305" s="102" t="e">
        <v>#N/A</v>
      </c>
      <c r="AM305" s="102" t="e">
        <v>#N/A</v>
      </c>
      <c r="AN305" s="102" t="e">
        <v>#N/A</v>
      </c>
      <c r="AO305" s="102" t="e">
        <v>#N/A</v>
      </c>
      <c r="AP305" s="102" t="e">
        <v>#N/A</v>
      </c>
      <c r="AQ305" s="102" t="e">
        <v>#N/A</v>
      </c>
      <c r="AR305" s="102" t="e">
        <v>#N/A</v>
      </c>
      <c r="AS305" s="102" t="e">
        <v>#N/A</v>
      </c>
      <c r="AT305" s="102" t="e">
        <v>#N/A</v>
      </c>
      <c r="AU305" s="102" t="e">
        <v>#N/A</v>
      </c>
      <c r="AV305" s="102" t="e">
        <v>#N/A</v>
      </c>
      <c r="AW305" s="102" t="e">
        <v>#N/A</v>
      </c>
      <c r="AX305" s="102" t="e">
        <v>#N/A</v>
      </c>
      <c r="AY305" s="102" t="e">
        <v>#N/A</v>
      </c>
    </row>
    <row r="306" spans="1:51">
      <c r="A306" s="102" t="s">
        <v>616</v>
      </c>
      <c r="B306" s="102">
        <v>1710</v>
      </c>
      <c r="C306" s="102">
        <v>1490</v>
      </c>
      <c r="D306" s="102">
        <v>1</v>
      </c>
      <c r="E306" s="102">
        <v>50075</v>
      </c>
      <c r="F306" s="102">
        <v>11.8</v>
      </c>
      <c r="G306" s="102">
        <v>590</v>
      </c>
      <c r="H306" s="102">
        <v>215</v>
      </c>
      <c r="I306" s="102">
        <v>65</v>
      </c>
      <c r="J306" s="102">
        <v>89</v>
      </c>
      <c r="K306" s="102">
        <v>11</v>
      </c>
      <c r="L306" s="102">
        <v>71.5</v>
      </c>
      <c r="M306" s="102">
        <v>70.099999999999994</v>
      </c>
      <c r="N306" s="102">
        <v>2.6</v>
      </c>
      <c r="O306" s="102">
        <v>305</v>
      </c>
      <c r="P306" s="102">
        <v>150</v>
      </c>
      <c r="Q306" s="102">
        <v>220</v>
      </c>
      <c r="R306" s="102">
        <v>175</v>
      </c>
      <c r="T306" s="102">
        <f t="shared" si="4"/>
        <v>0</v>
      </c>
      <c r="W306">
        <v>20043</v>
      </c>
      <c r="X306">
        <v>20147</v>
      </c>
      <c r="Y306">
        <v>19910</v>
      </c>
      <c r="Z306">
        <v>15531</v>
      </c>
      <c r="AA306">
        <v>16714</v>
      </c>
      <c r="AB306" s="102">
        <v>340</v>
      </c>
      <c r="AC306" s="102">
        <v>1110</v>
      </c>
      <c r="AD306" s="102">
        <v>515</v>
      </c>
      <c r="AE306" s="102">
        <v>235</v>
      </c>
      <c r="AF306" s="102">
        <v>7.251962432031636</v>
      </c>
      <c r="AG306" s="102">
        <v>0</v>
      </c>
      <c r="AH306" s="102">
        <v>0</v>
      </c>
      <c r="AI306" s="102">
        <v>1.2086604053386059</v>
      </c>
      <c r="AJ306" s="102">
        <v>0.94966174705176187</v>
      </c>
      <c r="AK306" s="102">
        <v>0.60433020266930293</v>
      </c>
      <c r="AL306" s="102">
        <v>0.69066308876491767</v>
      </c>
      <c r="AM306" s="102">
        <v>0.69066308876491767</v>
      </c>
      <c r="AN306" s="102">
        <v>0.25899865828684415</v>
      </c>
      <c r="AO306" s="102">
        <v>0.5179973165736883</v>
      </c>
      <c r="AP306" s="102">
        <v>0</v>
      </c>
      <c r="AQ306" s="102">
        <v>0.25899865828684415</v>
      </c>
      <c r="AR306" s="102">
        <v>0</v>
      </c>
      <c r="AS306" s="102">
        <v>0</v>
      </c>
      <c r="AT306" s="102">
        <v>1.1223275192429913</v>
      </c>
      <c r="AU306" s="102">
        <v>1.2086604053386059</v>
      </c>
      <c r="AV306" s="102">
        <v>0.17266577219122942</v>
      </c>
      <c r="AW306" s="102">
        <v>0.60433020266930293</v>
      </c>
      <c r="AX306" s="102">
        <v>0.34533154438245883</v>
      </c>
      <c r="AY306" s="102">
        <v>0.69066308876491767</v>
      </c>
    </row>
    <row r="307" spans="1:51" s="103" customFormat="1">
      <c r="A307" s="105" t="s">
        <v>407</v>
      </c>
      <c r="B307" s="103">
        <v>96</v>
      </c>
      <c r="T307" s="103">
        <f t="shared" si="4"/>
        <v>0</v>
      </c>
      <c r="W307"/>
      <c r="X307"/>
      <c r="Y307"/>
      <c r="Z307"/>
      <c r="AA307"/>
      <c r="AB307" s="103">
        <v>0</v>
      </c>
      <c r="AC307" s="103">
        <v>0</v>
      </c>
      <c r="AD307" s="103">
        <v>0</v>
      </c>
      <c r="AE307" s="103">
        <v>0</v>
      </c>
      <c r="AF307" s="102" t="e">
        <v>#N/A</v>
      </c>
      <c r="AG307" s="102" t="e">
        <v>#N/A</v>
      </c>
      <c r="AH307" s="102" t="e">
        <v>#N/A</v>
      </c>
      <c r="AI307" s="102" t="e">
        <v>#N/A</v>
      </c>
      <c r="AJ307" s="102" t="e">
        <v>#N/A</v>
      </c>
      <c r="AK307" s="102" t="e">
        <v>#N/A</v>
      </c>
      <c r="AL307" s="102" t="e">
        <v>#N/A</v>
      </c>
      <c r="AM307" s="102" t="e">
        <v>#N/A</v>
      </c>
      <c r="AN307" s="102" t="e">
        <v>#N/A</v>
      </c>
      <c r="AO307" s="102" t="e">
        <v>#N/A</v>
      </c>
      <c r="AP307" s="102" t="e">
        <v>#N/A</v>
      </c>
      <c r="AQ307" s="102" t="e">
        <v>#N/A</v>
      </c>
      <c r="AR307" s="102" t="e">
        <v>#N/A</v>
      </c>
      <c r="AS307" s="102" t="e">
        <v>#N/A</v>
      </c>
      <c r="AT307" s="102" t="e">
        <v>#N/A</v>
      </c>
      <c r="AU307" s="102" t="e">
        <v>#N/A</v>
      </c>
      <c r="AV307" s="102" t="e">
        <v>#N/A</v>
      </c>
      <c r="AW307" s="102" t="e">
        <v>#N/A</v>
      </c>
      <c r="AX307" s="102" t="e">
        <v>#N/A</v>
      </c>
      <c r="AY307" s="102" t="e">
        <v>#N/A</v>
      </c>
    </row>
    <row r="308" spans="1:51">
      <c r="A308" s="102" t="s">
        <v>408</v>
      </c>
      <c r="B308" s="102">
        <v>580</v>
      </c>
      <c r="C308" s="102">
        <v>580</v>
      </c>
      <c r="D308" s="102">
        <v>1</v>
      </c>
      <c r="E308" s="102">
        <v>65893</v>
      </c>
      <c r="F308" s="102">
        <v>6.7</v>
      </c>
      <c r="G308" s="102">
        <v>290</v>
      </c>
      <c r="H308" s="102">
        <v>100</v>
      </c>
      <c r="I308" s="102">
        <v>30</v>
      </c>
      <c r="J308" s="102">
        <v>72.400000000000006</v>
      </c>
      <c r="K308" s="102">
        <v>27.6</v>
      </c>
      <c r="L308" s="102">
        <v>56.8</v>
      </c>
      <c r="M308" s="102">
        <v>51.6</v>
      </c>
      <c r="N308" s="102">
        <v>9.3000000000000007</v>
      </c>
      <c r="O308" s="102">
        <v>75</v>
      </c>
      <c r="P308" s="102">
        <v>45</v>
      </c>
      <c r="Q308" s="102">
        <v>125</v>
      </c>
      <c r="R308" s="102">
        <v>55</v>
      </c>
      <c r="T308" s="102">
        <f t="shared" si="4"/>
        <v>0</v>
      </c>
      <c r="W308">
        <v>29834</v>
      </c>
      <c r="X308">
        <v>30961</v>
      </c>
      <c r="Y308">
        <v>28301</v>
      </c>
      <c r="Z308">
        <v>30690</v>
      </c>
      <c r="AA308">
        <v>18712</v>
      </c>
      <c r="AB308" s="102">
        <v>90</v>
      </c>
      <c r="AC308" s="102">
        <v>305</v>
      </c>
      <c r="AD308" s="102">
        <v>135</v>
      </c>
      <c r="AE308" s="102">
        <v>175</v>
      </c>
      <c r="AF308" s="102">
        <v>1.5667820069204152</v>
      </c>
      <c r="AG308" s="102">
        <v>0</v>
      </c>
      <c r="AH308" s="102">
        <v>0</v>
      </c>
      <c r="AI308" s="102">
        <v>0.6267128027681661</v>
      </c>
      <c r="AJ308" s="102">
        <v>0.94006920415224904</v>
      </c>
      <c r="AK308" s="102">
        <v>2.1934948096885813</v>
      </c>
      <c r="AL308" s="102">
        <v>1.2534256055363322</v>
      </c>
      <c r="AM308" s="102">
        <v>0.94006920415224904</v>
      </c>
      <c r="AN308" s="102">
        <v>0.6267128027681661</v>
      </c>
      <c r="AO308" s="102">
        <v>0.6267128027681661</v>
      </c>
      <c r="AP308" s="102">
        <v>0</v>
      </c>
      <c r="AQ308" s="102">
        <v>0</v>
      </c>
      <c r="AR308" s="102">
        <v>0</v>
      </c>
      <c r="AS308" s="102">
        <v>0</v>
      </c>
      <c r="AT308" s="102">
        <v>1.5667820069204152</v>
      </c>
      <c r="AU308" s="102">
        <v>3.1335640138408305</v>
      </c>
      <c r="AV308" s="102">
        <v>0</v>
      </c>
      <c r="AW308" s="102">
        <v>0</v>
      </c>
      <c r="AX308" s="102">
        <v>2.1934948096885813</v>
      </c>
      <c r="AY308" s="102">
        <v>0.94006920415224904</v>
      </c>
    </row>
    <row r="309" spans="1:51">
      <c r="A309" s="102" t="s">
        <v>409</v>
      </c>
      <c r="B309" s="102">
        <v>1450</v>
      </c>
      <c r="C309" s="102">
        <v>1440</v>
      </c>
      <c r="D309" s="102">
        <v>0.6</v>
      </c>
      <c r="E309" s="102">
        <v>61656</v>
      </c>
      <c r="F309" s="102">
        <v>9.3000000000000007</v>
      </c>
      <c r="G309" s="102">
        <v>630</v>
      </c>
      <c r="H309" s="102">
        <v>185</v>
      </c>
      <c r="I309" s="102">
        <v>15</v>
      </c>
      <c r="J309" s="102">
        <v>83.3</v>
      </c>
      <c r="K309" s="102">
        <v>16.7</v>
      </c>
      <c r="L309" s="102">
        <v>45.7</v>
      </c>
      <c r="M309" s="102">
        <v>44.1</v>
      </c>
      <c r="N309" s="102">
        <v>4.4000000000000004</v>
      </c>
      <c r="O309" s="102">
        <v>365</v>
      </c>
      <c r="P309" s="102">
        <v>130</v>
      </c>
      <c r="Q309" s="102">
        <v>245</v>
      </c>
      <c r="R309" s="102">
        <v>250</v>
      </c>
      <c r="T309" s="102">
        <f t="shared" si="4"/>
        <v>0</v>
      </c>
      <c r="W309">
        <v>25247</v>
      </c>
      <c r="X309">
        <v>32976</v>
      </c>
      <c r="Y309">
        <v>18558</v>
      </c>
      <c r="Z309">
        <v>40209</v>
      </c>
      <c r="AA309">
        <v>19773</v>
      </c>
      <c r="AB309" s="102">
        <v>210</v>
      </c>
      <c r="AC309" s="102">
        <v>870</v>
      </c>
      <c r="AD309" s="102">
        <v>550</v>
      </c>
      <c r="AE309" s="102">
        <v>355</v>
      </c>
      <c r="AF309" s="102">
        <v>0</v>
      </c>
      <c r="AG309" s="102">
        <v>0.74872768472303031</v>
      </c>
      <c r="AH309" s="102">
        <v>0.44923661083381816</v>
      </c>
      <c r="AI309" s="102">
        <v>0.29949107388921209</v>
      </c>
      <c r="AJ309" s="102">
        <v>0.74872768472303031</v>
      </c>
      <c r="AK309" s="102">
        <v>0.29949107388921209</v>
      </c>
      <c r="AL309" s="102">
        <v>1.7969464433352726</v>
      </c>
      <c r="AM309" s="102">
        <v>0.44923661083381816</v>
      </c>
      <c r="AN309" s="102">
        <v>0.29949107388921209</v>
      </c>
      <c r="AO309" s="102">
        <v>0</v>
      </c>
      <c r="AP309" s="102">
        <v>0.29949107388921209</v>
      </c>
      <c r="AQ309" s="102">
        <v>2.2461830541690913</v>
      </c>
      <c r="AR309" s="102">
        <v>0</v>
      </c>
      <c r="AS309" s="102">
        <v>0.89847322166763632</v>
      </c>
      <c r="AT309" s="102">
        <v>1.3477098325014545</v>
      </c>
      <c r="AU309" s="102">
        <v>3.294401812781333</v>
      </c>
      <c r="AV309" s="102">
        <v>0.29949107388921209</v>
      </c>
      <c r="AW309" s="102">
        <v>1.0482187586122425</v>
      </c>
      <c r="AX309" s="102">
        <v>0.59898214777842418</v>
      </c>
      <c r="AY309" s="102">
        <v>1.6472009063906665</v>
      </c>
    </row>
    <row r="310" spans="1:51" s="103" customFormat="1">
      <c r="A310" s="103" t="s">
        <v>249</v>
      </c>
      <c r="B310" s="103">
        <v>905</v>
      </c>
      <c r="C310" s="103">
        <v>905</v>
      </c>
      <c r="D310" s="103">
        <v>2.2000000000000002</v>
      </c>
      <c r="E310" s="103">
        <v>23373</v>
      </c>
      <c r="F310" s="103">
        <v>0</v>
      </c>
      <c r="G310" s="103">
        <v>235</v>
      </c>
      <c r="H310" s="103">
        <v>95</v>
      </c>
      <c r="I310" s="103">
        <v>115</v>
      </c>
      <c r="J310" s="103">
        <v>10.6</v>
      </c>
      <c r="K310" s="103">
        <v>6.4</v>
      </c>
      <c r="L310" s="103">
        <v>43.1</v>
      </c>
      <c r="M310" s="103">
        <v>17.899999999999999</v>
      </c>
      <c r="N310" s="103">
        <v>56.6</v>
      </c>
      <c r="O310" s="103">
        <v>95</v>
      </c>
      <c r="P310" s="103">
        <v>35</v>
      </c>
      <c r="Q310" s="103">
        <v>30</v>
      </c>
      <c r="R310" s="103">
        <v>110</v>
      </c>
      <c r="T310" s="103" t="str">
        <f t="shared" si="4"/>
        <v>Pinaymootang First Nation</v>
      </c>
      <c r="W310">
        <v>15155</v>
      </c>
      <c r="X310">
        <v>13630</v>
      </c>
      <c r="Y310">
        <v>16347</v>
      </c>
      <c r="Z310">
        <v>2565</v>
      </c>
      <c r="AA310">
        <v>8448</v>
      </c>
      <c r="AB310" s="103">
        <v>290</v>
      </c>
      <c r="AC310" s="103">
        <v>575</v>
      </c>
      <c r="AD310" s="103">
        <v>130</v>
      </c>
      <c r="AE310" s="103">
        <v>60</v>
      </c>
      <c r="AF310" s="102">
        <v>0</v>
      </c>
      <c r="AG310" s="102">
        <v>0</v>
      </c>
      <c r="AH310" s="102">
        <v>0.6385375726317164</v>
      </c>
      <c r="AI310" s="102">
        <v>0.6385375726317164</v>
      </c>
      <c r="AJ310" s="102">
        <v>0</v>
      </c>
      <c r="AK310" s="102">
        <v>0.6385375726317164</v>
      </c>
      <c r="AL310" s="102">
        <v>1.2770751452634328</v>
      </c>
      <c r="AM310" s="102">
        <v>0</v>
      </c>
      <c r="AN310" s="102">
        <v>0</v>
      </c>
      <c r="AO310" s="102">
        <v>0</v>
      </c>
      <c r="AP310" s="102">
        <v>0</v>
      </c>
      <c r="AQ310" s="102">
        <v>0</v>
      </c>
      <c r="AR310" s="102">
        <v>0</v>
      </c>
      <c r="AS310" s="102">
        <v>0</v>
      </c>
      <c r="AT310" s="102">
        <v>1.9156127178951492</v>
      </c>
      <c r="AU310" s="102">
        <v>0.6385375726317164</v>
      </c>
      <c r="AV310" s="102">
        <v>0</v>
      </c>
      <c r="AW310" s="102">
        <v>0</v>
      </c>
      <c r="AX310" s="102">
        <v>0</v>
      </c>
      <c r="AY310" s="102">
        <v>1.5963439315792911</v>
      </c>
    </row>
    <row r="311" spans="1:51" s="103" customFormat="1">
      <c r="A311" s="103" t="s">
        <v>250</v>
      </c>
      <c r="B311" s="103">
        <v>615</v>
      </c>
      <c r="C311" s="103">
        <v>615</v>
      </c>
      <c r="D311" s="103">
        <v>1.8</v>
      </c>
      <c r="E311" s="103">
        <v>22954</v>
      </c>
      <c r="F311" s="103">
        <v>0</v>
      </c>
      <c r="G311" s="103">
        <v>210</v>
      </c>
      <c r="H311" s="103">
        <v>75</v>
      </c>
      <c r="I311" s="103">
        <v>110</v>
      </c>
      <c r="J311" s="103">
        <v>9.5</v>
      </c>
      <c r="K311" s="103">
        <v>45.2</v>
      </c>
      <c r="L311" s="103">
        <v>31.2</v>
      </c>
      <c r="M311" s="103">
        <v>21.2</v>
      </c>
      <c r="N311" s="103">
        <v>32</v>
      </c>
      <c r="O311" s="103">
        <v>30</v>
      </c>
      <c r="P311" s="103">
        <v>30</v>
      </c>
      <c r="Q311" s="103">
        <v>25</v>
      </c>
      <c r="R311" s="103">
        <v>0</v>
      </c>
      <c r="T311" s="103" t="str">
        <f t="shared" si="4"/>
        <v>Pine Creek First Nation</v>
      </c>
      <c r="W311">
        <v>14291</v>
      </c>
      <c r="X311">
        <v>12798</v>
      </c>
      <c r="Y311">
        <v>16663</v>
      </c>
      <c r="Z311">
        <v>4759</v>
      </c>
      <c r="AA311">
        <v>9897</v>
      </c>
      <c r="AB311" s="103">
        <v>200</v>
      </c>
      <c r="AC311" s="103">
        <v>355</v>
      </c>
      <c r="AD311" s="103">
        <v>95</v>
      </c>
      <c r="AE311" s="103">
        <v>20</v>
      </c>
      <c r="AF311" s="102">
        <v>1.3536996539792387</v>
      </c>
      <c r="AG311" s="102">
        <v>0</v>
      </c>
      <c r="AH311" s="102">
        <v>0</v>
      </c>
      <c r="AI311" s="102">
        <v>0</v>
      </c>
      <c r="AJ311" s="102">
        <v>0</v>
      </c>
      <c r="AK311" s="102">
        <v>0</v>
      </c>
      <c r="AL311" s="102">
        <v>1.3536996539792387</v>
      </c>
      <c r="AM311" s="102">
        <v>0</v>
      </c>
      <c r="AN311" s="102">
        <v>0</v>
      </c>
      <c r="AO311" s="102">
        <v>0</v>
      </c>
      <c r="AP311" s="102">
        <v>0</v>
      </c>
      <c r="AQ311" s="102">
        <v>0</v>
      </c>
      <c r="AR311" s="102">
        <v>0</v>
      </c>
      <c r="AS311" s="102">
        <v>0</v>
      </c>
      <c r="AT311" s="102">
        <v>3.3842491349480972</v>
      </c>
      <c r="AU311" s="102">
        <v>3.3842491349480972</v>
      </c>
      <c r="AV311" s="102">
        <v>0</v>
      </c>
      <c r="AW311" s="102">
        <v>0</v>
      </c>
      <c r="AX311" s="102">
        <v>0</v>
      </c>
      <c r="AY311" s="102">
        <v>2.7073993079584775</v>
      </c>
    </row>
    <row r="312" spans="1:51" s="103" customFormat="1">
      <c r="A312" s="105" t="s">
        <v>251</v>
      </c>
      <c r="B312" s="103">
        <v>83</v>
      </c>
      <c r="T312" s="103">
        <f t="shared" si="4"/>
        <v>0</v>
      </c>
      <c r="W312"/>
      <c r="X312"/>
      <c r="Y312"/>
      <c r="Z312"/>
      <c r="AA312"/>
      <c r="AB312" s="103">
        <v>0</v>
      </c>
      <c r="AC312" s="103">
        <v>0</v>
      </c>
      <c r="AD312" s="103">
        <v>0</v>
      </c>
      <c r="AE312" s="103">
        <v>0</v>
      </c>
      <c r="AF312" s="102" t="e">
        <v>#N/A</v>
      </c>
      <c r="AG312" s="102" t="e">
        <v>#N/A</v>
      </c>
      <c r="AH312" s="102" t="e">
        <v>#N/A</v>
      </c>
      <c r="AI312" s="102" t="e">
        <v>#N/A</v>
      </c>
      <c r="AJ312" s="102" t="e">
        <v>#N/A</v>
      </c>
      <c r="AK312" s="102" t="e">
        <v>#N/A</v>
      </c>
      <c r="AL312" s="102" t="e">
        <v>#N/A</v>
      </c>
      <c r="AM312" s="102" t="e">
        <v>#N/A</v>
      </c>
      <c r="AN312" s="102" t="e">
        <v>#N/A</v>
      </c>
      <c r="AO312" s="102" t="e">
        <v>#N/A</v>
      </c>
      <c r="AP312" s="102" t="e">
        <v>#N/A</v>
      </c>
      <c r="AQ312" s="102" t="e">
        <v>#N/A</v>
      </c>
      <c r="AR312" s="102" t="e">
        <v>#N/A</v>
      </c>
      <c r="AS312" s="102" t="e">
        <v>#N/A</v>
      </c>
      <c r="AT312" s="102" t="e">
        <v>#N/A</v>
      </c>
      <c r="AU312" s="102" t="e">
        <v>#N/A</v>
      </c>
      <c r="AV312" s="102" t="e">
        <v>#N/A</v>
      </c>
      <c r="AW312" s="102" t="e">
        <v>#N/A</v>
      </c>
      <c r="AX312" s="102" t="e">
        <v>#N/A</v>
      </c>
      <c r="AY312" s="102" t="e">
        <v>#N/A</v>
      </c>
    </row>
    <row r="313" spans="1:51" s="103" customFormat="1">
      <c r="A313" s="103" t="s">
        <v>410</v>
      </c>
      <c r="B313" s="103">
        <v>1295</v>
      </c>
      <c r="C313" s="103">
        <v>1280</v>
      </c>
      <c r="D313" s="103">
        <v>1</v>
      </c>
      <c r="E313" s="103">
        <v>70559</v>
      </c>
      <c r="F313" s="103">
        <v>6.3</v>
      </c>
      <c r="G313" s="103">
        <v>530</v>
      </c>
      <c r="H313" s="103">
        <v>200</v>
      </c>
      <c r="I313" s="103">
        <v>50</v>
      </c>
      <c r="J313" s="103">
        <v>80.2</v>
      </c>
      <c r="K313" s="103">
        <v>19.8</v>
      </c>
      <c r="L313" s="103">
        <v>70</v>
      </c>
      <c r="M313" s="103">
        <v>66</v>
      </c>
      <c r="N313" s="103">
        <v>5.6</v>
      </c>
      <c r="O313" s="103">
        <v>335</v>
      </c>
      <c r="P313" s="103">
        <v>155</v>
      </c>
      <c r="Q313" s="103">
        <v>165</v>
      </c>
      <c r="R313" s="103">
        <v>70</v>
      </c>
      <c r="T313" s="103">
        <f t="shared" si="4"/>
        <v>0</v>
      </c>
      <c r="W313">
        <v>33167</v>
      </c>
      <c r="X313">
        <v>51622</v>
      </c>
      <c r="Y313">
        <v>17499</v>
      </c>
      <c r="Z313">
        <v>54290</v>
      </c>
      <c r="AA313">
        <v>17836</v>
      </c>
      <c r="AB313" s="103">
        <v>280</v>
      </c>
      <c r="AC313" s="103">
        <v>820</v>
      </c>
      <c r="AD313" s="103">
        <v>320</v>
      </c>
      <c r="AE313" s="103">
        <v>180</v>
      </c>
      <c r="AF313" s="102" t="e">
        <v>#N/A</v>
      </c>
      <c r="AG313" s="102" t="e">
        <v>#N/A</v>
      </c>
      <c r="AH313" s="102" t="e">
        <v>#N/A</v>
      </c>
      <c r="AI313" s="102" t="e">
        <v>#N/A</v>
      </c>
      <c r="AJ313" s="102" t="e">
        <v>#N/A</v>
      </c>
      <c r="AK313" s="102" t="e">
        <v>#N/A</v>
      </c>
      <c r="AL313" s="102" t="e">
        <v>#N/A</v>
      </c>
      <c r="AM313" s="102" t="e">
        <v>#N/A</v>
      </c>
      <c r="AN313" s="102" t="e">
        <v>#N/A</v>
      </c>
      <c r="AO313" s="102" t="e">
        <v>#N/A</v>
      </c>
      <c r="AP313" s="102" t="e">
        <v>#N/A</v>
      </c>
      <c r="AQ313" s="102" t="e">
        <v>#N/A</v>
      </c>
      <c r="AR313" s="102" t="e">
        <v>#N/A</v>
      </c>
      <c r="AS313" s="102" t="e">
        <v>#N/A</v>
      </c>
      <c r="AT313" s="102" t="e">
        <v>#N/A</v>
      </c>
      <c r="AU313" s="102" t="e">
        <v>#N/A</v>
      </c>
      <c r="AV313" s="102" t="e">
        <v>#N/A</v>
      </c>
      <c r="AW313" s="102" t="e">
        <v>#N/A</v>
      </c>
      <c r="AX313" s="102" t="e">
        <v>#N/A</v>
      </c>
      <c r="AY313" s="102" t="e">
        <v>#N/A</v>
      </c>
    </row>
    <row r="314" spans="1:51">
      <c r="A314" s="102" t="s">
        <v>411</v>
      </c>
      <c r="B314" s="102">
        <v>1755</v>
      </c>
      <c r="C314" s="102">
        <v>1690</v>
      </c>
      <c r="D314" s="102">
        <v>0.9</v>
      </c>
      <c r="E314" s="102">
        <v>54229</v>
      </c>
      <c r="F314" s="102">
        <v>4.0999999999999996</v>
      </c>
      <c r="G314" s="102">
        <v>730</v>
      </c>
      <c r="H314" s="102">
        <v>330</v>
      </c>
      <c r="I314" s="102">
        <v>90</v>
      </c>
      <c r="J314" s="102">
        <v>90.4</v>
      </c>
      <c r="K314" s="102">
        <v>8.9</v>
      </c>
      <c r="L314" s="102">
        <v>60.1</v>
      </c>
      <c r="M314" s="102">
        <v>56.9</v>
      </c>
      <c r="N314" s="102">
        <v>5.3</v>
      </c>
      <c r="O314" s="102">
        <v>340</v>
      </c>
      <c r="P314" s="102">
        <v>150</v>
      </c>
      <c r="Q314" s="102">
        <v>175</v>
      </c>
      <c r="R314" s="102">
        <v>100</v>
      </c>
      <c r="T314" s="102">
        <f t="shared" si="4"/>
        <v>0</v>
      </c>
      <c r="W314">
        <v>23043</v>
      </c>
      <c r="X314">
        <v>26575</v>
      </c>
      <c r="Y314">
        <v>18610</v>
      </c>
      <c r="Z314">
        <v>24124</v>
      </c>
      <c r="AA314">
        <v>16969</v>
      </c>
      <c r="AB314" s="102">
        <v>340</v>
      </c>
      <c r="AC314" s="102">
        <v>1030</v>
      </c>
      <c r="AD314" s="102">
        <v>520</v>
      </c>
      <c r="AE314" s="102">
        <v>385</v>
      </c>
      <c r="AF314" s="102">
        <v>4.0810063097903519</v>
      </c>
      <c r="AG314" s="102">
        <v>0.19907347852635865</v>
      </c>
      <c r="AH314" s="102">
        <v>0</v>
      </c>
      <c r="AI314" s="102">
        <v>1.2939776104213312</v>
      </c>
      <c r="AJ314" s="102">
        <v>2.8865654386322004</v>
      </c>
      <c r="AK314" s="102">
        <v>0.29861021778953795</v>
      </c>
      <c r="AL314" s="102">
        <v>1.3935143496845104</v>
      </c>
      <c r="AM314" s="102">
        <v>1.0949041318949726</v>
      </c>
      <c r="AN314" s="102">
        <v>0.19907347852635865</v>
      </c>
      <c r="AO314" s="102">
        <v>0.19907347852635865</v>
      </c>
      <c r="AP314" s="102">
        <v>0.29861021778953795</v>
      </c>
      <c r="AQ314" s="102">
        <v>0.19907347852635865</v>
      </c>
      <c r="AR314" s="102">
        <v>0</v>
      </c>
      <c r="AS314" s="102">
        <v>0.69675717484225519</v>
      </c>
      <c r="AT314" s="102">
        <v>0.7962939141054346</v>
      </c>
      <c r="AU314" s="102">
        <v>2.090271524526766</v>
      </c>
      <c r="AV314" s="102">
        <v>0.19907347852635865</v>
      </c>
      <c r="AW314" s="102">
        <v>0.29861021778953795</v>
      </c>
      <c r="AX314" s="102">
        <v>0.29861021778953795</v>
      </c>
      <c r="AY314" s="102">
        <v>0.69675717484225519</v>
      </c>
    </row>
    <row r="315" spans="1:51">
      <c r="A315" s="102" t="s">
        <v>412</v>
      </c>
      <c r="B315" s="102">
        <v>1390</v>
      </c>
      <c r="C315" s="102">
        <v>1385</v>
      </c>
      <c r="D315" s="102">
        <v>1</v>
      </c>
      <c r="E315" s="102">
        <v>62098</v>
      </c>
      <c r="F315" s="102">
        <v>9.9</v>
      </c>
      <c r="G315" s="102">
        <v>575</v>
      </c>
      <c r="H315" s="102">
        <v>180</v>
      </c>
      <c r="I315" s="102">
        <v>85</v>
      </c>
      <c r="J315" s="102">
        <v>89.6</v>
      </c>
      <c r="K315" s="102">
        <v>11.3</v>
      </c>
      <c r="L315" s="102">
        <v>71.400000000000006</v>
      </c>
      <c r="M315" s="102">
        <v>68.8</v>
      </c>
      <c r="N315" s="102">
        <v>3</v>
      </c>
      <c r="O315" s="102">
        <v>300</v>
      </c>
      <c r="P315" s="102">
        <v>95</v>
      </c>
      <c r="Q315" s="102">
        <v>160</v>
      </c>
      <c r="R315" s="102">
        <v>105</v>
      </c>
      <c r="T315" s="102">
        <f t="shared" si="4"/>
        <v>0</v>
      </c>
      <c r="W315">
        <v>23676</v>
      </c>
      <c r="X315">
        <v>29587</v>
      </c>
      <c r="Y315">
        <v>17397</v>
      </c>
      <c r="Z315">
        <v>27196</v>
      </c>
      <c r="AA315">
        <v>15013</v>
      </c>
      <c r="AB315" s="102">
        <v>225</v>
      </c>
      <c r="AC315" s="102">
        <v>880</v>
      </c>
      <c r="AD315" s="102">
        <v>445</v>
      </c>
      <c r="AE315" s="102">
        <v>260</v>
      </c>
      <c r="AF315" s="102">
        <v>5.3327562126454859</v>
      </c>
      <c r="AG315" s="102">
        <v>0.61531802453601758</v>
      </c>
      <c r="AH315" s="102">
        <v>0</v>
      </c>
      <c r="AI315" s="102">
        <v>0.92297703680402643</v>
      </c>
      <c r="AJ315" s="102">
        <v>0.92297703680402643</v>
      </c>
      <c r="AK315" s="102">
        <v>0.7178710286253539</v>
      </c>
      <c r="AL315" s="102">
        <v>1.6408480654293802</v>
      </c>
      <c r="AM315" s="102">
        <v>0.82042403271469011</v>
      </c>
      <c r="AN315" s="102">
        <v>0.20510600817867253</v>
      </c>
      <c r="AO315" s="102">
        <v>0.61531802453601758</v>
      </c>
      <c r="AP315" s="102">
        <v>0</v>
      </c>
      <c r="AQ315" s="102">
        <v>0</v>
      </c>
      <c r="AR315" s="102">
        <v>0</v>
      </c>
      <c r="AS315" s="102">
        <v>0.61531802453601758</v>
      </c>
      <c r="AT315" s="102">
        <v>0.7178710286253539</v>
      </c>
      <c r="AU315" s="102">
        <v>1.4357420572507078</v>
      </c>
      <c r="AV315" s="102">
        <v>0</v>
      </c>
      <c r="AW315" s="102">
        <v>0.82042403271469011</v>
      </c>
      <c r="AX315" s="102">
        <v>0.82042403271469011</v>
      </c>
      <c r="AY315" s="102">
        <v>0.20510600817867253</v>
      </c>
    </row>
    <row r="316" spans="1:51">
      <c r="A316" s="102" t="s">
        <v>413</v>
      </c>
      <c r="B316" s="102">
        <v>770</v>
      </c>
      <c r="C316" s="102">
        <v>770</v>
      </c>
      <c r="D316" s="102">
        <v>1.6</v>
      </c>
      <c r="E316" s="102">
        <v>53489</v>
      </c>
      <c r="F316" s="102">
        <v>5</v>
      </c>
      <c r="G316" s="102">
        <v>250</v>
      </c>
      <c r="H316" s="102">
        <v>80</v>
      </c>
      <c r="I316" s="102">
        <v>35</v>
      </c>
      <c r="J316" s="102">
        <v>72</v>
      </c>
      <c r="K316" s="102">
        <v>28</v>
      </c>
      <c r="L316" s="102">
        <v>75</v>
      </c>
      <c r="M316" s="102">
        <v>71.2</v>
      </c>
      <c r="N316" s="102">
        <v>3.8</v>
      </c>
      <c r="O316" s="102">
        <v>105</v>
      </c>
      <c r="P316" s="102">
        <v>15</v>
      </c>
      <c r="Q316" s="102">
        <v>40</v>
      </c>
      <c r="R316" s="102">
        <v>35</v>
      </c>
      <c r="T316" s="102">
        <f t="shared" si="4"/>
        <v>0</v>
      </c>
      <c r="W316">
        <v>23956</v>
      </c>
      <c r="X316">
        <v>26417</v>
      </c>
      <c r="Y316">
        <v>19696</v>
      </c>
      <c r="Z316">
        <v>26870</v>
      </c>
      <c r="AA316">
        <v>14309</v>
      </c>
      <c r="AB316" s="102">
        <v>245</v>
      </c>
      <c r="AC316" s="102">
        <v>445</v>
      </c>
      <c r="AD316" s="102">
        <v>105</v>
      </c>
      <c r="AE316" s="102">
        <v>65</v>
      </c>
      <c r="AF316" s="102">
        <v>1.73551237689646</v>
      </c>
      <c r="AG316" s="102">
        <v>0</v>
      </c>
      <c r="AH316" s="102">
        <v>0</v>
      </c>
      <c r="AI316" s="102">
        <v>1.301634282672345</v>
      </c>
      <c r="AJ316" s="102">
        <v>4.9895980835773228</v>
      </c>
      <c r="AK316" s="102">
        <v>1.73551237689646</v>
      </c>
      <c r="AL316" s="102">
        <v>0.433878094224115</v>
      </c>
      <c r="AM316" s="102">
        <v>1.5185733297844024</v>
      </c>
      <c r="AN316" s="102">
        <v>0</v>
      </c>
      <c r="AO316" s="102">
        <v>0.65081714133617252</v>
      </c>
      <c r="AP316" s="102">
        <v>0</v>
      </c>
      <c r="AQ316" s="102">
        <v>0.433878094224115</v>
      </c>
      <c r="AR316" s="102">
        <v>0</v>
      </c>
      <c r="AS316" s="102">
        <v>0</v>
      </c>
      <c r="AT316" s="102">
        <v>1.0846952355602875</v>
      </c>
      <c r="AU316" s="102">
        <v>0.65081714133617252</v>
      </c>
      <c r="AV316" s="102">
        <v>0</v>
      </c>
      <c r="AW316" s="102">
        <v>1.0846952355602875</v>
      </c>
      <c r="AX316" s="102">
        <v>0.86775618844822999</v>
      </c>
      <c r="AY316" s="102">
        <v>0</v>
      </c>
    </row>
    <row r="317" spans="1:51" s="103" customFormat="1">
      <c r="A317" s="103" t="s">
        <v>252</v>
      </c>
      <c r="B317" s="103">
        <v>645</v>
      </c>
      <c r="C317" s="103">
        <v>645</v>
      </c>
      <c r="D317" s="103">
        <v>2</v>
      </c>
      <c r="E317" s="103">
        <v>36899</v>
      </c>
      <c r="F317" s="103">
        <v>0</v>
      </c>
      <c r="G317" s="103">
        <v>165</v>
      </c>
      <c r="H317" s="103">
        <v>45</v>
      </c>
      <c r="I317" s="103">
        <v>90</v>
      </c>
      <c r="J317" s="103">
        <v>0</v>
      </c>
      <c r="K317" s="103">
        <v>9.1</v>
      </c>
      <c r="L317" s="103">
        <v>50.6</v>
      </c>
      <c r="M317" s="103">
        <v>41.8</v>
      </c>
      <c r="N317" s="103">
        <v>17.5</v>
      </c>
      <c r="O317" s="103">
        <v>35</v>
      </c>
      <c r="P317" s="103">
        <v>0</v>
      </c>
      <c r="Q317" s="103">
        <v>25</v>
      </c>
      <c r="R317" s="103">
        <v>10</v>
      </c>
      <c r="T317" s="103" t="str">
        <f t="shared" si="4"/>
        <v>Poplar River First Nation</v>
      </c>
      <c r="W317">
        <v>15989</v>
      </c>
      <c r="X317">
        <v>16510</v>
      </c>
      <c r="Y317">
        <v>15331</v>
      </c>
      <c r="Z317">
        <v>10720</v>
      </c>
      <c r="AA317">
        <v>12896</v>
      </c>
      <c r="AB317" s="103">
        <v>250</v>
      </c>
      <c r="AC317" s="103">
        <v>380</v>
      </c>
      <c r="AD317" s="103">
        <v>110</v>
      </c>
      <c r="AE317" s="103">
        <v>20</v>
      </c>
      <c r="AF317" s="102">
        <v>1.6921245674740486</v>
      </c>
      <c r="AG317" s="102">
        <v>0</v>
      </c>
      <c r="AH317" s="102">
        <v>0</v>
      </c>
      <c r="AI317" s="102">
        <v>0.8460622837370243</v>
      </c>
      <c r="AJ317" s="102">
        <v>0</v>
      </c>
      <c r="AK317" s="102">
        <v>0</v>
      </c>
      <c r="AL317" s="102">
        <v>1.2690934256055364</v>
      </c>
      <c r="AM317" s="102">
        <v>0.8460622837370243</v>
      </c>
      <c r="AN317" s="102">
        <v>0</v>
      </c>
      <c r="AO317" s="102">
        <v>0</v>
      </c>
      <c r="AP317" s="102">
        <v>0</v>
      </c>
      <c r="AQ317" s="102">
        <v>0</v>
      </c>
      <c r="AR317" s="102">
        <v>0</v>
      </c>
      <c r="AS317" s="102">
        <v>0</v>
      </c>
      <c r="AT317" s="102">
        <v>2.5381868512110728</v>
      </c>
      <c r="AU317" s="102">
        <v>3.3842491349480972</v>
      </c>
      <c r="AV317" s="102">
        <v>0</v>
      </c>
      <c r="AW317" s="102">
        <v>0</v>
      </c>
      <c r="AX317" s="102">
        <v>0.8460622837370243</v>
      </c>
      <c r="AY317" s="102">
        <v>3.8072802768166092</v>
      </c>
    </row>
    <row r="318" spans="1:51" s="103" customFormat="1">
      <c r="A318" s="103" t="s">
        <v>803</v>
      </c>
      <c r="B318" s="103">
        <v>6795</v>
      </c>
      <c r="C318" s="103">
        <v>5700</v>
      </c>
      <c r="D318" s="103">
        <v>1</v>
      </c>
      <c r="E318" s="103">
        <v>69706</v>
      </c>
      <c r="F318" s="103">
        <v>6.1</v>
      </c>
      <c r="G318" s="103">
        <v>2185</v>
      </c>
      <c r="H318" s="103">
        <v>675</v>
      </c>
      <c r="I318" s="103">
        <v>270</v>
      </c>
      <c r="J318" s="103">
        <v>81.7</v>
      </c>
      <c r="K318" s="103">
        <v>18.100000000000001</v>
      </c>
      <c r="L318" s="103">
        <v>72.8</v>
      </c>
      <c r="M318" s="103">
        <v>71.099999999999994</v>
      </c>
      <c r="N318" s="103">
        <v>2.4</v>
      </c>
      <c r="O318" s="103">
        <v>1195</v>
      </c>
      <c r="P318" s="103">
        <v>670</v>
      </c>
      <c r="Q318" s="103">
        <v>720</v>
      </c>
      <c r="R318" s="103">
        <v>765</v>
      </c>
      <c r="T318" s="103">
        <f t="shared" si="4"/>
        <v>0</v>
      </c>
      <c r="W318">
        <v>28491</v>
      </c>
      <c r="X318">
        <v>31859</v>
      </c>
      <c r="Y318">
        <v>24564</v>
      </c>
      <c r="Z318">
        <v>34187</v>
      </c>
      <c r="AA318">
        <v>21596</v>
      </c>
      <c r="AB318" s="103">
        <v>1455</v>
      </c>
      <c r="AC318" s="103">
        <v>4510</v>
      </c>
      <c r="AD318" s="103">
        <v>1980</v>
      </c>
      <c r="AE318" s="103">
        <v>805</v>
      </c>
      <c r="AF318" s="102">
        <v>4.420865987094361</v>
      </c>
      <c r="AG318" s="102">
        <v>4.3555329922111925E-2</v>
      </c>
      <c r="AH318" s="102">
        <v>0.10888832480527981</v>
      </c>
      <c r="AI318" s="102">
        <v>0.95821725828646254</v>
      </c>
      <c r="AJ318" s="102">
        <v>1.6768802020013094</v>
      </c>
      <c r="AK318" s="102">
        <v>0.78399593859801464</v>
      </c>
      <c r="AL318" s="102">
        <v>1.263104567741246</v>
      </c>
      <c r="AM318" s="102">
        <v>0.84932893348118255</v>
      </c>
      <c r="AN318" s="102">
        <v>0.26133197953267157</v>
      </c>
      <c r="AO318" s="102">
        <v>0.37022030433795139</v>
      </c>
      <c r="AP318" s="102">
        <v>0.15244365472739174</v>
      </c>
      <c r="AQ318" s="102">
        <v>0.21777664961055962</v>
      </c>
      <c r="AR318" s="102">
        <v>0</v>
      </c>
      <c r="AS318" s="102">
        <v>0.21777664961055962</v>
      </c>
      <c r="AT318" s="102">
        <v>1.2195492378191339</v>
      </c>
      <c r="AU318" s="102">
        <v>2.1124335012224287</v>
      </c>
      <c r="AV318" s="102">
        <v>0.3484426393768954</v>
      </c>
      <c r="AW318" s="102">
        <v>0.41377563426006331</v>
      </c>
      <c r="AX318" s="102">
        <v>0.60977461890956697</v>
      </c>
      <c r="AY318" s="102">
        <v>0.87110659844223848</v>
      </c>
    </row>
    <row r="319" spans="1:51" s="103" customFormat="1">
      <c r="A319" s="103" t="s">
        <v>414</v>
      </c>
      <c r="B319" s="103">
        <v>12105</v>
      </c>
      <c r="C319" s="103">
        <v>12095</v>
      </c>
      <c r="D319" s="103">
        <v>1.1000000000000001</v>
      </c>
      <c r="E319" s="103">
        <v>62861</v>
      </c>
      <c r="F319" s="103">
        <v>13.3</v>
      </c>
      <c r="G319" s="103">
        <v>5210</v>
      </c>
      <c r="H319" s="103">
        <v>1630</v>
      </c>
      <c r="I319" s="103">
        <v>430</v>
      </c>
      <c r="J319" s="103">
        <v>69.400000000000006</v>
      </c>
      <c r="K319" s="103">
        <v>30.7</v>
      </c>
      <c r="L319" s="103">
        <v>65.400000000000006</v>
      </c>
      <c r="M319" s="103">
        <v>61.5</v>
      </c>
      <c r="N319" s="103">
        <v>6.1</v>
      </c>
      <c r="O319" s="103">
        <v>2580</v>
      </c>
      <c r="P319" s="103">
        <v>1035</v>
      </c>
      <c r="Q319" s="103">
        <v>1320</v>
      </c>
      <c r="R319" s="103">
        <v>1440</v>
      </c>
      <c r="T319" s="103">
        <f t="shared" si="4"/>
        <v>0</v>
      </c>
      <c r="W319">
        <v>27790</v>
      </c>
      <c r="X319">
        <v>33046</v>
      </c>
      <c r="Y319">
        <v>22791</v>
      </c>
      <c r="Z319">
        <v>30057</v>
      </c>
      <c r="AA319">
        <v>20369</v>
      </c>
      <c r="AB319" s="103">
        <v>2530</v>
      </c>
      <c r="AC319" s="103">
        <v>7645</v>
      </c>
      <c r="AD319" s="103">
        <v>3015</v>
      </c>
      <c r="AE319" s="103">
        <v>1940</v>
      </c>
      <c r="AF319" s="102">
        <v>0.63370402128510173</v>
      </c>
      <c r="AG319" s="102">
        <v>6.7415321413308707E-2</v>
      </c>
      <c r="AH319" s="102">
        <v>0.12134757854395567</v>
      </c>
      <c r="AI319" s="102">
        <v>0.67415321413308704</v>
      </c>
      <c r="AJ319" s="102">
        <v>1.712349163898041</v>
      </c>
      <c r="AK319" s="102">
        <v>0.40449192847985221</v>
      </c>
      <c r="AL319" s="102">
        <v>2.3595362494658043</v>
      </c>
      <c r="AM319" s="102">
        <v>0.51235644274114622</v>
      </c>
      <c r="AN319" s="102">
        <v>0.25617822137057311</v>
      </c>
      <c r="AO319" s="102">
        <v>0.51235644274114622</v>
      </c>
      <c r="AP319" s="102">
        <v>0.22921209280524957</v>
      </c>
      <c r="AQ319" s="102">
        <v>0.33707660706654352</v>
      </c>
      <c r="AR319" s="102">
        <v>0</v>
      </c>
      <c r="AS319" s="102">
        <v>0.44494112132783747</v>
      </c>
      <c r="AT319" s="102">
        <v>1.4696540068101296</v>
      </c>
      <c r="AU319" s="102">
        <v>3.4651475206440674</v>
      </c>
      <c r="AV319" s="102">
        <v>0.18876289995726439</v>
      </c>
      <c r="AW319" s="102">
        <v>1.5370693282234384</v>
      </c>
      <c r="AX319" s="102">
        <v>0.6067378927197784</v>
      </c>
      <c r="AY319" s="102">
        <v>1.1865096568742333</v>
      </c>
    </row>
    <row r="320" spans="1:51" s="103" customFormat="1">
      <c r="A320" s="105" t="s">
        <v>253</v>
      </c>
      <c r="B320" s="103">
        <v>20</v>
      </c>
      <c r="T320" s="103">
        <f t="shared" si="4"/>
        <v>0</v>
      </c>
      <c r="W320"/>
      <c r="X320"/>
      <c r="Y320"/>
      <c r="Z320"/>
      <c r="AA320"/>
      <c r="AB320" s="103">
        <v>0</v>
      </c>
      <c r="AC320" s="103">
        <v>0</v>
      </c>
      <c r="AD320" s="103">
        <v>0</v>
      </c>
      <c r="AE320" s="103">
        <v>0</v>
      </c>
      <c r="AF320" s="102" t="e">
        <v>#N/A</v>
      </c>
      <c r="AG320" s="102" t="e">
        <v>#N/A</v>
      </c>
      <c r="AH320" s="102" t="e">
        <v>#N/A</v>
      </c>
      <c r="AI320" s="102" t="e">
        <v>#N/A</v>
      </c>
      <c r="AJ320" s="102" t="e">
        <v>#N/A</v>
      </c>
      <c r="AK320" s="102" t="e">
        <v>#N/A</v>
      </c>
      <c r="AL320" s="102" t="e">
        <v>#N/A</v>
      </c>
      <c r="AM320" s="102" t="e">
        <v>#N/A</v>
      </c>
      <c r="AN320" s="102" t="e">
        <v>#N/A</v>
      </c>
      <c r="AO320" s="102" t="e">
        <v>#N/A</v>
      </c>
      <c r="AP320" s="102" t="e">
        <v>#N/A</v>
      </c>
      <c r="AQ320" s="102" t="e">
        <v>#N/A</v>
      </c>
      <c r="AR320" s="102" t="e">
        <v>#N/A</v>
      </c>
      <c r="AS320" s="102" t="e">
        <v>#N/A</v>
      </c>
      <c r="AT320" s="102" t="e">
        <v>#N/A</v>
      </c>
      <c r="AU320" s="102" t="e">
        <v>#N/A</v>
      </c>
      <c r="AV320" s="102" t="e">
        <v>#N/A</v>
      </c>
      <c r="AW320" s="102" t="e">
        <v>#N/A</v>
      </c>
      <c r="AX320" s="102" t="e">
        <v>#N/A</v>
      </c>
      <c r="AY320" s="102" t="e">
        <v>#N/A</v>
      </c>
    </row>
    <row r="321" spans="1:51" s="103" customFormat="1">
      <c r="A321" s="105" t="s">
        <v>415</v>
      </c>
      <c r="B321" s="103">
        <v>1295</v>
      </c>
      <c r="C321" s="103">
        <v>1280</v>
      </c>
      <c r="D321" s="103">
        <v>1</v>
      </c>
      <c r="E321" s="103">
        <v>70559</v>
      </c>
      <c r="F321" s="103">
        <v>6.3</v>
      </c>
      <c r="G321" s="103">
        <v>530</v>
      </c>
      <c r="H321" s="103">
        <v>200</v>
      </c>
      <c r="I321" s="103">
        <v>50</v>
      </c>
      <c r="J321" s="103">
        <v>80.2</v>
      </c>
      <c r="K321" s="103">
        <v>19.8</v>
      </c>
      <c r="L321" s="103">
        <v>70</v>
      </c>
      <c r="M321" s="103">
        <v>66</v>
      </c>
      <c r="N321" s="103">
        <v>5.6</v>
      </c>
      <c r="O321" s="103">
        <v>335</v>
      </c>
      <c r="P321" s="103">
        <v>155</v>
      </c>
      <c r="Q321" s="103">
        <v>165</v>
      </c>
      <c r="R321" s="103">
        <v>70</v>
      </c>
      <c r="T321" s="103">
        <f t="shared" si="4"/>
        <v>0</v>
      </c>
      <c r="W321">
        <v>33167</v>
      </c>
      <c r="X321">
        <v>51622</v>
      </c>
      <c r="Y321">
        <v>17499</v>
      </c>
      <c r="Z321">
        <v>54290</v>
      </c>
      <c r="AA321">
        <v>17836</v>
      </c>
      <c r="AB321" s="103">
        <v>280</v>
      </c>
      <c r="AC321" s="103">
        <v>820</v>
      </c>
      <c r="AD321" s="103">
        <v>320</v>
      </c>
      <c r="AE321" s="103">
        <v>180</v>
      </c>
      <c r="AF321" s="102" t="e">
        <v>#N/A</v>
      </c>
      <c r="AG321" s="102" t="e">
        <v>#N/A</v>
      </c>
      <c r="AH321" s="102" t="e">
        <v>#N/A</v>
      </c>
      <c r="AI321" s="102" t="e">
        <v>#N/A</v>
      </c>
      <c r="AJ321" s="102" t="e">
        <v>#N/A</v>
      </c>
      <c r="AK321" s="102" t="e">
        <v>#N/A</v>
      </c>
      <c r="AL321" s="102" t="e">
        <v>#N/A</v>
      </c>
      <c r="AM321" s="102" t="e">
        <v>#N/A</v>
      </c>
      <c r="AN321" s="102" t="e">
        <v>#N/A</v>
      </c>
      <c r="AO321" s="102" t="e">
        <v>#N/A</v>
      </c>
      <c r="AP321" s="102" t="e">
        <v>#N/A</v>
      </c>
      <c r="AQ321" s="102" t="e">
        <v>#N/A</v>
      </c>
      <c r="AR321" s="102" t="e">
        <v>#N/A</v>
      </c>
      <c r="AS321" s="102" t="e">
        <v>#N/A</v>
      </c>
      <c r="AT321" s="102" t="e">
        <v>#N/A</v>
      </c>
      <c r="AU321" s="102" t="e">
        <v>#N/A</v>
      </c>
      <c r="AV321" s="102" t="e">
        <v>#N/A</v>
      </c>
      <c r="AW321" s="102" t="e">
        <v>#N/A</v>
      </c>
      <c r="AX321" s="102" t="e">
        <v>#N/A</v>
      </c>
      <c r="AY321" s="102" t="e">
        <v>#N/A</v>
      </c>
    </row>
    <row r="322" spans="1:51" s="103" customFormat="1">
      <c r="A322" s="105" t="s">
        <v>254</v>
      </c>
      <c r="B322" s="103">
        <v>10</v>
      </c>
      <c r="T322" s="103">
        <f t="shared" si="4"/>
        <v>0</v>
      </c>
      <c r="W322"/>
      <c r="X322"/>
      <c r="Y322"/>
      <c r="Z322"/>
      <c r="AA322"/>
      <c r="AB322" s="103">
        <v>0</v>
      </c>
      <c r="AC322" s="103">
        <v>0</v>
      </c>
      <c r="AD322" s="103">
        <v>0</v>
      </c>
      <c r="AE322" s="103">
        <v>0</v>
      </c>
      <c r="AF322" s="102" t="e">
        <v>#N/A</v>
      </c>
      <c r="AG322" s="102" t="e">
        <v>#N/A</v>
      </c>
      <c r="AH322" s="102" t="e">
        <v>#N/A</v>
      </c>
      <c r="AI322" s="102" t="e">
        <v>#N/A</v>
      </c>
      <c r="AJ322" s="102" t="e">
        <v>#N/A</v>
      </c>
      <c r="AK322" s="102" t="e">
        <v>#N/A</v>
      </c>
      <c r="AL322" s="102" t="e">
        <v>#N/A</v>
      </c>
      <c r="AM322" s="102" t="e">
        <v>#N/A</v>
      </c>
      <c r="AN322" s="102" t="e">
        <v>#N/A</v>
      </c>
      <c r="AO322" s="102" t="e">
        <v>#N/A</v>
      </c>
      <c r="AP322" s="102" t="e">
        <v>#N/A</v>
      </c>
      <c r="AQ322" s="102" t="e">
        <v>#N/A</v>
      </c>
      <c r="AR322" s="102" t="e">
        <v>#N/A</v>
      </c>
      <c r="AS322" s="102" t="e">
        <v>#N/A</v>
      </c>
      <c r="AT322" s="102" t="e">
        <v>#N/A</v>
      </c>
      <c r="AU322" s="102" t="e">
        <v>#N/A</v>
      </c>
      <c r="AV322" s="102" t="e">
        <v>#N/A</v>
      </c>
      <c r="AW322" s="102" t="e">
        <v>#N/A</v>
      </c>
      <c r="AX322" s="102" t="e">
        <v>#N/A</v>
      </c>
      <c r="AY322" s="102" t="e">
        <v>#N/A</v>
      </c>
    </row>
    <row r="323" spans="1:51">
      <c r="A323" s="102" t="s">
        <v>417</v>
      </c>
      <c r="B323" s="102">
        <v>420</v>
      </c>
      <c r="C323" s="102">
        <v>415</v>
      </c>
      <c r="D323" s="102">
        <v>1.1000000000000001</v>
      </c>
      <c r="E323" s="102">
        <v>50119</v>
      </c>
      <c r="F323" s="102">
        <v>0</v>
      </c>
      <c r="G323" s="102">
        <v>175</v>
      </c>
      <c r="H323" s="102">
        <v>45</v>
      </c>
      <c r="I323" s="102">
        <v>35</v>
      </c>
      <c r="J323" s="102">
        <v>82.9</v>
      </c>
      <c r="K323" s="102">
        <v>14.3</v>
      </c>
      <c r="L323" s="102">
        <v>66.099999999999994</v>
      </c>
      <c r="M323" s="102">
        <v>56.5</v>
      </c>
      <c r="N323" s="102">
        <v>14.6</v>
      </c>
      <c r="O323" s="102">
        <v>75</v>
      </c>
      <c r="P323" s="102">
        <v>25</v>
      </c>
      <c r="Q323" s="102">
        <v>45</v>
      </c>
      <c r="R323" s="102">
        <v>35</v>
      </c>
      <c r="T323" s="102">
        <f t="shared" si="4"/>
        <v>0</v>
      </c>
      <c r="W323">
        <v>28062</v>
      </c>
      <c r="X323">
        <v>31594</v>
      </c>
      <c r="Y323">
        <v>23722</v>
      </c>
      <c r="Z323">
        <v>33852</v>
      </c>
      <c r="AA323">
        <v>22716</v>
      </c>
      <c r="AB323" s="102">
        <v>90</v>
      </c>
      <c r="AC323" s="102">
        <v>235</v>
      </c>
      <c r="AD323" s="102">
        <v>105</v>
      </c>
      <c r="AE323" s="102">
        <v>60</v>
      </c>
      <c r="AF323" s="102">
        <v>0.82542661828002362</v>
      </c>
      <c r="AG323" s="102">
        <v>0</v>
      </c>
      <c r="AH323" s="102">
        <v>0</v>
      </c>
      <c r="AI323" s="102">
        <v>2.4762798548400706</v>
      </c>
      <c r="AJ323" s="102">
        <v>1.2381399274200353</v>
      </c>
      <c r="AK323" s="102">
        <v>0.82542661828002362</v>
      </c>
      <c r="AL323" s="102">
        <v>2.0635665457000592</v>
      </c>
      <c r="AM323" s="102">
        <v>0.82542661828002362</v>
      </c>
      <c r="AN323" s="102">
        <v>0</v>
      </c>
      <c r="AO323" s="102">
        <v>0</v>
      </c>
      <c r="AP323" s="102">
        <v>0</v>
      </c>
      <c r="AQ323" s="102">
        <v>0</v>
      </c>
      <c r="AR323" s="102">
        <v>0</v>
      </c>
      <c r="AS323" s="102">
        <v>1.6508532365600472</v>
      </c>
      <c r="AT323" s="102">
        <v>0.82542661828002362</v>
      </c>
      <c r="AU323" s="102">
        <v>3.3017064731200945</v>
      </c>
      <c r="AV323" s="102">
        <v>0</v>
      </c>
      <c r="AW323" s="102">
        <v>0.82542661828002362</v>
      </c>
      <c r="AX323" s="102">
        <v>0.82542661828002362</v>
      </c>
      <c r="AY323" s="102">
        <v>1.6508532365600472</v>
      </c>
    </row>
    <row r="324" spans="1:51" s="103" customFormat="1">
      <c r="A324" s="105" t="s">
        <v>255</v>
      </c>
      <c r="B324" s="103">
        <v>33</v>
      </c>
      <c r="O324" s="105"/>
      <c r="P324" s="105"/>
      <c r="Q324" s="105"/>
      <c r="R324" s="105"/>
      <c r="S324" s="105"/>
      <c r="T324" s="103">
        <f t="shared" si="4"/>
        <v>0</v>
      </c>
      <c r="U324" s="105"/>
      <c r="V324" s="105"/>
      <c r="W324"/>
      <c r="X324"/>
      <c r="Y324"/>
      <c r="Z324"/>
      <c r="AA324"/>
      <c r="AB324" s="103">
        <v>0</v>
      </c>
      <c r="AC324" s="103">
        <v>0</v>
      </c>
      <c r="AD324" s="103">
        <v>0</v>
      </c>
      <c r="AE324" s="103">
        <v>0</v>
      </c>
      <c r="AF324" s="102" t="e">
        <v>#N/A</v>
      </c>
      <c r="AG324" s="102" t="e">
        <v>#N/A</v>
      </c>
      <c r="AH324" s="102" t="e">
        <v>#N/A</v>
      </c>
      <c r="AI324" s="102" t="e">
        <v>#N/A</v>
      </c>
      <c r="AJ324" s="102" t="e">
        <v>#N/A</v>
      </c>
      <c r="AK324" s="102" t="e">
        <v>#N/A</v>
      </c>
      <c r="AL324" s="102" t="e">
        <v>#N/A</v>
      </c>
      <c r="AM324" s="102" t="e">
        <v>#N/A</v>
      </c>
      <c r="AN324" s="102" t="e">
        <v>#N/A</v>
      </c>
      <c r="AO324" s="102" t="e">
        <v>#N/A</v>
      </c>
      <c r="AP324" s="102" t="e">
        <v>#N/A</v>
      </c>
      <c r="AQ324" s="102" t="e">
        <v>#N/A</v>
      </c>
      <c r="AR324" s="102" t="e">
        <v>#N/A</v>
      </c>
      <c r="AS324" s="102" t="e">
        <v>#N/A</v>
      </c>
      <c r="AT324" s="102" t="e">
        <v>#N/A</v>
      </c>
      <c r="AU324" s="102" t="e">
        <v>#N/A</v>
      </c>
      <c r="AV324" s="102" t="e">
        <v>#N/A</v>
      </c>
      <c r="AW324" s="102" t="e">
        <v>#N/A</v>
      </c>
      <c r="AX324" s="102" t="e">
        <v>#N/A</v>
      </c>
      <c r="AY324" s="102" t="e">
        <v>#N/A</v>
      </c>
    </row>
    <row r="325" spans="1:51" s="105" customFormat="1">
      <c r="A325" s="105" t="s">
        <v>256</v>
      </c>
      <c r="B325" s="103">
        <v>45</v>
      </c>
      <c r="C325" s="103"/>
      <c r="D325" s="103"/>
      <c r="E325" s="103"/>
      <c r="F325" s="103"/>
      <c r="G325" s="103"/>
      <c r="H325" s="103"/>
      <c r="I325" s="103"/>
      <c r="J325" s="103"/>
      <c r="K325" s="103"/>
      <c r="L325" s="103"/>
      <c r="M325" s="103"/>
      <c r="N325" s="103"/>
      <c r="T325" s="103">
        <f t="shared" si="4"/>
        <v>0</v>
      </c>
      <c r="W325"/>
      <c r="X325"/>
      <c r="Y325"/>
      <c r="Z325"/>
      <c r="AA325"/>
      <c r="AB325" s="105">
        <v>0</v>
      </c>
      <c r="AC325" s="105">
        <v>0</v>
      </c>
      <c r="AD325" s="105">
        <v>0</v>
      </c>
      <c r="AE325" s="105">
        <v>0</v>
      </c>
      <c r="AF325" s="102" t="e">
        <v>#N/A</v>
      </c>
      <c r="AG325" s="102" t="e">
        <v>#N/A</v>
      </c>
      <c r="AH325" s="102" t="e">
        <v>#N/A</v>
      </c>
      <c r="AI325" s="102" t="e">
        <v>#N/A</v>
      </c>
      <c r="AJ325" s="102" t="e">
        <v>#N/A</v>
      </c>
      <c r="AK325" s="102" t="e">
        <v>#N/A</v>
      </c>
      <c r="AL325" s="102" t="e">
        <v>#N/A</v>
      </c>
      <c r="AM325" s="102" t="e">
        <v>#N/A</v>
      </c>
      <c r="AN325" s="102" t="e">
        <v>#N/A</v>
      </c>
      <c r="AO325" s="102" t="e">
        <v>#N/A</v>
      </c>
      <c r="AP325" s="102" t="e">
        <v>#N/A</v>
      </c>
      <c r="AQ325" s="102" t="e">
        <v>#N/A</v>
      </c>
      <c r="AR325" s="102" t="e">
        <v>#N/A</v>
      </c>
      <c r="AS325" s="102" t="e">
        <v>#N/A</v>
      </c>
      <c r="AT325" s="102" t="e">
        <v>#N/A</v>
      </c>
      <c r="AU325" s="102" t="e">
        <v>#N/A</v>
      </c>
      <c r="AV325" s="102" t="e">
        <v>#N/A</v>
      </c>
      <c r="AW325" s="102" t="e">
        <v>#N/A</v>
      </c>
      <c r="AX325" s="102" t="e">
        <v>#N/A</v>
      </c>
      <c r="AY325" s="102" t="e">
        <v>#N/A</v>
      </c>
    </row>
    <row r="326" spans="1:51" customFormat="1">
      <c r="A326" t="s">
        <v>418</v>
      </c>
      <c r="B326" s="103">
        <v>15</v>
      </c>
      <c r="C326" s="102"/>
      <c r="D326" s="102"/>
      <c r="E326" s="102"/>
      <c r="F326" s="102"/>
      <c r="G326" s="102"/>
      <c r="H326" s="102"/>
      <c r="I326" s="102"/>
      <c r="J326" s="102"/>
      <c r="K326" s="102"/>
      <c r="L326" s="102"/>
      <c r="M326" s="102"/>
      <c r="N326" s="102"/>
      <c r="T326" s="102">
        <f t="shared" ref="T326:T390" si="5">IFERROR(VLOOKUP(A326,$U$12:$U$74,1,0),0)</f>
        <v>0</v>
      </c>
      <c r="W326">
        <v>0</v>
      </c>
      <c r="X326">
        <v>0</v>
      </c>
      <c r="Y326">
        <v>0</v>
      </c>
      <c r="Z326">
        <v>0</v>
      </c>
      <c r="AA326">
        <v>0</v>
      </c>
      <c r="AB326">
        <v>315</v>
      </c>
      <c r="AC326">
        <v>490</v>
      </c>
      <c r="AD326">
        <v>95</v>
      </c>
      <c r="AE326">
        <v>25</v>
      </c>
      <c r="AF326" s="102" t="e">
        <v>#N/A</v>
      </c>
      <c r="AG326" s="102" t="e">
        <v>#N/A</v>
      </c>
      <c r="AH326" s="102" t="e">
        <v>#N/A</v>
      </c>
      <c r="AI326" s="102" t="e">
        <v>#N/A</v>
      </c>
      <c r="AJ326" s="102" t="e">
        <v>#N/A</v>
      </c>
      <c r="AK326" s="102" t="e">
        <v>#N/A</v>
      </c>
      <c r="AL326" s="102" t="e">
        <v>#N/A</v>
      </c>
      <c r="AM326" s="102" t="e">
        <v>#N/A</v>
      </c>
      <c r="AN326" s="102" t="e">
        <v>#N/A</v>
      </c>
      <c r="AO326" s="102" t="e">
        <v>#N/A</v>
      </c>
      <c r="AP326" s="102" t="e">
        <v>#N/A</v>
      </c>
      <c r="AQ326" s="102" t="e">
        <v>#N/A</v>
      </c>
      <c r="AR326" s="102" t="e">
        <v>#N/A</v>
      </c>
      <c r="AS326" s="102" t="e">
        <v>#N/A</v>
      </c>
      <c r="AT326" s="102" t="e">
        <v>#N/A</v>
      </c>
      <c r="AU326" s="102" t="e">
        <v>#N/A</v>
      </c>
      <c r="AV326" s="102" t="e">
        <v>#N/A</v>
      </c>
      <c r="AW326" s="102" t="e">
        <v>#N/A</v>
      </c>
      <c r="AX326" s="102" t="e">
        <v>#N/A</v>
      </c>
      <c r="AY326" s="102" t="e">
        <v>#N/A</v>
      </c>
    </row>
    <row r="327" spans="1:51" s="105" customFormat="1">
      <c r="A327" s="103" t="s">
        <v>257</v>
      </c>
      <c r="B327" s="103">
        <v>845</v>
      </c>
      <c r="C327" s="103"/>
      <c r="D327" s="103"/>
      <c r="E327" s="103">
        <v>0</v>
      </c>
      <c r="F327" s="103">
        <v>0</v>
      </c>
      <c r="G327" s="103">
        <v>200</v>
      </c>
      <c r="H327" s="103"/>
      <c r="I327" s="103"/>
      <c r="J327" s="103">
        <v>0</v>
      </c>
      <c r="K327" s="103">
        <v>0</v>
      </c>
      <c r="L327" s="103">
        <v>0</v>
      </c>
      <c r="M327" s="103">
        <v>0</v>
      </c>
      <c r="N327" s="103">
        <v>0</v>
      </c>
      <c r="O327" s="103">
        <v>0</v>
      </c>
      <c r="P327" s="103">
        <v>0</v>
      </c>
      <c r="Q327" s="103">
        <v>0</v>
      </c>
      <c r="R327" s="103">
        <v>0</v>
      </c>
      <c r="S327" s="103"/>
      <c r="T327" s="103" t="str">
        <f t="shared" si="5"/>
        <v>Red Sucker Lake First Nation</v>
      </c>
      <c r="U327" s="103"/>
      <c r="V327" s="103"/>
      <c r="W327">
        <v>0</v>
      </c>
      <c r="X327">
        <v>0</v>
      </c>
      <c r="Y327">
        <v>0</v>
      </c>
      <c r="Z327">
        <v>0</v>
      </c>
      <c r="AA327">
        <v>0</v>
      </c>
      <c r="AB327" s="105">
        <v>315</v>
      </c>
      <c r="AC327" s="105">
        <v>490</v>
      </c>
      <c r="AD327" s="105">
        <v>95</v>
      </c>
      <c r="AE327" s="105">
        <v>25</v>
      </c>
      <c r="AF327" s="102" t="e">
        <v>#DIV/0!</v>
      </c>
      <c r="AG327" s="102" t="e">
        <v>#DIV/0!</v>
      </c>
      <c r="AH327" s="102" t="e">
        <v>#DIV/0!</v>
      </c>
      <c r="AI327" s="102" t="e">
        <v>#DIV/0!</v>
      </c>
      <c r="AJ327" s="102" t="e">
        <v>#DIV/0!</v>
      </c>
      <c r="AK327" s="102" t="e">
        <v>#DIV/0!</v>
      </c>
      <c r="AL327" s="102" t="e">
        <v>#DIV/0!</v>
      </c>
      <c r="AM327" s="102" t="e">
        <v>#DIV/0!</v>
      </c>
      <c r="AN327" s="102" t="e">
        <v>#DIV/0!</v>
      </c>
      <c r="AO327" s="102" t="e">
        <v>#DIV/0!</v>
      </c>
      <c r="AP327" s="102" t="e">
        <v>#DIV/0!</v>
      </c>
      <c r="AQ327" s="102" t="e">
        <v>#DIV/0!</v>
      </c>
      <c r="AR327" s="102" t="e">
        <v>#DIV/0!</v>
      </c>
      <c r="AS327" s="102" t="e">
        <v>#DIV/0!</v>
      </c>
      <c r="AT327" s="102" t="e">
        <v>#DIV/0!</v>
      </c>
      <c r="AU327" s="102" t="e">
        <v>#DIV/0!</v>
      </c>
      <c r="AV327" s="102" t="e">
        <v>#DIV/0!</v>
      </c>
      <c r="AW327" s="102" t="e">
        <v>#DIV/0!</v>
      </c>
      <c r="AX327" s="102" t="e">
        <v>#DIV/0!</v>
      </c>
      <c r="AY327" s="102" t="e">
        <v>#DIV/0!</v>
      </c>
    </row>
    <row r="328" spans="1:51">
      <c r="A328" s="102" t="s">
        <v>603</v>
      </c>
      <c r="B328" s="102">
        <v>1410</v>
      </c>
      <c r="C328" s="102">
        <v>1410</v>
      </c>
      <c r="D328" s="102">
        <v>1</v>
      </c>
      <c r="E328" s="102">
        <v>54164</v>
      </c>
      <c r="F328" s="102">
        <v>8.5</v>
      </c>
      <c r="G328" s="102">
        <v>585</v>
      </c>
      <c r="H328" s="102">
        <v>210</v>
      </c>
      <c r="I328" s="102">
        <v>55</v>
      </c>
      <c r="J328" s="102">
        <v>89.7</v>
      </c>
      <c r="K328" s="102">
        <v>9.4</v>
      </c>
      <c r="L328" s="102">
        <v>68.3</v>
      </c>
      <c r="M328" s="102">
        <v>63.5</v>
      </c>
      <c r="N328" s="102">
        <v>7</v>
      </c>
      <c r="O328" s="102">
        <v>200</v>
      </c>
      <c r="P328" s="102">
        <v>170</v>
      </c>
      <c r="Q328" s="102">
        <v>75</v>
      </c>
      <c r="R328" s="102">
        <v>85</v>
      </c>
      <c r="T328" s="102">
        <f t="shared" si="5"/>
        <v>0</v>
      </c>
      <c r="W328">
        <v>22104</v>
      </c>
      <c r="X328">
        <v>25004</v>
      </c>
      <c r="Y328">
        <v>18730</v>
      </c>
      <c r="Z328">
        <v>27505</v>
      </c>
      <c r="AA328">
        <v>16393</v>
      </c>
      <c r="AB328" s="102">
        <v>270</v>
      </c>
      <c r="AC328" s="102">
        <v>955</v>
      </c>
      <c r="AD328" s="102">
        <v>475</v>
      </c>
      <c r="AE328" s="102">
        <v>185</v>
      </c>
      <c r="AF328" s="102">
        <v>2.6944658717739625</v>
      </c>
      <c r="AG328" s="102">
        <v>0.53889317435479245</v>
      </c>
      <c r="AH328" s="102">
        <v>0</v>
      </c>
      <c r="AI328" s="102">
        <v>2.5866872369030038</v>
      </c>
      <c r="AJ328" s="102">
        <v>1.4011222533224603</v>
      </c>
      <c r="AK328" s="102">
        <v>0.43111453948383405</v>
      </c>
      <c r="AL328" s="102">
        <v>1.6166795230643776</v>
      </c>
      <c r="AM328" s="102">
        <v>1.8322367928062946</v>
      </c>
      <c r="AN328" s="102">
        <v>0</v>
      </c>
      <c r="AO328" s="102">
        <v>0.32333590461287548</v>
      </c>
      <c r="AP328" s="102">
        <v>0</v>
      </c>
      <c r="AQ328" s="102">
        <v>0.32333590461287548</v>
      </c>
      <c r="AR328" s="102">
        <v>0</v>
      </c>
      <c r="AS328" s="102">
        <v>0.32333590461287548</v>
      </c>
      <c r="AT328" s="102">
        <v>0.53889317435479245</v>
      </c>
      <c r="AU328" s="102">
        <v>0.75445044409670947</v>
      </c>
      <c r="AV328" s="102">
        <v>0.32333590461287548</v>
      </c>
      <c r="AW328" s="102">
        <v>0.9700077138386265</v>
      </c>
      <c r="AX328" s="102">
        <v>1.1855649835805435</v>
      </c>
      <c r="AY328" s="102">
        <v>0.75445044409670947</v>
      </c>
    </row>
    <row r="329" spans="1:51">
      <c r="A329" s="102" t="s">
        <v>612</v>
      </c>
      <c r="B329" s="102">
        <v>4125</v>
      </c>
      <c r="C329" s="102">
        <v>4025</v>
      </c>
      <c r="D329" s="102">
        <v>2</v>
      </c>
      <c r="E329" s="102">
        <v>60686</v>
      </c>
      <c r="F329" s="102">
        <v>6.6</v>
      </c>
      <c r="G329" s="102">
        <v>1075</v>
      </c>
      <c r="H329" s="102">
        <v>365</v>
      </c>
      <c r="I329" s="102">
        <v>120</v>
      </c>
      <c r="J329" s="102">
        <v>92.1</v>
      </c>
      <c r="K329" s="102">
        <v>7.9</v>
      </c>
      <c r="L329" s="102">
        <v>76.3</v>
      </c>
      <c r="M329" s="102">
        <v>74.8</v>
      </c>
      <c r="N329" s="102">
        <v>1.9</v>
      </c>
      <c r="O329" s="102">
        <v>690</v>
      </c>
      <c r="P329" s="102">
        <v>160</v>
      </c>
      <c r="Q329" s="102">
        <v>270</v>
      </c>
      <c r="R329" s="102">
        <v>135</v>
      </c>
      <c r="T329" s="102">
        <f t="shared" si="5"/>
        <v>0</v>
      </c>
      <c r="W329">
        <v>23264</v>
      </c>
      <c r="X329">
        <v>28518</v>
      </c>
      <c r="Y329">
        <v>16407</v>
      </c>
      <c r="Z329">
        <v>30113</v>
      </c>
      <c r="AA329">
        <v>13014</v>
      </c>
      <c r="AB329" s="102">
        <v>1380</v>
      </c>
      <c r="AC329" s="102">
        <v>2545</v>
      </c>
      <c r="AD329" s="102">
        <v>810</v>
      </c>
      <c r="AE329" s="102">
        <v>195</v>
      </c>
      <c r="AF329" s="102">
        <v>4.3315150411417029</v>
      </c>
      <c r="AG329" s="102">
        <v>0</v>
      </c>
      <c r="AH329" s="102">
        <v>0</v>
      </c>
      <c r="AI329" s="102">
        <v>1.7811837552358403</v>
      </c>
      <c r="AJ329" s="102">
        <v>3.5623675104716805</v>
      </c>
      <c r="AK329" s="102">
        <v>0.76914753067002206</v>
      </c>
      <c r="AL329" s="102">
        <v>1.376369265409513</v>
      </c>
      <c r="AM329" s="102">
        <v>0.76914753067002206</v>
      </c>
      <c r="AN329" s="102">
        <v>0.12144434694789821</v>
      </c>
      <c r="AO329" s="102">
        <v>0.24288869389579643</v>
      </c>
      <c r="AP329" s="102">
        <v>8.0962897965265471E-2</v>
      </c>
      <c r="AQ329" s="102">
        <v>0.16192579593053094</v>
      </c>
      <c r="AR329" s="102">
        <v>0</v>
      </c>
      <c r="AS329" s="102">
        <v>0.32385159186106188</v>
      </c>
      <c r="AT329" s="102">
        <v>0.89059187761792014</v>
      </c>
      <c r="AU329" s="102">
        <v>1.1739620204963495</v>
      </c>
      <c r="AV329" s="102">
        <v>8.0962897965265471E-2</v>
      </c>
      <c r="AW329" s="102">
        <v>0.52625883677422558</v>
      </c>
      <c r="AX329" s="102">
        <v>0.64770318372212377</v>
      </c>
      <c r="AY329" s="102">
        <v>0.12144434694789821</v>
      </c>
    </row>
    <row r="330" spans="1:51">
      <c r="A330" s="102" t="s">
        <v>610</v>
      </c>
      <c r="B330" s="102">
        <v>5050</v>
      </c>
      <c r="C330" s="102">
        <v>5045</v>
      </c>
      <c r="D330" s="102">
        <v>1.3</v>
      </c>
      <c r="E330" s="102">
        <v>85131</v>
      </c>
      <c r="F330" s="102">
        <v>2.7</v>
      </c>
      <c r="G330" s="102">
        <v>1710</v>
      </c>
      <c r="H330" s="102">
        <v>450</v>
      </c>
      <c r="I330" s="102">
        <v>65</v>
      </c>
      <c r="J330" s="102">
        <v>90.9</v>
      </c>
      <c r="K330" s="102">
        <v>8.8000000000000007</v>
      </c>
      <c r="L330" s="102">
        <v>79.5</v>
      </c>
      <c r="M330" s="102">
        <v>77.400000000000006</v>
      </c>
      <c r="N330" s="102">
        <v>2.9</v>
      </c>
      <c r="O330" s="102">
        <v>1070</v>
      </c>
      <c r="P330" s="102">
        <v>535</v>
      </c>
      <c r="Q330" s="102">
        <v>635</v>
      </c>
      <c r="R330" s="102">
        <v>650</v>
      </c>
      <c r="T330" s="102">
        <f t="shared" si="5"/>
        <v>0</v>
      </c>
      <c r="W330">
        <v>34554</v>
      </c>
      <c r="X330">
        <v>39709</v>
      </c>
      <c r="Y330">
        <v>28636</v>
      </c>
      <c r="Z330">
        <v>36182</v>
      </c>
      <c r="AA330">
        <v>28069</v>
      </c>
      <c r="AB330" s="102">
        <v>1105</v>
      </c>
      <c r="AC330" s="102">
        <v>3580</v>
      </c>
      <c r="AD330" s="102">
        <v>1450</v>
      </c>
      <c r="AE330" s="102">
        <v>345</v>
      </c>
      <c r="AF330" s="102">
        <v>1.0541990116851101</v>
      </c>
      <c r="AG330" s="102">
        <v>5.4061487778723591E-2</v>
      </c>
      <c r="AH330" s="102">
        <v>0.18921520722553256</v>
      </c>
      <c r="AI330" s="102">
        <v>2.0813672794808582</v>
      </c>
      <c r="AJ330" s="102">
        <v>1.865121328365964</v>
      </c>
      <c r="AK330" s="102">
        <v>0.56764562167659771</v>
      </c>
      <c r="AL330" s="102">
        <v>1.2704449628000045</v>
      </c>
      <c r="AM330" s="102">
        <v>1.3785679383574516</v>
      </c>
      <c r="AN330" s="102">
        <v>0.37843041445106512</v>
      </c>
      <c r="AO330" s="102">
        <v>0.81092231668085391</v>
      </c>
      <c r="AP330" s="102">
        <v>0.13515371944680898</v>
      </c>
      <c r="AQ330" s="102">
        <v>0.62170710945532126</v>
      </c>
      <c r="AR330" s="102">
        <v>0</v>
      </c>
      <c r="AS330" s="102">
        <v>0.7027993411234067</v>
      </c>
      <c r="AT330" s="102">
        <v>1.189352731131919</v>
      </c>
      <c r="AU330" s="102">
        <v>1.7569983528085169</v>
      </c>
      <c r="AV330" s="102">
        <v>0.29733818278297974</v>
      </c>
      <c r="AW330" s="102">
        <v>0.51358413389787416</v>
      </c>
      <c r="AX330" s="102">
        <v>1.0812297555744719</v>
      </c>
      <c r="AY330" s="102">
        <v>0.86498380445957745</v>
      </c>
    </row>
    <row r="331" spans="1:51">
      <c r="A331" s="102" t="s">
        <v>423</v>
      </c>
      <c r="B331" s="102">
        <v>1155</v>
      </c>
      <c r="C331" s="102">
        <v>1155</v>
      </c>
      <c r="D331" s="102">
        <v>1</v>
      </c>
      <c r="E331" s="102">
        <v>43676</v>
      </c>
      <c r="F331" s="102">
        <v>24.6</v>
      </c>
      <c r="G331" s="102">
        <v>505</v>
      </c>
      <c r="H331" s="102">
        <v>125</v>
      </c>
      <c r="I331" s="102">
        <v>80</v>
      </c>
      <c r="J331" s="102">
        <v>71.3</v>
      </c>
      <c r="K331" s="102">
        <v>28.7</v>
      </c>
      <c r="L331" s="102">
        <v>54.3</v>
      </c>
      <c r="M331" s="102">
        <v>51.6</v>
      </c>
      <c r="N331" s="102">
        <v>5</v>
      </c>
      <c r="O331" s="102">
        <v>265</v>
      </c>
      <c r="P331" s="102">
        <v>85</v>
      </c>
      <c r="Q331" s="102">
        <v>130</v>
      </c>
      <c r="R331" s="102">
        <v>95</v>
      </c>
      <c r="T331" s="102">
        <f t="shared" si="5"/>
        <v>0</v>
      </c>
      <c r="W331">
        <v>19064</v>
      </c>
      <c r="X331">
        <v>22790</v>
      </c>
      <c r="Y331">
        <v>15445</v>
      </c>
      <c r="Z331">
        <v>26288</v>
      </c>
      <c r="AA331">
        <v>17631</v>
      </c>
      <c r="AB331" s="102">
        <v>230</v>
      </c>
      <c r="AC331" s="102">
        <v>660</v>
      </c>
      <c r="AD331" s="102">
        <v>260</v>
      </c>
      <c r="AE331" s="102">
        <v>250</v>
      </c>
      <c r="AF331" s="102">
        <v>1.0152747404844291</v>
      </c>
      <c r="AG331" s="102">
        <v>0</v>
      </c>
      <c r="AH331" s="102">
        <v>0.33842491349480969</v>
      </c>
      <c r="AI331" s="102">
        <v>1.0152747404844291</v>
      </c>
      <c r="AJ331" s="102">
        <v>1.184487197231834</v>
      </c>
      <c r="AK331" s="102">
        <v>0.67684982698961937</v>
      </c>
      <c r="AL331" s="102">
        <v>2.3689743944636681</v>
      </c>
      <c r="AM331" s="102">
        <v>1.184487197231834</v>
      </c>
      <c r="AN331" s="102">
        <v>0.8460622837370243</v>
      </c>
      <c r="AO331" s="102">
        <v>0.33842491349480969</v>
      </c>
      <c r="AP331" s="102">
        <v>0</v>
      </c>
      <c r="AQ331" s="102">
        <v>0</v>
      </c>
      <c r="AR331" s="102">
        <v>0</v>
      </c>
      <c r="AS331" s="102">
        <v>0.67684982698961937</v>
      </c>
      <c r="AT331" s="102">
        <v>0.67684982698961937</v>
      </c>
      <c r="AU331" s="102">
        <v>2.5381868512110728</v>
      </c>
      <c r="AV331" s="102">
        <v>0.33842491349480969</v>
      </c>
      <c r="AW331" s="102">
        <v>1.0152747404844291</v>
      </c>
      <c r="AX331" s="102">
        <v>0.67684982698961937</v>
      </c>
      <c r="AY331" s="102">
        <v>1.6921245674740486</v>
      </c>
    </row>
    <row r="332" spans="1:51">
      <c r="A332" s="102" t="s">
        <v>627</v>
      </c>
      <c r="B332" s="102">
        <v>800</v>
      </c>
      <c r="C332" s="102">
        <v>635</v>
      </c>
      <c r="D332" s="102">
        <v>0.8</v>
      </c>
      <c r="E332" s="102">
        <v>62292</v>
      </c>
      <c r="F332" s="102">
        <v>0</v>
      </c>
      <c r="G332" s="102">
        <v>270</v>
      </c>
      <c r="H332" s="102">
        <v>115</v>
      </c>
      <c r="I332" s="102">
        <v>45</v>
      </c>
      <c r="J332" s="102">
        <v>85.2</v>
      </c>
      <c r="K332" s="102">
        <v>13</v>
      </c>
      <c r="L332" s="102">
        <v>74.8</v>
      </c>
      <c r="M332" s="102">
        <v>72.400000000000006</v>
      </c>
      <c r="N332" s="102">
        <v>3.2</v>
      </c>
      <c r="O332" s="102">
        <v>165</v>
      </c>
      <c r="P332" s="102">
        <v>60</v>
      </c>
      <c r="Q332" s="102">
        <v>110</v>
      </c>
      <c r="R332" s="102">
        <v>95</v>
      </c>
      <c r="T332" s="102">
        <f t="shared" si="5"/>
        <v>0</v>
      </c>
      <c r="W332">
        <v>23470</v>
      </c>
      <c r="X332">
        <v>26771</v>
      </c>
      <c r="Y332">
        <v>19730</v>
      </c>
      <c r="Z332">
        <v>31125</v>
      </c>
      <c r="AA332">
        <v>15960</v>
      </c>
      <c r="AB332" s="102">
        <v>160</v>
      </c>
      <c r="AC332" s="102">
        <v>540</v>
      </c>
      <c r="AD332" s="102">
        <v>265</v>
      </c>
      <c r="AE332" s="102">
        <v>90</v>
      </c>
      <c r="AF332" s="102">
        <v>6.7684982698961944</v>
      </c>
      <c r="AG332" s="102">
        <v>0</v>
      </c>
      <c r="AH332" s="102">
        <v>0</v>
      </c>
      <c r="AI332" s="102">
        <v>1.2468286286650883</v>
      </c>
      <c r="AJ332" s="102">
        <v>0.71247350209433613</v>
      </c>
      <c r="AK332" s="102">
        <v>0.89059187761792014</v>
      </c>
      <c r="AL332" s="102">
        <v>0.35623675104716807</v>
      </c>
      <c r="AM332" s="102">
        <v>0.35623675104716807</v>
      </c>
      <c r="AN332" s="102">
        <v>0.35623675104716807</v>
      </c>
      <c r="AO332" s="102">
        <v>0</v>
      </c>
      <c r="AP332" s="102">
        <v>0</v>
      </c>
      <c r="AQ332" s="102">
        <v>0.35623675104716807</v>
      </c>
      <c r="AR332" s="102">
        <v>0</v>
      </c>
      <c r="AS332" s="102">
        <v>0.53435512657075213</v>
      </c>
      <c r="AT332" s="102">
        <v>1.0687102531415043</v>
      </c>
      <c r="AU332" s="102">
        <v>2.1374205062830085</v>
      </c>
      <c r="AV332" s="102">
        <v>0.35623675104716807</v>
      </c>
      <c r="AW332" s="102">
        <v>0.35623675104716807</v>
      </c>
      <c r="AX332" s="102">
        <v>1.2468286286650883</v>
      </c>
      <c r="AY332" s="102">
        <v>0.53435512657075213</v>
      </c>
    </row>
    <row r="333" spans="1:51">
      <c r="A333" s="102" t="s">
        <v>424</v>
      </c>
      <c r="B333" s="102">
        <v>530</v>
      </c>
      <c r="C333" s="102">
        <v>530</v>
      </c>
      <c r="D333" s="102">
        <v>1.4</v>
      </c>
      <c r="E333" s="102">
        <v>45903</v>
      </c>
      <c r="F333" s="102">
        <v>11.5</v>
      </c>
      <c r="G333" s="102">
        <v>220</v>
      </c>
      <c r="H333" s="102">
        <v>75</v>
      </c>
      <c r="I333" s="102">
        <v>40</v>
      </c>
      <c r="J333" s="102">
        <v>70.5</v>
      </c>
      <c r="K333" s="102">
        <v>27.3</v>
      </c>
      <c r="L333" s="102">
        <v>56</v>
      </c>
      <c r="M333" s="102">
        <v>45.2</v>
      </c>
      <c r="N333" s="102">
        <v>17</v>
      </c>
      <c r="O333" s="102">
        <v>125</v>
      </c>
      <c r="P333" s="102">
        <v>30</v>
      </c>
      <c r="Q333" s="102">
        <v>25</v>
      </c>
      <c r="R333" s="102">
        <v>10</v>
      </c>
      <c r="T333" s="102">
        <f t="shared" si="5"/>
        <v>0</v>
      </c>
      <c r="W333">
        <v>19329</v>
      </c>
      <c r="X333">
        <v>21767</v>
      </c>
      <c r="Y333">
        <v>16809</v>
      </c>
      <c r="Z333">
        <v>15860</v>
      </c>
      <c r="AA333">
        <v>17644</v>
      </c>
      <c r="AB333" s="102">
        <v>105</v>
      </c>
      <c r="AC333" s="102">
        <v>310</v>
      </c>
      <c r="AD333" s="102">
        <v>115</v>
      </c>
      <c r="AE333" s="102">
        <v>85</v>
      </c>
      <c r="AF333" s="102">
        <v>2.1601590223072957</v>
      </c>
      <c r="AG333" s="102">
        <v>1.0800795111536479</v>
      </c>
      <c r="AH333" s="102">
        <v>0</v>
      </c>
      <c r="AI333" s="102">
        <v>1.0800795111536479</v>
      </c>
      <c r="AJ333" s="102">
        <v>1.8001325185894133</v>
      </c>
      <c r="AK333" s="102">
        <v>0</v>
      </c>
      <c r="AL333" s="102">
        <v>1.4401060148715306</v>
      </c>
      <c r="AM333" s="102">
        <v>0</v>
      </c>
      <c r="AN333" s="102">
        <v>0</v>
      </c>
      <c r="AO333" s="102">
        <v>0.72005300743576528</v>
      </c>
      <c r="AP333" s="102">
        <v>0</v>
      </c>
      <c r="AQ333" s="102">
        <v>0</v>
      </c>
      <c r="AR333" s="102">
        <v>0</v>
      </c>
      <c r="AS333" s="102">
        <v>0</v>
      </c>
      <c r="AT333" s="102">
        <v>0.72005300743576528</v>
      </c>
      <c r="AU333" s="102">
        <v>1.8001325185894133</v>
      </c>
      <c r="AV333" s="102">
        <v>1.0800795111536479</v>
      </c>
      <c r="AW333" s="102">
        <v>2.8802120297430611</v>
      </c>
      <c r="AX333" s="102">
        <v>1.0800795111536479</v>
      </c>
      <c r="AY333" s="102">
        <v>0</v>
      </c>
    </row>
    <row r="334" spans="1:51">
      <c r="A334" s="102" t="s">
        <v>425</v>
      </c>
      <c r="B334" s="102">
        <v>1620</v>
      </c>
      <c r="C334" s="102">
        <v>1615</v>
      </c>
      <c r="D334" s="102">
        <v>1</v>
      </c>
      <c r="E334" s="102">
        <v>49134</v>
      </c>
      <c r="F334" s="102">
        <v>18.899999999999999</v>
      </c>
      <c r="G334" s="102">
        <v>830</v>
      </c>
      <c r="H334" s="102">
        <v>225</v>
      </c>
      <c r="I334" s="102">
        <v>80</v>
      </c>
      <c r="J334" s="102">
        <v>67.5</v>
      </c>
      <c r="K334" s="102">
        <v>31.9</v>
      </c>
      <c r="L334" s="102">
        <v>51.4</v>
      </c>
      <c r="M334" s="102">
        <v>48.2</v>
      </c>
      <c r="N334" s="102">
        <v>6.9</v>
      </c>
      <c r="O334" s="102">
        <v>245</v>
      </c>
      <c r="P334" s="102">
        <v>155</v>
      </c>
      <c r="Q334" s="102">
        <v>140</v>
      </c>
      <c r="R334" s="102">
        <v>170</v>
      </c>
      <c r="T334" s="102">
        <f t="shared" si="5"/>
        <v>0</v>
      </c>
      <c r="W334">
        <v>23144</v>
      </c>
      <c r="X334">
        <v>24951</v>
      </c>
      <c r="Y334">
        <v>21393</v>
      </c>
      <c r="Z334">
        <v>20311</v>
      </c>
      <c r="AA334">
        <v>18708</v>
      </c>
      <c r="AB334" s="102">
        <v>340</v>
      </c>
      <c r="AC334" s="102">
        <v>770</v>
      </c>
      <c r="AD334" s="102">
        <v>345</v>
      </c>
      <c r="AE334" s="102">
        <v>505</v>
      </c>
      <c r="AF334" s="102">
        <v>1.5500377717319527</v>
      </c>
      <c r="AG334" s="102">
        <v>0.77501888586597634</v>
      </c>
      <c r="AH334" s="102">
        <v>0.25833962862199211</v>
      </c>
      <c r="AI334" s="102">
        <v>0.77501888586597634</v>
      </c>
      <c r="AJ334" s="102">
        <v>0.38750944293298817</v>
      </c>
      <c r="AK334" s="102">
        <v>0.38750944293298817</v>
      </c>
      <c r="AL334" s="102">
        <v>2.8417359148419137</v>
      </c>
      <c r="AM334" s="102">
        <v>1.5500377717319527</v>
      </c>
      <c r="AN334" s="102">
        <v>0</v>
      </c>
      <c r="AO334" s="102">
        <v>0.51667925724398422</v>
      </c>
      <c r="AP334" s="102">
        <v>0</v>
      </c>
      <c r="AQ334" s="102">
        <v>0.38750944293298817</v>
      </c>
      <c r="AR334" s="102">
        <v>0</v>
      </c>
      <c r="AS334" s="102">
        <v>0.25833962862199211</v>
      </c>
      <c r="AT334" s="102">
        <v>1.1625283287989647</v>
      </c>
      <c r="AU334" s="102">
        <v>3.2292453577749018</v>
      </c>
      <c r="AV334" s="102">
        <v>0.38750944293298817</v>
      </c>
      <c r="AW334" s="102">
        <v>0.77501888586597634</v>
      </c>
      <c r="AX334" s="102">
        <v>1.1625283287989647</v>
      </c>
      <c r="AY334" s="102">
        <v>0.38750944293298817</v>
      </c>
    </row>
    <row r="335" spans="1:51" s="103" customFormat="1">
      <c r="A335" s="108" t="s">
        <v>782</v>
      </c>
      <c r="B335" s="103">
        <v>965</v>
      </c>
      <c r="C335" s="103">
        <v>745</v>
      </c>
      <c r="D335" s="103">
        <v>1.5</v>
      </c>
      <c r="E335" s="103">
        <v>59521</v>
      </c>
      <c r="F335" s="103">
        <v>15.8</v>
      </c>
      <c r="G335" s="103">
        <v>245</v>
      </c>
      <c r="H335" s="103">
        <v>115</v>
      </c>
      <c r="I335" s="103">
        <v>15</v>
      </c>
      <c r="J335" s="103">
        <v>95.9</v>
      </c>
      <c r="K335" s="103">
        <v>4.0999999999999996</v>
      </c>
      <c r="L335" s="103">
        <v>69.3</v>
      </c>
      <c r="M335" s="103">
        <v>70</v>
      </c>
      <c r="N335" s="103">
        <v>0</v>
      </c>
      <c r="O335" s="103">
        <v>105</v>
      </c>
      <c r="P335" s="103">
        <v>60</v>
      </c>
      <c r="Q335" s="103">
        <v>55</v>
      </c>
      <c r="R335" s="103">
        <v>70</v>
      </c>
      <c r="T335" s="103">
        <f t="shared" si="5"/>
        <v>0</v>
      </c>
      <c r="W335">
        <v>22417</v>
      </c>
      <c r="X335">
        <v>21875</v>
      </c>
      <c r="Y335">
        <v>23196</v>
      </c>
      <c r="Z335">
        <v>21946</v>
      </c>
      <c r="AA335">
        <v>17412</v>
      </c>
      <c r="AB335" s="103">
        <v>260</v>
      </c>
      <c r="AC335" s="103">
        <v>630</v>
      </c>
      <c r="AD335" s="103">
        <v>255</v>
      </c>
      <c r="AE335" s="103">
        <v>60</v>
      </c>
      <c r="AF335" s="102">
        <v>6.6289416045375091</v>
      </c>
      <c r="AG335" s="102">
        <v>0</v>
      </c>
      <c r="AH335" s="102">
        <v>0</v>
      </c>
      <c r="AI335" s="102">
        <v>2.7911333071736881</v>
      </c>
      <c r="AJ335" s="102">
        <v>1.0466749901901331</v>
      </c>
      <c r="AK335" s="102">
        <v>0.34889166339671102</v>
      </c>
      <c r="AL335" s="102">
        <v>1.0466749901901331</v>
      </c>
      <c r="AM335" s="102">
        <v>0.52333749509506655</v>
      </c>
      <c r="AN335" s="102">
        <v>0.34889166339671102</v>
      </c>
      <c r="AO335" s="102">
        <v>0</v>
      </c>
      <c r="AP335" s="102">
        <v>0</v>
      </c>
      <c r="AQ335" s="102">
        <v>0</v>
      </c>
      <c r="AR335" s="102">
        <v>0</v>
      </c>
      <c r="AS335" s="102">
        <v>0</v>
      </c>
      <c r="AT335" s="102">
        <v>1.3955666535868441</v>
      </c>
      <c r="AU335" s="102">
        <v>1.0466749901901331</v>
      </c>
      <c r="AV335" s="102">
        <v>0</v>
      </c>
      <c r="AW335" s="102">
        <v>1.2211208218884884</v>
      </c>
      <c r="AX335" s="102">
        <v>0</v>
      </c>
      <c r="AY335" s="102">
        <v>0.34889166339671102</v>
      </c>
    </row>
    <row r="336" spans="1:51" s="103" customFormat="1">
      <c r="A336" s="105" t="s">
        <v>258</v>
      </c>
      <c r="B336" s="103">
        <v>79</v>
      </c>
      <c r="T336" s="103">
        <f t="shared" si="5"/>
        <v>0</v>
      </c>
      <c r="W336"/>
      <c r="X336"/>
      <c r="Y336"/>
      <c r="Z336"/>
      <c r="AA336"/>
      <c r="AB336" s="103">
        <v>0</v>
      </c>
      <c r="AC336" s="103">
        <v>0</v>
      </c>
      <c r="AD336" s="103">
        <v>0</v>
      </c>
      <c r="AE336" s="103">
        <v>0</v>
      </c>
      <c r="AF336" s="102" t="e">
        <v>#N/A</v>
      </c>
      <c r="AG336" s="102" t="e">
        <v>#N/A</v>
      </c>
      <c r="AH336" s="102" t="e">
        <v>#N/A</v>
      </c>
      <c r="AI336" s="102" t="e">
        <v>#N/A</v>
      </c>
      <c r="AJ336" s="102" t="e">
        <v>#N/A</v>
      </c>
      <c r="AK336" s="102" t="e">
        <v>#N/A</v>
      </c>
      <c r="AL336" s="102" t="e">
        <v>#N/A</v>
      </c>
      <c r="AM336" s="102" t="e">
        <v>#N/A</v>
      </c>
      <c r="AN336" s="102" t="e">
        <v>#N/A</v>
      </c>
      <c r="AO336" s="102" t="e">
        <v>#N/A</v>
      </c>
      <c r="AP336" s="102" t="e">
        <v>#N/A</v>
      </c>
      <c r="AQ336" s="102" t="e">
        <v>#N/A</v>
      </c>
      <c r="AR336" s="102" t="e">
        <v>#N/A</v>
      </c>
      <c r="AS336" s="102" t="e">
        <v>#N/A</v>
      </c>
      <c r="AT336" s="102" t="e">
        <v>#N/A</v>
      </c>
      <c r="AU336" s="102" t="e">
        <v>#N/A</v>
      </c>
      <c r="AV336" s="102" t="e">
        <v>#N/A</v>
      </c>
      <c r="AW336" s="102" t="e">
        <v>#N/A</v>
      </c>
      <c r="AX336" s="102" t="e">
        <v>#N/A</v>
      </c>
      <c r="AY336" s="102" t="e">
        <v>#N/A</v>
      </c>
    </row>
    <row r="337" spans="1:51">
      <c r="A337" s="102" t="s">
        <v>662</v>
      </c>
      <c r="B337" s="102">
        <v>7030</v>
      </c>
      <c r="C337" s="102">
        <v>6625</v>
      </c>
      <c r="D337" s="102">
        <v>1</v>
      </c>
      <c r="E337" s="102">
        <v>75412</v>
      </c>
      <c r="F337" s="102">
        <v>7.2</v>
      </c>
      <c r="G337" s="102">
        <v>2450</v>
      </c>
      <c r="H337" s="102">
        <v>900</v>
      </c>
      <c r="I337" s="102">
        <v>125</v>
      </c>
      <c r="J337" s="102">
        <v>92.9</v>
      </c>
      <c r="K337" s="102">
        <v>7.1</v>
      </c>
      <c r="L337" s="102">
        <v>74.7</v>
      </c>
      <c r="M337" s="102">
        <v>72.7</v>
      </c>
      <c r="N337" s="102">
        <v>2.7</v>
      </c>
      <c r="O337" s="102">
        <v>1500</v>
      </c>
      <c r="P337" s="102">
        <v>690</v>
      </c>
      <c r="Q337" s="102">
        <v>875</v>
      </c>
      <c r="R337" s="102">
        <v>720</v>
      </c>
      <c r="T337" s="102">
        <f t="shared" si="5"/>
        <v>0</v>
      </c>
      <c r="W337">
        <v>31591</v>
      </c>
      <c r="X337">
        <v>36896</v>
      </c>
      <c r="Y337">
        <v>25488</v>
      </c>
      <c r="Z337">
        <v>34406</v>
      </c>
      <c r="AA337">
        <v>20592</v>
      </c>
      <c r="AB337" s="102">
        <v>1385</v>
      </c>
      <c r="AC337" s="102">
        <v>4840</v>
      </c>
      <c r="AD337" s="102">
        <v>2090</v>
      </c>
      <c r="AE337" s="102">
        <v>790</v>
      </c>
      <c r="AF337" s="102">
        <v>2.2481370291470157</v>
      </c>
      <c r="AG337" s="102">
        <v>6.0217956137866492E-2</v>
      </c>
      <c r="AH337" s="102">
        <v>0.10036326022977748</v>
      </c>
      <c r="AI337" s="102">
        <v>1.1441411666194634</v>
      </c>
      <c r="AJ337" s="102">
        <v>1.5255215554926178</v>
      </c>
      <c r="AK337" s="102">
        <v>0.50181630114888742</v>
      </c>
      <c r="AL337" s="102">
        <v>1.4050856432168848</v>
      </c>
      <c r="AM337" s="102">
        <v>1.7663933800440836</v>
      </c>
      <c r="AN337" s="102">
        <v>0.38138038887315445</v>
      </c>
      <c r="AO337" s="102">
        <v>0.46167099705697645</v>
      </c>
      <c r="AP337" s="102">
        <v>0.30108978068933251</v>
      </c>
      <c r="AQ337" s="102">
        <v>0.50181630114888742</v>
      </c>
      <c r="AR337" s="102">
        <v>0</v>
      </c>
      <c r="AS337" s="102">
        <v>0.52188895319484296</v>
      </c>
      <c r="AT337" s="102">
        <v>0.78283342979226433</v>
      </c>
      <c r="AU337" s="102">
        <v>1.9871925525495941</v>
      </c>
      <c r="AV337" s="102">
        <v>0.18065386841359948</v>
      </c>
      <c r="AW337" s="102">
        <v>0.80290608183821988</v>
      </c>
      <c r="AX337" s="102">
        <v>0.7627607777463089</v>
      </c>
      <c r="AY337" s="102">
        <v>1.4452309473087959</v>
      </c>
    </row>
    <row r="338" spans="1:51">
      <c r="A338" s="102" t="s">
        <v>614</v>
      </c>
      <c r="B338" s="102">
        <v>1000</v>
      </c>
      <c r="C338" s="102">
        <v>1005</v>
      </c>
      <c r="D338" s="102">
        <v>1.5</v>
      </c>
      <c r="E338" s="102">
        <v>52837</v>
      </c>
      <c r="F338" s="102">
        <v>7.3</v>
      </c>
      <c r="G338" s="102">
        <v>340</v>
      </c>
      <c r="H338" s="102">
        <v>110</v>
      </c>
      <c r="I338" s="102">
        <v>35</v>
      </c>
      <c r="J338" s="102">
        <v>86.8</v>
      </c>
      <c r="K338" s="102">
        <v>13.2</v>
      </c>
      <c r="L338" s="102">
        <v>77.900000000000006</v>
      </c>
      <c r="M338" s="102">
        <v>75.8</v>
      </c>
      <c r="N338" s="102">
        <v>3.4</v>
      </c>
      <c r="O338" s="102">
        <v>140</v>
      </c>
      <c r="P338" s="102">
        <v>75</v>
      </c>
      <c r="Q338" s="102">
        <v>120</v>
      </c>
      <c r="R338" s="102">
        <v>55</v>
      </c>
      <c r="T338" s="102">
        <f t="shared" si="5"/>
        <v>0</v>
      </c>
      <c r="W338">
        <v>18790</v>
      </c>
      <c r="X338">
        <v>21196</v>
      </c>
      <c r="Y338">
        <v>15785</v>
      </c>
      <c r="Z338">
        <v>26655</v>
      </c>
      <c r="AA338">
        <v>16588</v>
      </c>
      <c r="AB338" s="102">
        <v>255</v>
      </c>
      <c r="AC338" s="102">
        <v>630</v>
      </c>
      <c r="AD338" s="102">
        <v>265</v>
      </c>
      <c r="AE338" s="102">
        <v>120</v>
      </c>
      <c r="AF338" s="102">
        <v>4.8138026488485863</v>
      </c>
      <c r="AG338" s="102">
        <v>0</v>
      </c>
      <c r="AH338" s="102">
        <v>0</v>
      </c>
      <c r="AI338" s="102">
        <v>1.3128552678677963</v>
      </c>
      <c r="AJ338" s="102">
        <v>2.3339649206538597</v>
      </c>
      <c r="AK338" s="102">
        <v>0.43761842262259876</v>
      </c>
      <c r="AL338" s="102">
        <v>1.4587280754086625</v>
      </c>
      <c r="AM338" s="102">
        <v>1.3128552678677963</v>
      </c>
      <c r="AN338" s="102">
        <v>0.29174561508173247</v>
      </c>
      <c r="AO338" s="102">
        <v>0.58349123016346494</v>
      </c>
      <c r="AP338" s="102">
        <v>0</v>
      </c>
      <c r="AQ338" s="102">
        <v>0.43761842262259876</v>
      </c>
      <c r="AR338" s="102">
        <v>0</v>
      </c>
      <c r="AS338" s="102">
        <v>0</v>
      </c>
      <c r="AT338" s="102">
        <v>0.43761842262259876</v>
      </c>
      <c r="AU338" s="102">
        <v>1.750473690490395</v>
      </c>
      <c r="AV338" s="102">
        <v>0.29174561508173247</v>
      </c>
      <c r="AW338" s="102">
        <v>0.29174561508173247</v>
      </c>
      <c r="AX338" s="102">
        <v>0.58349123016346494</v>
      </c>
      <c r="AY338" s="102">
        <v>0.29174561508173247</v>
      </c>
    </row>
    <row r="339" spans="1:51" s="103" customFormat="1">
      <c r="A339" s="103" t="s">
        <v>259</v>
      </c>
      <c r="B339" s="103">
        <v>340</v>
      </c>
      <c r="C339" s="103">
        <v>335</v>
      </c>
      <c r="D339" s="103">
        <v>1.7</v>
      </c>
      <c r="E339" s="103">
        <v>34570</v>
      </c>
      <c r="F339" s="103">
        <v>0</v>
      </c>
      <c r="G339" s="103">
        <v>115</v>
      </c>
      <c r="H339" s="103">
        <v>20</v>
      </c>
      <c r="I339" s="103">
        <v>60</v>
      </c>
      <c r="J339" s="103">
        <v>8.6999999999999993</v>
      </c>
      <c r="K339" s="103">
        <v>0</v>
      </c>
      <c r="L339" s="103">
        <v>65.2</v>
      </c>
      <c r="M339" s="103">
        <v>56.5</v>
      </c>
      <c r="N339" s="103">
        <v>13.3</v>
      </c>
      <c r="O339" s="103">
        <v>35</v>
      </c>
      <c r="P339" s="103">
        <v>15</v>
      </c>
      <c r="Q339" s="103">
        <v>40</v>
      </c>
      <c r="R339" s="103">
        <v>15</v>
      </c>
      <c r="T339" s="103" t="str">
        <f t="shared" si="5"/>
        <v>Rolling River First Nation</v>
      </c>
      <c r="W339">
        <v>15897</v>
      </c>
      <c r="X339">
        <v>15295</v>
      </c>
      <c r="Y339">
        <v>16562</v>
      </c>
      <c r="Z339">
        <v>11200</v>
      </c>
      <c r="AA339">
        <v>13504</v>
      </c>
      <c r="AB339" s="103">
        <v>105</v>
      </c>
      <c r="AC339" s="103">
        <v>210</v>
      </c>
      <c r="AD339" s="103">
        <v>50</v>
      </c>
      <c r="AE339" s="103">
        <v>20</v>
      </c>
      <c r="AF339" s="102">
        <v>1.1280830449826988</v>
      </c>
      <c r="AG339" s="102">
        <v>0</v>
      </c>
      <c r="AH339" s="102">
        <v>0</v>
      </c>
      <c r="AI339" s="102">
        <v>1.1280830449826988</v>
      </c>
      <c r="AJ339" s="102">
        <v>0</v>
      </c>
      <c r="AK339" s="102">
        <v>0</v>
      </c>
      <c r="AL339" s="102">
        <v>1.1280830449826988</v>
      </c>
      <c r="AM339" s="102">
        <v>1.1280830449826988</v>
      </c>
      <c r="AN339" s="102">
        <v>0</v>
      </c>
      <c r="AO339" s="102">
        <v>0</v>
      </c>
      <c r="AP339" s="102">
        <v>0</v>
      </c>
      <c r="AQ339" s="102">
        <v>0</v>
      </c>
      <c r="AR339" s="102">
        <v>0</v>
      </c>
      <c r="AS339" s="102">
        <v>1.1280830449826988</v>
      </c>
      <c r="AT339" s="102">
        <v>1.6921245674740486</v>
      </c>
      <c r="AU339" s="102">
        <v>4.5123321799307954</v>
      </c>
      <c r="AV339" s="102">
        <v>0</v>
      </c>
      <c r="AW339" s="102">
        <v>0</v>
      </c>
      <c r="AX339" s="102">
        <v>0</v>
      </c>
      <c r="AY339" s="102">
        <v>2.8202076124567474</v>
      </c>
    </row>
    <row r="340" spans="1:51" s="103" customFormat="1">
      <c r="A340" s="103" t="s">
        <v>260</v>
      </c>
      <c r="B340">
        <f>SUM(B341:B342)</f>
        <v>690</v>
      </c>
      <c r="C340">
        <f>SUM(C341:C342)</f>
        <v>690</v>
      </c>
      <c r="D340" s="116">
        <f>(D341*$B341+D342*$B342)/$B340</f>
        <v>2.1181159420289855</v>
      </c>
      <c r="E340" s="117">
        <f>(E341*$B341+E342*$B342)/$B340</f>
        <v>25611.695652173912</v>
      </c>
      <c r="F340" s="116">
        <f>(F341*$B341+F342*$B342)/$B340</f>
        <v>0</v>
      </c>
      <c r="G340">
        <f>SUM(G341:G342)</f>
        <v>185</v>
      </c>
      <c r="H340">
        <f>SUM(H341:H342)</f>
        <v>40</v>
      </c>
      <c r="I340">
        <f>SUM(I341:I342)</f>
        <v>130</v>
      </c>
      <c r="J340" s="116">
        <f>(J341*$B341+J342*$B342)/$B340</f>
        <v>24.538405797101451</v>
      </c>
      <c r="K340" s="116">
        <f>(K341*$B341+K342*$B342)/$B340</f>
        <v>0</v>
      </c>
      <c r="L340" s="116">
        <f>(L341*$B341+L342*$B342)/$B340</f>
        <v>53.381884057971014</v>
      </c>
      <c r="M340" s="116">
        <f>(M341*$B341+M342*$B342)/$B340</f>
        <v>39.903623188405795</v>
      </c>
      <c r="N340" s="116">
        <f>(N341*$B341+N342*$B342)/$B340</f>
        <v>29.749275362318841</v>
      </c>
      <c r="O340">
        <f>SUM(O341:O342)</f>
        <v>85</v>
      </c>
      <c r="P340">
        <f>SUM(P341:P342)</f>
        <v>60</v>
      </c>
      <c r="Q340">
        <f>SUM(Q341:Q342)</f>
        <v>35</v>
      </c>
      <c r="R340">
        <f>SUM(R341:R342)</f>
        <v>20</v>
      </c>
      <c r="T340" s="103" t="str">
        <f t="shared" si="5"/>
        <v>Roseau River Anishinabe First Nation</v>
      </c>
      <c r="W340">
        <v>12011.572463768116</v>
      </c>
      <c r="X340">
        <v>11219.753623188406</v>
      </c>
      <c r="Y340">
        <v>12984.355072463768</v>
      </c>
      <c r="Z340">
        <v>4506.898550724638</v>
      </c>
      <c r="AA340">
        <v>7572.63768115942</v>
      </c>
      <c r="AB340" s="103">
        <v>255</v>
      </c>
      <c r="AC340" s="103">
        <v>440</v>
      </c>
      <c r="AD340" s="103">
        <v>95</v>
      </c>
      <c r="AE340" s="103">
        <v>30</v>
      </c>
      <c r="AF340" s="102">
        <v>0</v>
      </c>
      <c r="AG340" s="102">
        <v>0</v>
      </c>
      <c r="AH340" s="102">
        <v>0</v>
      </c>
      <c r="AI340" s="102">
        <v>2.5201855260251782</v>
      </c>
      <c r="AJ340" s="102">
        <v>0</v>
      </c>
      <c r="AK340" s="102">
        <v>0.72005300743576528</v>
      </c>
      <c r="AL340" s="102">
        <v>0</v>
      </c>
      <c r="AM340" s="102">
        <v>0</v>
      </c>
      <c r="AN340" s="102">
        <v>0</v>
      </c>
      <c r="AO340" s="102">
        <v>0</v>
      </c>
      <c r="AP340" s="102">
        <v>0.72005300743576528</v>
      </c>
      <c r="AQ340" s="102">
        <v>0</v>
      </c>
      <c r="AR340" s="102">
        <v>0</v>
      </c>
      <c r="AS340" s="102">
        <v>1.8001325185894133</v>
      </c>
      <c r="AT340" s="102">
        <v>1.4401060148715306</v>
      </c>
      <c r="AU340" s="102">
        <v>3.6002650371788265</v>
      </c>
      <c r="AV340" s="102">
        <v>0.72005300743576528</v>
      </c>
      <c r="AW340" s="102">
        <v>0</v>
      </c>
      <c r="AX340" s="102">
        <v>0.72005300743576528</v>
      </c>
      <c r="AY340" s="102">
        <v>2.1601590223072957</v>
      </c>
    </row>
    <row r="341" spans="1:51" s="103" customFormat="1">
      <c r="A341" s="103" t="s">
        <v>764</v>
      </c>
      <c r="B341" s="103">
        <v>125</v>
      </c>
      <c r="C341" s="103">
        <v>125</v>
      </c>
      <c r="D341" s="103">
        <v>2.2000000000000002</v>
      </c>
      <c r="E341" s="103">
        <v>0</v>
      </c>
      <c r="F341" s="103">
        <v>0</v>
      </c>
      <c r="G341" s="103">
        <v>30</v>
      </c>
      <c r="H341" s="103">
        <v>10</v>
      </c>
      <c r="I341" s="103">
        <v>20</v>
      </c>
      <c r="J341" s="103">
        <v>33.299999999999997</v>
      </c>
      <c r="K341" s="103">
        <v>0</v>
      </c>
      <c r="L341" s="103">
        <v>53.3</v>
      </c>
      <c r="M341" s="103">
        <v>46.7</v>
      </c>
      <c r="N341" s="103">
        <v>25</v>
      </c>
      <c r="O341" s="103">
        <v>10</v>
      </c>
      <c r="P341" s="103">
        <v>10</v>
      </c>
      <c r="Q341" s="103">
        <v>10</v>
      </c>
      <c r="R341" s="103">
        <v>10</v>
      </c>
      <c r="T341" s="103">
        <f t="shared" si="5"/>
        <v>0</v>
      </c>
      <c r="W341">
        <v>0</v>
      </c>
      <c r="X341">
        <v>0</v>
      </c>
      <c r="Y341">
        <v>0</v>
      </c>
      <c r="Z341">
        <v>0</v>
      </c>
      <c r="AA341">
        <v>0</v>
      </c>
      <c r="AB341" s="103">
        <v>50</v>
      </c>
      <c r="AC341" s="103">
        <v>80</v>
      </c>
      <c r="AD341" s="103">
        <v>10</v>
      </c>
      <c r="AE341" s="103">
        <v>10</v>
      </c>
      <c r="AF341" s="102" t="e">
        <v>#N/A</v>
      </c>
      <c r="AG341" s="102" t="e">
        <v>#N/A</v>
      </c>
      <c r="AH341" s="102" t="e">
        <v>#N/A</v>
      </c>
      <c r="AI341" s="102" t="e">
        <v>#N/A</v>
      </c>
      <c r="AJ341" s="102" t="e">
        <v>#N/A</v>
      </c>
      <c r="AK341" s="102" t="e">
        <v>#N/A</v>
      </c>
      <c r="AL341" s="102" t="e">
        <v>#N/A</v>
      </c>
      <c r="AM341" s="102" t="e">
        <v>#N/A</v>
      </c>
      <c r="AN341" s="102" t="e">
        <v>#N/A</v>
      </c>
      <c r="AO341" s="102" t="e">
        <v>#N/A</v>
      </c>
      <c r="AP341" s="102" t="e">
        <v>#N/A</v>
      </c>
      <c r="AQ341" s="102" t="e">
        <v>#N/A</v>
      </c>
      <c r="AR341" s="102" t="e">
        <v>#N/A</v>
      </c>
      <c r="AS341" s="102" t="e">
        <v>#N/A</v>
      </c>
      <c r="AT341" s="102" t="e">
        <v>#N/A</v>
      </c>
      <c r="AU341" s="102" t="e">
        <v>#N/A</v>
      </c>
      <c r="AV341" s="102" t="e">
        <v>#N/A</v>
      </c>
      <c r="AW341" s="102" t="e">
        <v>#N/A</v>
      </c>
      <c r="AX341" s="102" t="e">
        <v>#N/A</v>
      </c>
      <c r="AY341" s="102" t="e">
        <v>#N/A</v>
      </c>
    </row>
    <row r="342" spans="1:51" s="103" customFormat="1">
      <c r="A342" s="103" t="s">
        <v>853</v>
      </c>
      <c r="B342" s="103">
        <v>565</v>
      </c>
      <c r="C342" s="103">
        <v>565</v>
      </c>
      <c r="D342" s="103">
        <v>2.1</v>
      </c>
      <c r="E342" s="103">
        <v>31278</v>
      </c>
      <c r="F342" s="103">
        <v>0</v>
      </c>
      <c r="G342" s="103">
        <v>155</v>
      </c>
      <c r="H342" s="103">
        <v>30</v>
      </c>
      <c r="I342" s="103">
        <v>110</v>
      </c>
      <c r="J342" s="103">
        <v>22.6</v>
      </c>
      <c r="K342" s="103">
        <v>0</v>
      </c>
      <c r="L342" s="103">
        <v>53.4</v>
      </c>
      <c r="M342" s="103">
        <v>38.4</v>
      </c>
      <c r="N342" s="103">
        <v>30.8</v>
      </c>
      <c r="O342" s="103">
        <v>75</v>
      </c>
      <c r="P342" s="103">
        <v>50</v>
      </c>
      <c r="Q342" s="103">
        <v>25</v>
      </c>
      <c r="R342" s="103">
        <v>10</v>
      </c>
      <c r="T342" s="103">
        <f t="shared" si="5"/>
        <v>0</v>
      </c>
      <c r="W342">
        <v>14669</v>
      </c>
      <c r="X342">
        <v>13702</v>
      </c>
      <c r="Y342">
        <v>15857</v>
      </c>
      <c r="Z342">
        <v>5504</v>
      </c>
      <c r="AA342">
        <v>9248</v>
      </c>
      <c r="AB342" s="103">
        <v>205</v>
      </c>
      <c r="AC342" s="103">
        <v>360</v>
      </c>
      <c r="AD342" s="103">
        <v>85</v>
      </c>
      <c r="AE342" s="103">
        <v>20</v>
      </c>
      <c r="AF342" s="102" t="e">
        <v>#N/A</v>
      </c>
      <c r="AG342" s="102" t="e">
        <v>#N/A</v>
      </c>
      <c r="AH342" s="102" t="e">
        <v>#N/A</v>
      </c>
      <c r="AI342" s="102" t="e">
        <v>#N/A</v>
      </c>
      <c r="AJ342" s="102" t="e">
        <v>#N/A</v>
      </c>
      <c r="AK342" s="102" t="e">
        <v>#N/A</v>
      </c>
      <c r="AL342" s="102" t="e">
        <v>#N/A</v>
      </c>
      <c r="AM342" s="102" t="e">
        <v>#N/A</v>
      </c>
      <c r="AN342" s="102" t="e">
        <v>#N/A</v>
      </c>
      <c r="AO342" s="102" t="e">
        <v>#N/A</v>
      </c>
      <c r="AP342" s="102" t="e">
        <v>#N/A</v>
      </c>
      <c r="AQ342" s="102" t="e">
        <v>#N/A</v>
      </c>
      <c r="AR342" s="102" t="e">
        <v>#N/A</v>
      </c>
      <c r="AS342" s="102" t="e">
        <v>#N/A</v>
      </c>
      <c r="AT342" s="102" t="e">
        <v>#N/A</v>
      </c>
      <c r="AU342" s="102" t="e">
        <v>#N/A</v>
      </c>
      <c r="AV342" s="102" t="e">
        <v>#N/A</v>
      </c>
      <c r="AW342" s="102" t="e">
        <v>#N/A</v>
      </c>
      <c r="AX342" s="102" t="e">
        <v>#N/A</v>
      </c>
      <c r="AY342" s="102" t="e">
        <v>#N/A</v>
      </c>
    </row>
    <row r="343" spans="1:51">
      <c r="A343" s="102" t="s">
        <v>673</v>
      </c>
      <c r="B343" s="102">
        <v>1660</v>
      </c>
      <c r="C343" s="102">
        <v>1375</v>
      </c>
      <c r="D343" s="102">
        <v>1.2</v>
      </c>
      <c r="E343" s="102">
        <v>44859</v>
      </c>
      <c r="F343" s="102">
        <v>17.7</v>
      </c>
      <c r="G343" s="102">
        <v>515</v>
      </c>
      <c r="H343" s="102">
        <v>220</v>
      </c>
      <c r="I343" s="102">
        <v>70</v>
      </c>
      <c r="J343" s="102">
        <v>84.5</v>
      </c>
      <c r="K343" s="102">
        <v>14.6</v>
      </c>
      <c r="L343" s="102">
        <v>73.599999999999994</v>
      </c>
      <c r="M343" s="102">
        <v>72.099999999999994</v>
      </c>
      <c r="N343" s="102">
        <v>2.1</v>
      </c>
      <c r="O343" s="102">
        <v>290</v>
      </c>
      <c r="P343" s="102">
        <v>120</v>
      </c>
      <c r="Q343" s="102">
        <v>135</v>
      </c>
      <c r="R343" s="102">
        <v>50</v>
      </c>
      <c r="T343" s="102">
        <f t="shared" si="5"/>
        <v>0</v>
      </c>
      <c r="W343">
        <v>17782</v>
      </c>
      <c r="X343">
        <v>18831</v>
      </c>
      <c r="Y343">
        <v>16271</v>
      </c>
      <c r="Z343">
        <v>18499</v>
      </c>
      <c r="AA343">
        <v>13386</v>
      </c>
      <c r="AB343" s="102">
        <v>360</v>
      </c>
      <c r="AC343" s="102">
        <v>1010</v>
      </c>
      <c r="AD343" s="102">
        <v>375</v>
      </c>
      <c r="AE343" s="102">
        <v>260</v>
      </c>
      <c r="AF343" s="102">
        <v>7.3919125842287388</v>
      </c>
      <c r="AG343" s="102">
        <v>0</v>
      </c>
      <c r="AH343" s="102">
        <v>0.17811837552358403</v>
      </c>
      <c r="AI343" s="102">
        <v>1.5140061919504644</v>
      </c>
      <c r="AJ343" s="102">
        <v>2.1374205062830085</v>
      </c>
      <c r="AK343" s="102">
        <v>0.26717756328537606</v>
      </c>
      <c r="AL343" s="102">
        <v>0.80153268985612824</v>
      </c>
      <c r="AM343" s="102">
        <v>0.17811837552358403</v>
      </c>
      <c r="AN343" s="102">
        <v>0</v>
      </c>
      <c r="AO343" s="102">
        <v>0</v>
      </c>
      <c r="AP343" s="102">
        <v>0.17811837552358403</v>
      </c>
      <c r="AQ343" s="102">
        <v>0.35623675104716807</v>
      </c>
      <c r="AR343" s="102">
        <v>0</v>
      </c>
      <c r="AS343" s="102">
        <v>0.17811837552358403</v>
      </c>
      <c r="AT343" s="102">
        <v>0.53435512657075213</v>
      </c>
      <c r="AU343" s="102">
        <v>1.0687102531415043</v>
      </c>
      <c r="AV343" s="102">
        <v>0.35623675104716807</v>
      </c>
      <c r="AW343" s="102">
        <v>0.80153268985612824</v>
      </c>
      <c r="AX343" s="102">
        <v>0.62341431433254413</v>
      </c>
      <c r="AY343" s="102">
        <v>0.53435512657075213</v>
      </c>
    </row>
    <row r="344" spans="1:51">
      <c r="A344" s="102" t="s">
        <v>426</v>
      </c>
      <c r="B344" s="102">
        <v>520</v>
      </c>
      <c r="C344" s="102">
        <v>515</v>
      </c>
      <c r="D344" s="102">
        <v>0.9</v>
      </c>
      <c r="E344" s="102">
        <v>37522</v>
      </c>
      <c r="F344" s="102">
        <v>14.3</v>
      </c>
      <c r="G344" s="102">
        <v>265</v>
      </c>
      <c r="H344" s="102">
        <v>115</v>
      </c>
      <c r="I344" s="102">
        <v>30</v>
      </c>
      <c r="J344" s="102">
        <v>73.599999999999994</v>
      </c>
      <c r="K344" s="102">
        <v>28.3</v>
      </c>
      <c r="L344" s="102">
        <v>46.3</v>
      </c>
      <c r="M344" s="102">
        <v>47.6</v>
      </c>
      <c r="N344" s="102">
        <v>0</v>
      </c>
      <c r="O344" s="102">
        <v>85</v>
      </c>
      <c r="P344" s="102">
        <v>65</v>
      </c>
      <c r="Q344" s="102">
        <v>25</v>
      </c>
      <c r="R344" s="102">
        <v>25</v>
      </c>
      <c r="T344" s="102">
        <f>IFERROR(VLOOKUP(A344,$U$12:$U$74,1,0),0)</f>
        <v>0</v>
      </c>
      <c r="W344">
        <v>20599</v>
      </c>
      <c r="X344">
        <v>28139</v>
      </c>
      <c r="Y344">
        <v>13505</v>
      </c>
      <c r="Z344">
        <v>16852</v>
      </c>
      <c r="AA344">
        <v>13364</v>
      </c>
      <c r="AB344" s="102">
        <v>105</v>
      </c>
      <c r="AC344" s="102">
        <v>240</v>
      </c>
      <c r="AD344" s="102">
        <v>90</v>
      </c>
      <c r="AE344" s="102">
        <v>180</v>
      </c>
      <c r="AF344" s="102">
        <v>2.2264796940448006</v>
      </c>
      <c r="AG344" s="102">
        <v>0.89059187761792014</v>
      </c>
      <c r="AH344" s="102">
        <v>0</v>
      </c>
      <c r="AI344" s="102">
        <v>0</v>
      </c>
      <c r="AJ344" s="102">
        <v>0.89059187761792014</v>
      </c>
      <c r="AK344" s="102">
        <v>0</v>
      </c>
      <c r="AL344" s="102">
        <v>1.7811837552358403</v>
      </c>
      <c r="AM344" s="102">
        <v>0.89059187761792014</v>
      </c>
      <c r="AN344" s="102">
        <v>0</v>
      </c>
      <c r="AO344" s="102">
        <v>0</v>
      </c>
      <c r="AP344" s="102">
        <v>0</v>
      </c>
      <c r="AQ344" s="102">
        <v>0</v>
      </c>
      <c r="AR344" s="102">
        <v>0</v>
      </c>
      <c r="AS344" s="102">
        <v>0</v>
      </c>
      <c r="AT344" s="102">
        <v>1.3358878164268804</v>
      </c>
      <c r="AU344" s="102">
        <v>3.1170715716627209</v>
      </c>
      <c r="AV344" s="102">
        <v>0</v>
      </c>
      <c r="AW344" s="102">
        <v>3.1170715716627209</v>
      </c>
      <c r="AX344" s="102">
        <v>1.7811837552358403</v>
      </c>
      <c r="AY344" s="102">
        <v>0</v>
      </c>
    </row>
    <row r="345" spans="1:51">
      <c r="A345" s="102" t="s">
        <v>802</v>
      </c>
      <c r="B345" s="102">
        <v>515</v>
      </c>
      <c r="C345" s="102">
        <v>515</v>
      </c>
      <c r="D345" s="102">
        <v>0.8</v>
      </c>
      <c r="E345" s="102">
        <v>49277</v>
      </c>
      <c r="F345" s="102">
        <v>15.2</v>
      </c>
      <c r="G345" s="102">
        <v>210</v>
      </c>
      <c r="H345" s="102">
        <v>100</v>
      </c>
      <c r="I345" s="102">
        <v>35</v>
      </c>
      <c r="J345" s="102">
        <v>90.5</v>
      </c>
      <c r="K345" s="102">
        <v>9.5</v>
      </c>
      <c r="L345" s="102">
        <v>75.900000000000006</v>
      </c>
      <c r="M345" s="102">
        <v>74.7</v>
      </c>
      <c r="N345" s="102">
        <v>0</v>
      </c>
      <c r="O345" s="102">
        <v>90</v>
      </c>
      <c r="P345" s="102">
        <v>50</v>
      </c>
      <c r="Q345" s="102">
        <v>65</v>
      </c>
      <c r="R345" s="102">
        <v>45</v>
      </c>
      <c r="T345" s="102">
        <f>IFERROR(VLOOKUP(A345,$U$12:$U$74,1,0),0)</f>
        <v>0</v>
      </c>
      <c r="W345">
        <v>14953</v>
      </c>
      <c r="X345">
        <v>13575</v>
      </c>
      <c r="Y345">
        <v>16752</v>
      </c>
      <c r="Z345">
        <v>11513</v>
      </c>
      <c r="AA345">
        <v>15802</v>
      </c>
      <c r="AB345" s="102">
        <v>75</v>
      </c>
      <c r="AC345" s="102">
        <v>385</v>
      </c>
      <c r="AD345" s="102">
        <v>220</v>
      </c>
      <c r="AE345" s="102">
        <v>60</v>
      </c>
      <c r="AF345" s="102">
        <v>8.4606228373702415</v>
      </c>
      <c r="AG345" s="102">
        <v>0</v>
      </c>
      <c r="AH345" s="102">
        <v>0</v>
      </c>
      <c r="AI345" s="102">
        <v>0.76914753067002206</v>
      </c>
      <c r="AJ345" s="102">
        <v>0</v>
      </c>
      <c r="AK345" s="102">
        <v>0</v>
      </c>
      <c r="AL345" s="102">
        <v>0</v>
      </c>
      <c r="AM345" s="102">
        <v>0.51276502044668137</v>
      </c>
      <c r="AN345" s="102">
        <v>0</v>
      </c>
      <c r="AO345" s="102">
        <v>0.51276502044668137</v>
      </c>
      <c r="AP345" s="102">
        <v>0</v>
      </c>
      <c r="AQ345" s="102">
        <v>0</v>
      </c>
      <c r="AR345" s="102">
        <v>0</v>
      </c>
      <c r="AS345" s="102">
        <v>0</v>
      </c>
      <c r="AT345" s="102">
        <v>0.76914753067002206</v>
      </c>
      <c r="AU345" s="102">
        <v>1.7946775715633847</v>
      </c>
      <c r="AV345" s="102">
        <v>0.76914753067002206</v>
      </c>
      <c r="AW345" s="102">
        <v>1.2819125511167033</v>
      </c>
      <c r="AX345" s="102">
        <v>0</v>
      </c>
      <c r="AY345" s="102">
        <v>0.76914753067002206</v>
      </c>
    </row>
    <row r="346" spans="1:51">
      <c r="A346" s="102" t="s">
        <v>660</v>
      </c>
      <c r="B346" s="102">
        <v>1360</v>
      </c>
      <c r="C346" s="102">
        <v>1225</v>
      </c>
      <c r="D346" s="102">
        <v>1</v>
      </c>
      <c r="E346" s="102">
        <v>71026</v>
      </c>
      <c r="F346" s="102">
        <v>4</v>
      </c>
      <c r="G346" s="102">
        <v>455</v>
      </c>
      <c r="H346" s="102">
        <v>165</v>
      </c>
      <c r="I346" s="102">
        <v>55</v>
      </c>
      <c r="J346" s="102">
        <v>80.2</v>
      </c>
      <c r="K346" s="102">
        <v>18.7</v>
      </c>
      <c r="L346" s="102">
        <v>78.099999999999994</v>
      </c>
      <c r="M346" s="102">
        <v>76.3</v>
      </c>
      <c r="N346" s="102">
        <v>2.2999999999999998</v>
      </c>
      <c r="O346" s="102">
        <v>335</v>
      </c>
      <c r="P346" s="102">
        <v>85</v>
      </c>
      <c r="Q346" s="102">
        <v>140</v>
      </c>
      <c r="R346" s="102">
        <v>175</v>
      </c>
      <c r="T346" s="102">
        <f t="shared" si="5"/>
        <v>0</v>
      </c>
      <c r="W346">
        <v>27991</v>
      </c>
      <c r="X346">
        <v>29953</v>
      </c>
      <c r="Y346">
        <v>25385</v>
      </c>
      <c r="Z346">
        <v>29016</v>
      </c>
      <c r="AA346">
        <v>20358</v>
      </c>
      <c r="AB346" s="102">
        <v>265</v>
      </c>
      <c r="AC346" s="102">
        <v>915</v>
      </c>
      <c r="AD346" s="102">
        <v>400</v>
      </c>
      <c r="AE346" s="102">
        <v>185</v>
      </c>
      <c r="AF346" s="102">
        <v>4.1560954288836278</v>
      </c>
      <c r="AG346" s="102">
        <v>0</v>
      </c>
      <c r="AH346" s="102">
        <v>0</v>
      </c>
      <c r="AI346" s="102">
        <v>0.29686395920597342</v>
      </c>
      <c r="AJ346" s="102">
        <v>1.5832744490985249</v>
      </c>
      <c r="AK346" s="102">
        <v>0.79163722454926244</v>
      </c>
      <c r="AL346" s="102">
        <v>1.8801384083044981</v>
      </c>
      <c r="AM346" s="102">
        <v>1.2864104898925515</v>
      </c>
      <c r="AN346" s="102">
        <v>0.19790930613731561</v>
      </c>
      <c r="AO346" s="102">
        <v>0.49477326534328897</v>
      </c>
      <c r="AP346" s="102">
        <v>0</v>
      </c>
      <c r="AQ346" s="102">
        <v>0.49477326534328897</v>
      </c>
      <c r="AR346" s="102">
        <v>0</v>
      </c>
      <c r="AS346" s="102">
        <v>0.19790930613731561</v>
      </c>
      <c r="AT346" s="102">
        <v>1.1874558368238937</v>
      </c>
      <c r="AU346" s="102">
        <v>1.2864104898925515</v>
      </c>
      <c r="AV346" s="102">
        <v>0.19790930613731561</v>
      </c>
      <c r="AW346" s="102">
        <v>0.79163722454926244</v>
      </c>
      <c r="AX346" s="102">
        <v>0.98954653068657794</v>
      </c>
      <c r="AY346" s="102">
        <v>0.79163722454926244</v>
      </c>
    </row>
    <row r="347" spans="1:51">
      <c r="A347" s="102" t="s">
        <v>677</v>
      </c>
      <c r="B347" s="102">
        <v>1390</v>
      </c>
      <c r="C347" s="102">
        <v>1385</v>
      </c>
      <c r="D347" s="102">
        <v>0.9</v>
      </c>
      <c r="E347" s="102">
        <v>56670</v>
      </c>
      <c r="F347" s="102">
        <v>11.4</v>
      </c>
      <c r="G347" s="102">
        <v>630</v>
      </c>
      <c r="H347" s="102">
        <v>155</v>
      </c>
      <c r="I347" s="102">
        <v>80</v>
      </c>
      <c r="J347" s="102">
        <v>77</v>
      </c>
      <c r="K347" s="102">
        <v>23</v>
      </c>
      <c r="L347" s="102">
        <v>56.1</v>
      </c>
      <c r="M347" s="102">
        <v>51.7</v>
      </c>
      <c r="N347" s="102">
        <v>7.8</v>
      </c>
      <c r="O347" s="102">
        <v>235</v>
      </c>
      <c r="P347" s="102">
        <v>110</v>
      </c>
      <c r="Q347" s="102">
        <v>165</v>
      </c>
      <c r="R347" s="102">
        <v>160</v>
      </c>
      <c r="T347" s="102">
        <f t="shared" si="5"/>
        <v>0</v>
      </c>
      <c r="W347">
        <v>26847</v>
      </c>
      <c r="X347">
        <v>31537</v>
      </c>
      <c r="Y347">
        <v>21770</v>
      </c>
      <c r="Z347">
        <v>24761</v>
      </c>
      <c r="AA347">
        <v>18796</v>
      </c>
      <c r="AB347" s="102">
        <v>240</v>
      </c>
      <c r="AC347" s="102">
        <v>785</v>
      </c>
      <c r="AD347" s="102">
        <v>320</v>
      </c>
      <c r="AE347" s="102">
        <v>355</v>
      </c>
      <c r="AF347" s="102">
        <v>1.1805520238191036</v>
      </c>
      <c r="AG347" s="102">
        <v>0.78703468254606901</v>
      </c>
      <c r="AH347" s="102">
        <v>0</v>
      </c>
      <c r="AI347" s="102">
        <v>0.65586223545505751</v>
      </c>
      <c r="AJ347" s="102">
        <v>0.52468978836404601</v>
      </c>
      <c r="AK347" s="102">
        <v>0.262344894182023</v>
      </c>
      <c r="AL347" s="102">
        <v>3.0169662830932649</v>
      </c>
      <c r="AM347" s="102">
        <v>0.3935173412730345</v>
      </c>
      <c r="AN347" s="102">
        <v>0</v>
      </c>
      <c r="AO347" s="102">
        <v>0</v>
      </c>
      <c r="AP347" s="102">
        <v>0</v>
      </c>
      <c r="AQ347" s="102">
        <v>0.262344894182023</v>
      </c>
      <c r="AR347" s="102">
        <v>0.262344894182023</v>
      </c>
      <c r="AS347" s="102">
        <v>0.52468978836404601</v>
      </c>
      <c r="AT347" s="102">
        <v>0.91820712963708051</v>
      </c>
      <c r="AU347" s="102">
        <v>3.148138730184276</v>
      </c>
      <c r="AV347" s="102">
        <v>0</v>
      </c>
      <c r="AW347" s="102">
        <v>2.4922764947292189</v>
      </c>
      <c r="AX347" s="102">
        <v>0.91820712963708051</v>
      </c>
      <c r="AY347" s="102">
        <v>0.52468978836404601</v>
      </c>
    </row>
    <row r="348" spans="1:51" s="103" customFormat="1">
      <c r="A348" s="108" t="s">
        <v>781</v>
      </c>
      <c r="B348" s="103">
        <v>660</v>
      </c>
      <c r="C348" s="103">
        <v>660</v>
      </c>
      <c r="D348" s="103">
        <v>1</v>
      </c>
      <c r="E348" s="103">
        <v>55572</v>
      </c>
      <c r="F348" s="103">
        <v>12.2</v>
      </c>
      <c r="G348" s="103">
        <v>275</v>
      </c>
      <c r="H348" s="103">
        <v>120</v>
      </c>
      <c r="I348" s="103">
        <v>50</v>
      </c>
      <c r="J348" s="103">
        <v>87.3</v>
      </c>
      <c r="K348" s="103">
        <v>12.7</v>
      </c>
      <c r="L348" s="103">
        <v>71.7</v>
      </c>
      <c r="M348" s="103">
        <v>70.8</v>
      </c>
      <c r="N348" s="103">
        <v>2.5</v>
      </c>
      <c r="O348" s="103">
        <v>130</v>
      </c>
      <c r="P348" s="103">
        <v>70</v>
      </c>
      <c r="Q348" s="103">
        <v>120</v>
      </c>
      <c r="R348" s="103">
        <v>60</v>
      </c>
      <c r="T348" s="103">
        <f t="shared" si="5"/>
        <v>0</v>
      </c>
      <c r="W348">
        <v>22477</v>
      </c>
      <c r="X348">
        <v>26270</v>
      </c>
      <c r="Y348">
        <v>18250</v>
      </c>
      <c r="Z348">
        <v>19929</v>
      </c>
      <c r="AA348">
        <v>21125</v>
      </c>
      <c r="AB348" s="103">
        <v>90</v>
      </c>
      <c r="AC348" s="103">
        <v>435</v>
      </c>
      <c r="AD348" s="103">
        <v>230</v>
      </c>
      <c r="AE348" s="103">
        <v>105</v>
      </c>
      <c r="AF348" s="102">
        <v>3.5513725490196077</v>
      </c>
      <c r="AG348" s="102">
        <v>1.8801384083044981</v>
      </c>
      <c r="AH348" s="102">
        <v>0</v>
      </c>
      <c r="AI348" s="102">
        <v>0.6267128027681661</v>
      </c>
      <c r="AJ348" s="102">
        <v>0.6267128027681661</v>
      </c>
      <c r="AK348" s="102">
        <v>0</v>
      </c>
      <c r="AL348" s="102">
        <v>2.0890426758938867</v>
      </c>
      <c r="AM348" s="102">
        <v>0</v>
      </c>
      <c r="AN348" s="102">
        <v>0</v>
      </c>
      <c r="AO348" s="102">
        <v>1.4623298731257208</v>
      </c>
      <c r="AP348" s="102">
        <v>0</v>
      </c>
      <c r="AQ348" s="102">
        <v>0</v>
      </c>
      <c r="AR348" s="102">
        <v>0.41780853517877736</v>
      </c>
      <c r="AS348" s="102">
        <v>0.41780853517877736</v>
      </c>
      <c r="AT348" s="102">
        <v>1.4623298731257208</v>
      </c>
      <c r="AU348" s="102">
        <v>1.6712341407151095</v>
      </c>
      <c r="AV348" s="102">
        <v>0</v>
      </c>
      <c r="AW348" s="102">
        <v>1.4623298731257208</v>
      </c>
      <c r="AX348" s="102">
        <v>0.41780853517877736</v>
      </c>
      <c r="AY348" s="102">
        <v>0.41780853517877736</v>
      </c>
    </row>
    <row r="349" spans="1:51" s="103" customFormat="1">
      <c r="A349" s="103" t="s">
        <v>262</v>
      </c>
      <c r="B349" s="103">
        <v>2120</v>
      </c>
      <c r="C349" s="103">
        <v>2120</v>
      </c>
      <c r="D349" s="103">
        <v>2</v>
      </c>
      <c r="E349" s="103">
        <v>35789</v>
      </c>
      <c r="F349" s="103">
        <v>0</v>
      </c>
      <c r="G349" s="103">
        <v>540</v>
      </c>
      <c r="H349" s="103">
        <v>155</v>
      </c>
      <c r="I349" s="103">
        <v>320</v>
      </c>
      <c r="J349" s="103">
        <v>35.200000000000003</v>
      </c>
      <c r="K349" s="103">
        <v>4.5999999999999996</v>
      </c>
      <c r="L349" s="103">
        <v>50.8</v>
      </c>
      <c r="M349" s="103">
        <v>39.5</v>
      </c>
      <c r="N349" s="103">
        <v>22.2</v>
      </c>
      <c r="O349" s="103">
        <v>185</v>
      </c>
      <c r="P349" s="103">
        <v>125</v>
      </c>
      <c r="Q349" s="103">
        <v>135</v>
      </c>
      <c r="R349" s="103">
        <v>110</v>
      </c>
      <c r="T349" s="103" t="str">
        <f t="shared" si="5"/>
        <v>Sagkeeng First Nation</v>
      </c>
      <c r="W349">
        <v>18100</v>
      </c>
      <c r="X349">
        <v>17207</v>
      </c>
      <c r="Y349">
        <v>19138</v>
      </c>
      <c r="Z349">
        <v>7296</v>
      </c>
      <c r="AA349">
        <v>11192</v>
      </c>
      <c r="AB349" s="103">
        <v>790</v>
      </c>
      <c r="AC349" s="103">
        <v>1245</v>
      </c>
      <c r="AD349" s="103">
        <v>345</v>
      </c>
      <c r="AE349" s="103">
        <v>90</v>
      </c>
      <c r="AF349" s="102">
        <v>1.1280830449826988</v>
      </c>
      <c r="AG349" s="102">
        <v>0.37602768166089967</v>
      </c>
      <c r="AH349" s="102">
        <v>0</v>
      </c>
      <c r="AI349" s="102">
        <v>1.0027404844290657</v>
      </c>
      <c r="AJ349" s="102">
        <v>0.25068512110726643</v>
      </c>
      <c r="AK349" s="102">
        <v>0.25068512110726643</v>
      </c>
      <c r="AL349" s="102">
        <v>1.0027404844290657</v>
      </c>
      <c r="AM349" s="102">
        <v>0.6267128027681661</v>
      </c>
      <c r="AN349" s="102">
        <v>0.25068512110726643</v>
      </c>
      <c r="AO349" s="102">
        <v>0</v>
      </c>
      <c r="AP349" s="102">
        <v>0</v>
      </c>
      <c r="AQ349" s="102">
        <v>0.25068512110726643</v>
      </c>
      <c r="AR349" s="102">
        <v>0</v>
      </c>
      <c r="AS349" s="102">
        <v>0.25068512110726643</v>
      </c>
      <c r="AT349" s="102">
        <v>2.3815086505190313</v>
      </c>
      <c r="AU349" s="102">
        <v>3.7602768166089962</v>
      </c>
      <c r="AV349" s="102">
        <v>0.6267128027681661</v>
      </c>
      <c r="AW349" s="102">
        <v>0.87739792387543247</v>
      </c>
      <c r="AX349" s="102">
        <v>0.6267128027681661</v>
      </c>
      <c r="AY349" s="102">
        <v>1.6294532871972318</v>
      </c>
    </row>
    <row r="350" spans="1:51" s="103" customFormat="1">
      <c r="A350" s="105" t="s">
        <v>263</v>
      </c>
      <c r="B350" s="103">
        <v>5</v>
      </c>
      <c r="T350" s="103">
        <f t="shared" si="5"/>
        <v>0</v>
      </c>
      <c r="W350"/>
      <c r="X350"/>
      <c r="Y350"/>
      <c r="Z350"/>
      <c r="AA350"/>
      <c r="AB350" s="103">
        <v>0</v>
      </c>
      <c r="AC350" s="103">
        <v>0</v>
      </c>
      <c r="AD350" s="103">
        <v>0</v>
      </c>
      <c r="AE350" s="103">
        <v>0</v>
      </c>
      <c r="AF350" s="102" t="e">
        <v>#N/A</v>
      </c>
      <c r="AG350" s="102" t="e">
        <v>#N/A</v>
      </c>
      <c r="AH350" s="102" t="e">
        <v>#N/A</v>
      </c>
      <c r="AI350" s="102" t="e">
        <v>#N/A</v>
      </c>
      <c r="AJ350" s="102" t="e">
        <v>#N/A</v>
      </c>
      <c r="AK350" s="102" t="e">
        <v>#N/A</v>
      </c>
      <c r="AL350" s="102" t="e">
        <v>#N/A</v>
      </c>
      <c r="AM350" s="102" t="e">
        <v>#N/A</v>
      </c>
      <c r="AN350" s="102" t="e">
        <v>#N/A</v>
      </c>
      <c r="AO350" s="102" t="e">
        <v>#N/A</v>
      </c>
      <c r="AP350" s="102" t="e">
        <v>#N/A</v>
      </c>
      <c r="AQ350" s="102" t="e">
        <v>#N/A</v>
      </c>
      <c r="AR350" s="102" t="e">
        <v>#N/A</v>
      </c>
      <c r="AS350" s="102" t="e">
        <v>#N/A</v>
      </c>
      <c r="AT350" s="102" t="e">
        <v>#N/A</v>
      </c>
      <c r="AU350" s="102" t="e">
        <v>#N/A</v>
      </c>
      <c r="AV350" s="102" t="e">
        <v>#N/A</v>
      </c>
      <c r="AW350" s="102" t="e">
        <v>#N/A</v>
      </c>
      <c r="AX350" s="102" t="e">
        <v>#N/A</v>
      </c>
      <c r="AY350" s="102" t="e">
        <v>#N/A</v>
      </c>
    </row>
    <row r="351" spans="1:51" s="103" customFormat="1">
      <c r="A351" s="103" t="s">
        <v>264</v>
      </c>
      <c r="B351" s="103">
        <v>2515</v>
      </c>
      <c r="C351" s="103">
        <v>2515</v>
      </c>
      <c r="D351" s="103">
        <v>2.4</v>
      </c>
      <c r="E351" s="103">
        <v>29791</v>
      </c>
      <c r="F351" s="103">
        <v>0</v>
      </c>
      <c r="G351" s="103">
        <v>505</v>
      </c>
      <c r="H351" s="103">
        <v>130</v>
      </c>
      <c r="I351" s="103">
        <v>335</v>
      </c>
      <c r="J351" s="103">
        <v>12.9</v>
      </c>
      <c r="K351" s="103">
        <v>5</v>
      </c>
      <c r="L351" s="103">
        <v>24.7</v>
      </c>
      <c r="M351" s="103">
        <v>18.399999999999999</v>
      </c>
      <c r="N351" s="103">
        <v>27</v>
      </c>
      <c r="O351" s="103">
        <v>140</v>
      </c>
      <c r="P351" s="103">
        <v>65</v>
      </c>
      <c r="Q351" s="103">
        <v>75</v>
      </c>
      <c r="R351" s="103">
        <v>45</v>
      </c>
      <c r="T351" s="103" t="str">
        <f t="shared" si="5"/>
        <v>Sandy Bay First Nation</v>
      </c>
      <c r="W351">
        <v>13478</v>
      </c>
      <c r="X351">
        <v>11908</v>
      </c>
      <c r="Y351">
        <v>15528</v>
      </c>
      <c r="Z351">
        <v>3112</v>
      </c>
      <c r="AA351">
        <v>7216</v>
      </c>
      <c r="AB351" s="103">
        <v>1010</v>
      </c>
      <c r="AC351" s="103">
        <v>1450</v>
      </c>
      <c r="AD351" s="103">
        <v>280</v>
      </c>
      <c r="AE351" s="103">
        <v>45</v>
      </c>
      <c r="AF351" s="102">
        <v>1.1433274104554383</v>
      </c>
      <c r="AG351" s="102">
        <v>0</v>
      </c>
      <c r="AH351" s="102">
        <v>0.45733096418217528</v>
      </c>
      <c r="AI351" s="102">
        <v>0.91466192836435056</v>
      </c>
      <c r="AJ351" s="102">
        <v>0.45733096418217528</v>
      </c>
      <c r="AK351" s="102">
        <v>0</v>
      </c>
      <c r="AL351" s="102">
        <v>0.91466192836435056</v>
      </c>
      <c r="AM351" s="102">
        <v>0.45733096418217528</v>
      </c>
      <c r="AN351" s="102">
        <v>0</v>
      </c>
      <c r="AO351" s="102">
        <v>0</v>
      </c>
      <c r="AP351" s="102">
        <v>0.45733096418217528</v>
      </c>
      <c r="AQ351" s="102">
        <v>0</v>
      </c>
      <c r="AR351" s="102">
        <v>0</v>
      </c>
      <c r="AS351" s="102">
        <v>0.45733096418217528</v>
      </c>
      <c r="AT351" s="102">
        <v>3.8873131955484901</v>
      </c>
      <c r="AU351" s="102">
        <v>2.515320303001964</v>
      </c>
      <c r="AV351" s="102">
        <v>0.45733096418217528</v>
      </c>
      <c r="AW351" s="102">
        <v>0.45733096418217528</v>
      </c>
      <c r="AX351" s="102">
        <v>0.45733096418217528</v>
      </c>
      <c r="AY351" s="102">
        <v>2.515320303001964</v>
      </c>
    </row>
    <row r="352" spans="1:51" s="103" customFormat="1">
      <c r="A352" s="103" t="s">
        <v>265</v>
      </c>
      <c r="B352" s="103">
        <v>600</v>
      </c>
      <c r="C352" s="103">
        <v>605</v>
      </c>
      <c r="D352" s="103">
        <v>2.2999999999999998</v>
      </c>
      <c r="E352" s="103">
        <v>31603</v>
      </c>
      <c r="F352" s="103">
        <v>0</v>
      </c>
      <c r="G352" s="103">
        <v>190</v>
      </c>
      <c r="H352" s="103">
        <v>60</v>
      </c>
      <c r="I352" s="103">
        <v>80</v>
      </c>
      <c r="J352" s="103">
        <v>0</v>
      </c>
      <c r="K352" s="103">
        <v>7.9</v>
      </c>
      <c r="L352" s="103">
        <v>45.7</v>
      </c>
      <c r="M352" s="103">
        <v>25.7</v>
      </c>
      <c r="N352" s="103">
        <v>43.8</v>
      </c>
      <c r="O352" s="103">
        <v>70</v>
      </c>
      <c r="P352" s="103">
        <v>20</v>
      </c>
      <c r="Q352" s="103">
        <v>10</v>
      </c>
      <c r="R352" s="103">
        <v>25</v>
      </c>
      <c r="T352" s="103" t="str">
        <f t="shared" si="5"/>
        <v>Sapotaweyak Cree Nation</v>
      </c>
      <c r="W352">
        <v>23040</v>
      </c>
      <c r="X352">
        <v>22671</v>
      </c>
      <c r="Y352">
        <v>23364</v>
      </c>
      <c r="Z352">
        <v>8012</v>
      </c>
      <c r="AA352">
        <v>14352</v>
      </c>
      <c r="AB352" s="103">
        <v>250</v>
      </c>
      <c r="AC352" s="103">
        <v>340</v>
      </c>
      <c r="AD352" s="103">
        <v>100</v>
      </c>
      <c r="AE352" s="103">
        <v>30</v>
      </c>
      <c r="AF352" s="102">
        <v>0</v>
      </c>
      <c r="AG352" s="102">
        <v>0</v>
      </c>
      <c r="AH352" s="102">
        <v>0</v>
      </c>
      <c r="AI352" s="102">
        <v>1.0575778546712802</v>
      </c>
      <c r="AJ352" s="102">
        <v>0</v>
      </c>
      <c r="AK352" s="102">
        <v>0</v>
      </c>
      <c r="AL352" s="102">
        <v>1.0575778546712802</v>
      </c>
      <c r="AM352" s="102">
        <v>1.0575778546712802</v>
      </c>
      <c r="AN352" s="102">
        <v>0</v>
      </c>
      <c r="AO352" s="102">
        <v>0</v>
      </c>
      <c r="AP352" s="102">
        <v>0</v>
      </c>
      <c r="AQ352" s="102">
        <v>0</v>
      </c>
      <c r="AR352" s="102">
        <v>0</v>
      </c>
      <c r="AS352" s="102">
        <v>0</v>
      </c>
      <c r="AT352" s="102">
        <v>2.1151557093425604</v>
      </c>
      <c r="AU352" s="102">
        <v>1.5863667820069205</v>
      </c>
      <c r="AV352" s="102">
        <v>0</v>
      </c>
      <c r="AW352" s="102">
        <v>0</v>
      </c>
      <c r="AX352" s="102">
        <v>0</v>
      </c>
      <c r="AY352" s="102">
        <v>2.6439446366782007</v>
      </c>
    </row>
    <row r="353" spans="1:51" s="103" customFormat="1">
      <c r="A353" s="103" t="s">
        <v>665</v>
      </c>
      <c r="B353" s="103">
        <v>595</v>
      </c>
      <c r="C353" s="103">
        <v>590</v>
      </c>
      <c r="D353" s="103">
        <v>1.2</v>
      </c>
      <c r="E353" s="103">
        <v>47289</v>
      </c>
      <c r="F353" s="103">
        <v>8.8000000000000007</v>
      </c>
      <c r="G353" s="103">
        <v>220</v>
      </c>
      <c r="H353" s="103">
        <v>90</v>
      </c>
      <c r="I353" s="103">
        <v>10</v>
      </c>
      <c r="J353" s="103">
        <v>95.5</v>
      </c>
      <c r="K353" s="103">
        <v>4.5</v>
      </c>
      <c r="L353" s="103">
        <v>86.7</v>
      </c>
      <c r="M353" s="103">
        <v>85.7</v>
      </c>
      <c r="N353" s="103">
        <v>0</v>
      </c>
      <c r="O353" s="103">
        <v>130</v>
      </c>
      <c r="P353" s="103">
        <v>45</v>
      </c>
      <c r="Q353" s="103">
        <v>115</v>
      </c>
      <c r="R353" s="103">
        <v>55</v>
      </c>
      <c r="T353" s="103">
        <f t="shared" si="5"/>
        <v>0</v>
      </c>
      <c r="W353">
        <v>15125</v>
      </c>
      <c r="X353">
        <v>14588</v>
      </c>
      <c r="Y353">
        <v>15799</v>
      </c>
      <c r="Z353">
        <v>12853</v>
      </c>
      <c r="AA353">
        <v>19628</v>
      </c>
      <c r="AB353" s="103">
        <v>100</v>
      </c>
      <c r="AC353" s="103">
        <v>420</v>
      </c>
      <c r="AD353" s="103">
        <v>190</v>
      </c>
      <c r="AE353" s="103">
        <v>55</v>
      </c>
      <c r="AF353" s="102">
        <v>7.3657187054752695</v>
      </c>
      <c r="AG353" s="102">
        <v>0</v>
      </c>
      <c r="AH353" s="102">
        <v>0.59722043557907589</v>
      </c>
      <c r="AI353" s="102">
        <v>1.3935143496845104</v>
      </c>
      <c r="AJ353" s="102">
        <v>0.3981469570527173</v>
      </c>
      <c r="AK353" s="102">
        <v>0.3981469570527173</v>
      </c>
      <c r="AL353" s="102">
        <v>1.7916613067372278</v>
      </c>
      <c r="AM353" s="102">
        <v>0.3981469570527173</v>
      </c>
      <c r="AN353" s="102">
        <v>0</v>
      </c>
      <c r="AO353" s="102">
        <v>0</v>
      </c>
      <c r="AP353" s="102">
        <v>0</v>
      </c>
      <c r="AQ353" s="102">
        <v>0.59722043557907589</v>
      </c>
      <c r="AR353" s="102">
        <v>0</v>
      </c>
      <c r="AS353" s="102">
        <v>0</v>
      </c>
      <c r="AT353" s="102">
        <v>1.7916613067372278</v>
      </c>
      <c r="AU353" s="102">
        <v>0.99536739263179319</v>
      </c>
      <c r="AV353" s="102">
        <v>0</v>
      </c>
      <c r="AW353" s="102">
        <v>0.59722043557907589</v>
      </c>
      <c r="AX353" s="102">
        <v>0.3981469570527173</v>
      </c>
      <c r="AY353" s="102">
        <v>0.3981469570527173</v>
      </c>
    </row>
    <row r="354" spans="1:51" s="103" customFormat="1">
      <c r="A354" s="103" t="s">
        <v>441</v>
      </c>
      <c r="B354" s="103">
        <v>9010</v>
      </c>
      <c r="C354" s="103">
        <v>8970</v>
      </c>
      <c r="D354" s="103">
        <v>1.1000000000000001</v>
      </c>
      <c r="E354" s="103">
        <v>66402</v>
      </c>
      <c r="F354" s="103">
        <v>12.2</v>
      </c>
      <c r="G354" s="103">
        <v>3835</v>
      </c>
      <c r="H354" s="103">
        <v>1085</v>
      </c>
      <c r="I354" s="103">
        <v>435</v>
      </c>
      <c r="J354" s="103">
        <v>65.599999999999994</v>
      </c>
      <c r="K354" s="103">
        <v>34.4</v>
      </c>
      <c r="L354" s="103">
        <v>63.4</v>
      </c>
      <c r="M354" s="103">
        <v>59.1</v>
      </c>
      <c r="N354" s="103">
        <v>6.7</v>
      </c>
      <c r="O354" s="103">
        <v>1845</v>
      </c>
      <c r="P354" s="103">
        <v>960</v>
      </c>
      <c r="Q354" s="103">
        <v>1295</v>
      </c>
      <c r="R354" s="103">
        <v>775</v>
      </c>
      <c r="T354" s="103">
        <f t="shared" si="5"/>
        <v>0</v>
      </c>
      <c r="W354">
        <v>29041</v>
      </c>
      <c r="X354">
        <v>35635</v>
      </c>
      <c r="Y354">
        <v>22509</v>
      </c>
      <c r="Z354">
        <v>29758</v>
      </c>
      <c r="AA354">
        <v>20405</v>
      </c>
      <c r="AB354" s="103">
        <v>1700</v>
      </c>
      <c r="AC354" s="103">
        <v>5745</v>
      </c>
      <c r="AD354" s="103">
        <v>2395</v>
      </c>
      <c r="AE354" s="103">
        <v>1550</v>
      </c>
      <c r="AF354" s="102">
        <v>0.27351151413912422</v>
      </c>
      <c r="AG354" s="102">
        <v>0</v>
      </c>
      <c r="AH354" s="102">
        <v>0.23704331225390765</v>
      </c>
      <c r="AI354" s="102">
        <v>0.69289583581911462</v>
      </c>
      <c r="AJ354" s="102">
        <v>1.8598782961460445</v>
      </c>
      <c r="AK354" s="102">
        <v>0.63819353299128978</v>
      </c>
      <c r="AL354" s="102">
        <v>1.6957713876625702</v>
      </c>
      <c r="AM354" s="102">
        <v>0.74759813864693947</v>
      </c>
      <c r="AN354" s="102">
        <v>0.38291611979477391</v>
      </c>
      <c r="AO354" s="102">
        <v>0.56525712922085669</v>
      </c>
      <c r="AP354" s="102">
        <v>0.16410690848347453</v>
      </c>
      <c r="AQ354" s="102">
        <v>0.455852523565207</v>
      </c>
      <c r="AR354" s="102">
        <v>3.6468201885216558E-2</v>
      </c>
      <c r="AS354" s="102">
        <v>0.41938432167999046</v>
      </c>
      <c r="AT354" s="102">
        <v>1.1669824603269299</v>
      </c>
      <c r="AU354" s="102">
        <v>3.4644791790955733</v>
      </c>
      <c r="AV354" s="102">
        <v>0.29174561508173247</v>
      </c>
      <c r="AW354" s="102">
        <v>1.422259873523446</v>
      </c>
      <c r="AX354" s="102">
        <v>0.83876864335998091</v>
      </c>
      <c r="AY354" s="102">
        <v>1.2034506622121466</v>
      </c>
    </row>
    <row r="355" spans="1:51" s="103" customFormat="1">
      <c r="A355" s="105" t="s">
        <v>267</v>
      </c>
      <c r="B355" s="103">
        <v>132</v>
      </c>
      <c r="T355" s="103">
        <f t="shared" si="5"/>
        <v>0</v>
      </c>
      <c r="W355"/>
      <c r="X355"/>
      <c r="Y355"/>
      <c r="Z355"/>
      <c r="AA355"/>
      <c r="AB355" s="103">
        <v>0</v>
      </c>
      <c r="AC355" s="103">
        <v>0</v>
      </c>
      <c r="AD355" s="103">
        <v>0</v>
      </c>
      <c r="AE355" s="103">
        <v>0</v>
      </c>
      <c r="AF355" s="102" t="e">
        <v>#N/A</v>
      </c>
      <c r="AG355" s="102" t="e">
        <v>#N/A</v>
      </c>
      <c r="AH355" s="102" t="e">
        <v>#N/A</v>
      </c>
      <c r="AI355" s="102" t="e">
        <v>#N/A</v>
      </c>
      <c r="AJ355" s="102" t="e">
        <v>#N/A</v>
      </c>
      <c r="AK355" s="102" t="e">
        <v>#N/A</v>
      </c>
      <c r="AL355" s="102" t="e">
        <v>#N/A</v>
      </c>
      <c r="AM355" s="102" t="e">
        <v>#N/A</v>
      </c>
      <c r="AN355" s="102" t="e">
        <v>#N/A</v>
      </c>
      <c r="AO355" s="102" t="e">
        <v>#N/A</v>
      </c>
      <c r="AP355" s="102" t="e">
        <v>#N/A</v>
      </c>
      <c r="AQ355" s="102" t="e">
        <v>#N/A</v>
      </c>
      <c r="AR355" s="102" t="e">
        <v>#N/A</v>
      </c>
      <c r="AS355" s="102" t="e">
        <v>#N/A</v>
      </c>
      <c r="AT355" s="102" t="e">
        <v>#N/A</v>
      </c>
      <c r="AU355" s="102" t="e">
        <v>#N/A</v>
      </c>
      <c r="AV355" s="102" t="e">
        <v>#N/A</v>
      </c>
      <c r="AW355" s="102" t="e">
        <v>#N/A</v>
      </c>
      <c r="AX355" s="102" t="e">
        <v>#N/A</v>
      </c>
      <c r="AY355" s="102" t="e">
        <v>#N/A</v>
      </c>
    </row>
    <row r="356" spans="1:51" s="103" customFormat="1">
      <c r="A356" s="103" t="s">
        <v>268</v>
      </c>
      <c r="B356" s="103">
        <v>920</v>
      </c>
      <c r="C356" s="103">
        <v>920</v>
      </c>
      <c r="D356" s="103">
        <v>2.8</v>
      </c>
      <c r="E356" s="103">
        <v>41544</v>
      </c>
      <c r="F356" s="103">
        <v>0</v>
      </c>
      <c r="G356" s="103">
        <v>155</v>
      </c>
      <c r="H356" s="103">
        <v>35</v>
      </c>
      <c r="I356" s="103">
        <v>95</v>
      </c>
      <c r="J356" s="103">
        <v>6.5</v>
      </c>
      <c r="K356" s="103">
        <v>0</v>
      </c>
      <c r="L356" s="103">
        <v>46.5</v>
      </c>
      <c r="M356" s="103">
        <v>32.700000000000003</v>
      </c>
      <c r="N356" s="103">
        <v>27.7</v>
      </c>
      <c r="O356" s="103">
        <v>20</v>
      </c>
      <c r="P356" s="103">
        <v>15</v>
      </c>
      <c r="Q356" s="103">
        <v>10</v>
      </c>
      <c r="R356" s="103">
        <v>10</v>
      </c>
      <c r="T356" s="103" t="str">
        <f t="shared" si="5"/>
        <v>Shamattawa First Nation</v>
      </c>
      <c r="W356">
        <v>15517</v>
      </c>
      <c r="X356">
        <v>15816</v>
      </c>
      <c r="Y356">
        <v>15198</v>
      </c>
      <c r="Z356">
        <v>6768</v>
      </c>
      <c r="AA356">
        <v>13552</v>
      </c>
      <c r="AB356" s="103">
        <v>415</v>
      </c>
      <c r="AC356" s="103">
        <v>480</v>
      </c>
      <c r="AD356" s="103">
        <v>95</v>
      </c>
      <c r="AE356" s="103">
        <v>20</v>
      </c>
      <c r="AF356" s="102">
        <v>0.72005300743576528</v>
      </c>
      <c r="AG356" s="102">
        <v>0</v>
      </c>
      <c r="AH356" s="102">
        <v>0</v>
      </c>
      <c r="AI356" s="102">
        <v>0.72005300743576528</v>
      </c>
      <c r="AJ356" s="102">
        <v>0</v>
      </c>
      <c r="AK356" s="102">
        <v>0</v>
      </c>
      <c r="AL356" s="102">
        <v>1.0800795111536479</v>
      </c>
      <c r="AM356" s="102">
        <v>0</v>
      </c>
      <c r="AN356" s="102">
        <v>0</v>
      </c>
      <c r="AO356" s="102">
        <v>0</v>
      </c>
      <c r="AP356" s="102">
        <v>0</v>
      </c>
      <c r="AQ356" s="102">
        <v>0</v>
      </c>
      <c r="AR356" s="102">
        <v>0</v>
      </c>
      <c r="AS356" s="102">
        <v>0.72005300743576528</v>
      </c>
      <c r="AT356" s="102">
        <v>2.8802120297430611</v>
      </c>
      <c r="AU356" s="102">
        <v>2.8802120297430611</v>
      </c>
      <c r="AV356" s="102">
        <v>0</v>
      </c>
      <c r="AW356" s="102">
        <v>0</v>
      </c>
      <c r="AX356" s="102">
        <v>0</v>
      </c>
      <c r="AY356" s="102">
        <v>4.6803445483324744</v>
      </c>
    </row>
    <row r="357" spans="1:51">
      <c r="A357" s="102" t="s">
        <v>679</v>
      </c>
      <c r="B357" s="102">
        <v>930</v>
      </c>
      <c r="C357" s="102">
        <v>930</v>
      </c>
      <c r="D357" s="102">
        <v>0.8</v>
      </c>
      <c r="E357" s="102">
        <v>52343</v>
      </c>
      <c r="F357" s="102">
        <v>11.3</v>
      </c>
      <c r="G357" s="102">
        <v>360</v>
      </c>
      <c r="H357" s="102">
        <v>130</v>
      </c>
      <c r="I357" s="102">
        <v>65</v>
      </c>
      <c r="J357" s="102">
        <v>90.3</v>
      </c>
      <c r="K357" s="102">
        <v>9.6999999999999993</v>
      </c>
      <c r="L357" s="102">
        <v>76.099999999999994</v>
      </c>
      <c r="M357" s="102">
        <v>73.599999999999994</v>
      </c>
      <c r="N357" s="102">
        <v>2.4</v>
      </c>
      <c r="O357" s="102">
        <v>240</v>
      </c>
      <c r="P357" s="102">
        <v>50</v>
      </c>
      <c r="Q357" s="102">
        <v>145</v>
      </c>
      <c r="R357" s="102">
        <v>35</v>
      </c>
      <c r="T357" s="102">
        <f t="shared" si="5"/>
        <v>0</v>
      </c>
      <c r="W357">
        <v>21040</v>
      </c>
      <c r="X357">
        <v>22824</v>
      </c>
      <c r="Y357">
        <v>18470</v>
      </c>
      <c r="Z357">
        <v>18293</v>
      </c>
      <c r="AA357">
        <v>12972</v>
      </c>
      <c r="AB357" s="102">
        <v>120</v>
      </c>
      <c r="AC357" s="102">
        <v>655</v>
      </c>
      <c r="AD357" s="102">
        <v>350</v>
      </c>
      <c r="AE357" s="102">
        <v>150</v>
      </c>
      <c r="AF357" s="102">
        <v>7.2324679093648845</v>
      </c>
      <c r="AG357" s="102">
        <v>0.81876995200357183</v>
      </c>
      <c r="AH357" s="102">
        <v>0</v>
      </c>
      <c r="AI357" s="102">
        <v>0.81876995200357183</v>
      </c>
      <c r="AJ357" s="102">
        <v>0.54584663466904793</v>
      </c>
      <c r="AK357" s="102">
        <v>0.27292331733452396</v>
      </c>
      <c r="AL357" s="102">
        <v>1.7740015626744057</v>
      </c>
      <c r="AM357" s="102">
        <v>0.81876995200357183</v>
      </c>
      <c r="AN357" s="102">
        <v>0</v>
      </c>
      <c r="AO357" s="102">
        <v>0</v>
      </c>
      <c r="AP357" s="102">
        <v>0</v>
      </c>
      <c r="AQ357" s="102">
        <v>0.54584663466904793</v>
      </c>
      <c r="AR357" s="102">
        <v>0</v>
      </c>
      <c r="AS357" s="102">
        <v>0.54584663466904793</v>
      </c>
      <c r="AT357" s="102">
        <v>0.81876995200357183</v>
      </c>
      <c r="AU357" s="102">
        <v>1.2281549280053579</v>
      </c>
      <c r="AV357" s="102">
        <v>0.27292331733452396</v>
      </c>
      <c r="AW357" s="102">
        <v>0.27292331733452396</v>
      </c>
      <c r="AX357" s="102">
        <v>0.81876995200357183</v>
      </c>
      <c r="AY357" s="102">
        <v>0</v>
      </c>
    </row>
    <row r="358" spans="1:51">
      <c r="A358" s="102" t="s">
        <v>847</v>
      </c>
      <c r="B358" s="102">
        <v>905</v>
      </c>
      <c r="C358" s="102">
        <v>905</v>
      </c>
      <c r="D358" s="102">
        <v>0.9</v>
      </c>
      <c r="E358" s="102">
        <v>48581</v>
      </c>
      <c r="F358" s="102">
        <v>9.1</v>
      </c>
      <c r="G358" s="102">
        <v>380</v>
      </c>
      <c r="H358" s="102">
        <v>130</v>
      </c>
      <c r="I358" s="102">
        <v>45</v>
      </c>
      <c r="J358" s="102">
        <v>94.7</v>
      </c>
      <c r="K358" s="102">
        <v>5.3</v>
      </c>
      <c r="L358" s="102">
        <v>66.2</v>
      </c>
      <c r="M358" s="102">
        <v>63.4</v>
      </c>
      <c r="N358" s="102">
        <v>4.2</v>
      </c>
      <c r="O358" s="102">
        <v>140</v>
      </c>
      <c r="P358" s="102">
        <v>100</v>
      </c>
      <c r="Q358" s="102">
        <v>105</v>
      </c>
      <c r="R358" s="102">
        <v>70</v>
      </c>
      <c r="T358" s="102">
        <f t="shared" si="5"/>
        <v>0</v>
      </c>
      <c r="W358">
        <v>19044</v>
      </c>
      <c r="X358">
        <v>17612</v>
      </c>
      <c r="Y358">
        <v>20801</v>
      </c>
      <c r="Z358">
        <v>16571</v>
      </c>
      <c r="AA358">
        <v>15281</v>
      </c>
      <c r="AB358" s="102">
        <v>180</v>
      </c>
      <c r="AC358" s="102">
        <v>565</v>
      </c>
      <c r="AD358" s="102">
        <v>295</v>
      </c>
      <c r="AE358" s="102">
        <v>135</v>
      </c>
      <c r="AF358" s="102" t="e">
        <v>#N/A</v>
      </c>
      <c r="AG358" s="102" t="e">
        <v>#N/A</v>
      </c>
      <c r="AH358" s="102" t="e">
        <v>#N/A</v>
      </c>
      <c r="AI358" s="102" t="e">
        <v>#N/A</v>
      </c>
      <c r="AJ358" s="102" t="e">
        <v>#N/A</v>
      </c>
      <c r="AK358" s="102" t="e">
        <v>#N/A</v>
      </c>
      <c r="AL358" s="102" t="e">
        <v>#N/A</v>
      </c>
      <c r="AM358" s="102" t="e">
        <v>#N/A</v>
      </c>
      <c r="AN358" s="102" t="e">
        <v>#N/A</v>
      </c>
      <c r="AO358" s="102" t="e">
        <v>#N/A</v>
      </c>
      <c r="AP358" s="102" t="e">
        <v>#N/A</v>
      </c>
      <c r="AQ358" s="102" t="e">
        <v>#N/A</v>
      </c>
      <c r="AR358" s="102" t="e">
        <v>#N/A</v>
      </c>
      <c r="AS358" s="102" t="e">
        <v>#N/A</v>
      </c>
      <c r="AT358" s="102" t="e">
        <v>#N/A</v>
      </c>
      <c r="AU358" s="102" t="e">
        <v>#N/A</v>
      </c>
      <c r="AV358" s="102" t="e">
        <v>#N/A</v>
      </c>
      <c r="AW358" s="102" t="e">
        <v>#N/A</v>
      </c>
      <c r="AX358" s="102" t="e">
        <v>#N/A</v>
      </c>
      <c r="AY358" s="102" t="e">
        <v>#N/A</v>
      </c>
    </row>
    <row r="359" spans="1:51" s="103" customFormat="1">
      <c r="A359" s="105" t="s">
        <v>444</v>
      </c>
      <c r="B359" s="103">
        <v>98</v>
      </c>
      <c r="T359" s="103">
        <f t="shared" si="5"/>
        <v>0</v>
      </c>
      <c r="W359"/>
      <c r="X359"/>
      <c r="Y359"/>
      <c r="Z359"/>
      <c r="AA359"/>
      <c r="AB359" s="103">
        <v>0</v>
      </c>
      <c r="AC359" s="103">
        <v>0</v>
      </c>
      <c r="AD359" s="103">
        <v>0</v>
      </c>
      <c r="AE359" s="103">
        <v>0</v>
      </c>
      <c r="AF359" s="102" t="e">
        <v>#N/A</v>
      </c>
      <c r="AG359" s="102" t="e">
        <v>#N/A</v>
      </c>
      <c r="AH359" s="102" t="e">
        <v>#N/A</v>
      </c>
      <c r="AI359" s="102" t="e">
        <v>#N/A</v>
      </c>
      <c r="AJ359" s="102" t="e">
        <v>#N/A</v>
      </c>
      <c r="AK359" s="102" t="e">
        <v>#N/A</v>
      </c>
      <c r="AL359" s="102" t="e">
        <v>#N/A</v>
      </c>
      <c r="AM359" s="102" t="e">
        <v>#N/A</v>
      </c>
      <c r="AN359" s="102" t="e">
        <v>#N/A</v>
      </c>
      <c r="AO359" s="102" t="e">
        <v>#N/A</v>
      </c>
      <c r="AP359" s="102" t="e">
        <v>#N/A</v>
      </c>
      <c r="AQ359" s="102" t="e">
        <v>#N/A</v>
      </c>
      <c r="AR359" s="102" t="e">
        <v>#N/A</v>
      </c>
      <c r="AS359" s="102" t="e">
        <v>#N/A</v>
      </c>
      <c r="AT359" s="102" t="e">
        <v>#N/A</v>
      </c>
      <c r="AU359" s="102" t="e">
        <v>#N/A</v>
      </c>
      <c r="AV359" s="102" t="e">
        <v>#N/A</v>
      </c>
      <c r="AW359" s="102" t="e">
        <v>#N/A</v>
      </c>
      <c r="AX359" s="102" t="e">
        <v>#N/A</v>
      </c>
      <c r="AY359" s="102" t="e">
        <v>#N/A</v>
      </c>
    </row>
    <row r="360" spans="1:51">
      <c r="A360" s="102" t="s">
        <v>446</v>
      </c>
      <c r="B360" s="102">
        <v>630</v>
      </c>
      <c r="C360" s="102">
        <v>630</v>
      </c>
      <c r="D360" s="102">
        <v>0.8</v>
      </c>
      <c r="E360" s="102">
        <v>47627</v>
      </c>
      <c r="F360" s="102">
        <v>5.6</v>
      </c>
      <c r="G360" s="102">
        <v>325</v>
      </c>
      <c r="H360" s="102">
        <v>125</v>
      </c>
      <c r="I360" s="102">
        <v>10</v>
      </c>
      <c r="J360" s="102">
        <v>75.400000000000006</v>
      </c>
      <c r="K360" s="102">
        <v>23.1</v>
      </c>
      <c r="L360" s="102">
        <v>56.8</v>
      </c>
      <c r="M360" s="102">
        <v>55</v>
      </c>
      <c r="N360" s="102">
        <v>4.8</v>
      </c>
      <c r="O360" s="102">
        <v>125</v>
      </c>
      <c r="P360" s="102">
        <v>55</v>
      </c>
      <c r="Q360" s="102">
        <v>85</v>
      </c>
      <c r="R360" s="102">
        <v>80</v>
      </c>
      <c r="T360" s="102">
        <f t="shared" si="5"/>
        <v>0</v>
      </c>
      <c r="W360">
        <v>18179</v>
      </c>
      <c r="X360">
        <v>25815</v>
      </c>
      <c r="Y360">
        <v>12230</v>
      </c>
      <c r="Z360">
        <v>25044</v>
      </c>
      <c r="AA360">
        <v>13945</v>
      </c>
      <c r="AB360" s="102">
        <v>95</v>
      </c>
      <c r="AC360" s="102">
        <v>345</v>
      </c>
      <c r="AD360" s="102">
        <v>170</v>
      </c>
      <c r="AE360" s="102">
        <v>195</v>
      </c>
      <c r="AF360" s="102">
        <v>2.148729609490855</v>
      </c>
      <c r="AG360" s="102">
        <v>0</v>
      </c>
      <c r="AH360" s="102">
        <v>1.0743648047454275</v>
      </c>
      <c r="AI360" s="102">
        <v>0.53718240237271375</v>
      </c>
      <c r="AJ360" s="102">
        <v>0</v>
      </c>
      <c r="AK360" s="102">
        <v>1.8801384083044981</v>
      </c>
      <c r="AL360" s="102">
        <v>2.148729609490855</v>
      </c>
      <c r="AM360" s="102">
        <v>1.3429560059317844</v>
      </c>
      <c r="AN360" s="102">
        <v>0</v>
      </c>
      <c r="AO360" s="102">
        <v>0.80577360355907068</v>
      </c>
      <c r="AP360" s="102">
        <v>0</v>
      </c>
      <c r="AQ360" s="102">
        <v>0</v>
      </c>
      <c r="AR360" s="102">
        <v>0</v>
      </c>
      <c r="AS360" s="102">
        <v>0</v>
      </c>
      <c r="AT360" s="102">
        <v>1.0743648047454275</v>
      </c>
      <c r="AU360" s="102">
        <v>1.8801384083044981</v>
      </c>
      <c r="AV360" s="102">
        <v>0</v>
      </c>
      <c r="AW360" s="102">
        <v>1.8801384083044981</v>
      </c>
      <c r="AX360" s="102">
        <v>0.53718240237271375</v>
      </c>
      <c r="AY360" s="102">
        <v>0.53718240237271375</v>
      </c>
    </row>
    <row r="361" spans="1:51" s="103" customFormat="1">
      <c r="A361" s="108" t="s">
        <v>783</v>
      </c>
      <c r="B361" s="103">
        <v>555</v>
      </c>
      <c r="C361" s="103">
        <v>555</v>
      </c>
      <c r="D361" s="103">
        <v>1</v>
      </c>
      <c r="E361" s="103">
        <v>57603</v>
      </c>
      <c r="F361" s="103">
        <v>10</v>
      </c>
      <c r="G361" s="103">
        <v>260</v>
      </c>
      <c r="H361" s="103">
        <v>105</v>
      </c>
      <c r="I361" s="103">
        <v>35</v>
      </c>
      <c r="J361" s="103">
        <v>98.1</v>
      </c>
      <c r="K361" s="103">
        <v>3.8</v>
      </c>
      <c r="L361" s="103">
        <v>69.5</v>
      </c>
      <c r="M361" s="103">
        <v>68.400000000000006</v>
      </c>
      <c r="N361" s="103">
        <v>0</v>
      </c>
      <c r="O361" s="103">
        <v>150</v>
      </c>
      <c r="P361" s="103">
        <v>25</v>
      </c>
      <c r="Q361" s="103">
        <v>80</v>
      </c>
      <c r="R361" s="103">
        <v>45</v>
      </c>
      <c r="T361" s="103">
        <f t="shared" si="5"/>
        <v>0</v>
      </c>
      <c r="W361">
        <v>22097</v>
      </c>
      <c r="X361">
        <v>24875</v>
      </c>
      <c r="Y361">
        <v>18543</v>
      </c>
      <c r="Z361">
        <v>21325</v>
      </c>
      <c r="AA361">
        <v>16399</v>
      </c>
      <c r="AB361" s="103">
        <v>75</v>
      </c>
      <c r="AC361" s="103">
        <v>345</v>
      </c>
      <c r="AD361" s="103">
        <v>150</v>
      </c>
      <c r="AE361" s="103">
        <v>135</v>
      </c>
      <c r="AF361" s="102">
        <v>4.8712676942434729</v>
      </c>
      <c r="AG361" s="102">
        <v>0.51276502044668137</v>
      </c>
      <c r="AH361" s="102">
        <v>0.51276502044668137</v>
      </c>
      <c r="AI361" s="102">
        <v>0</v>
      </c>
      <c r="AJ361" s="102">
        <v>0</v>
      </c>
      <c r="AK361" s="102">
        <v>1.2819125511167033</v>
      </c>
      <c r="AL361" s="102">
        <v>1.5382950613400441</v>
      </c>
      <c r="AM361" s="102">
        <v>0</v>
      </c>
      <c r="AN361" s="102">
        <v>0</v>
      </c>
      <c r="AO361" s="102">
        <v>1.2819125511167033</v>
      </c>
      <c r="AP361" s="102">
        <v>0</v>
      </c>
      <c r="AQ361" s="102">
        <v>0</v>
      </c>
      <c r="AR361" s="102">
        <v>0</v>
      </c>
      <c r="AS361" s="102">
        <v>0</v>
      </c>
      <c r="AT361" s="102">
        <v>0.51276502044668137</v>
      </c>
      <c r="AU361" s="102">
        <v>2.0510600817867255</v>
      </c>
      <c r="AV361" s="102">
        <v>0.76914753067002206</v>
      </c>
      <c r="AW361" s="102">
        <v>0.76914753067002206</v>
      </c>
      <c r="AX361" s="102">
        <v>0.51276502044668137</v>
      </c>
      <c r="AY361" s="102">
        <v>1.2819125511167033</v>
      </c>
    </row>
    <row r="362" spans="1:51">
      <c r="A362" s="102" t="s">
        <v>629</v>
      </c>
      <c r="B362" s="102">
        <v>795</v>
      </c>
      <c r="C362" s="102">
        <v>795</v>
      </c>
      <c r="D362" s="102">
        <v>0.9</v>
      </c>
      <c r="E362" s="102">
        <v>43622</v>
      </c>
      <c r="F362" s="102">
        <v>12.2</v>
      </c>
      <c r="G362" s="102">
        <v>330</v>
      </c>
      <c r="H362" s="102">
        <v>125</v>
      </c>
      <c r="I362" s="102">
        <v>35</v>
      </c>
      <c r="J362" s="102">
        <v>93.9</v>
      </c>
      <c r="K362" s="102">
        <v>6.1</v>
      </c>
      <c r="L362" s="102">
        <v>64.099999999999994</v>
      </c>
      <c r="M362" s="102">
        <v>60.3</v>
      </c>
      <c r="N362" s="102">
        <v>7.1</v>
      </c>
      <c r="O362" s="102">
        <v>240</v>
      </c>
      <c r="P362" s="102">
        <v>55</v>
      </c>
      <c r="Q362" s="102">
        <v>50</v>
      </c>
      <c r="R362" s="102">
        <v>65</v>
      </c>
      <c r="T362" s="102">
        <f t="shared" si="5"/>
        <v>0</v>
      </c>
      <c r="W362">
        <v>15623</v>
      </c>
      <c r="X362">
        <v>14853</v>
      </c>
      <c r="Y362">
        <v>16727</v>
      </c>
      <c r="Z362">
        <v>17325</v>
      </c>
      <c r="AA362">
        <v>16168</v>
      </c>
      <c r="AB362" s="102">
        <v>135</v>
      </c>
      <c r="AC362" s="102">
        <v>475</v>
      </c>
      <c r="AD362" s="102">
        <v>275</v>
      </c>
      <c r="AE362" s="102">
        <v>150</v>
      </c>
      <c r="AF362" s="102">
        <v>7.251962432031636</v>
      </c>
      <c r="AG362" s="102">
        <v>0.40288680177953534</v>
      </c>
      <c r="AH362" s="102">
        <v>0</v>
      </c>
      <c r="AI362" s="102">
        <v>0.80577360355907068</v>
      </c>
      <c r="AJ362" s="102">
        <v>0.40288680177953534</v>
      </c>
      <c r="AK362" s="102">
        <v>0.40288680177953534</v>
      </c>
      <c r="AL362" s="102">
        <v>1.4101038062283737</v>
      </c>
      <c r="AM362" s="102">
        <v>0.80577360355907068</v>
      </c>
      <c r="AN362" s="102">
        <v>0</v>
      </c>
      <c r="AO362" s="102">
        <v>0</v>
      </c>
      <c r="AP362" s="102">
        <v>0</v>
      </c>
      <c r="AQ362" s="102">
        <v>0.40288680177953534</v>
      </c>
      <c r="AR362" s="102">
        <v>0</v>
      </c>
      <c r="AS362" s="102">
        <v>0.40288680177953534</v>
      </c>
      <c r="AT362" s="102">
        <v>0.80577360355907068</v>
      </c>
      <c r="AU362" s="102">
        <v>1.0072170044488382</v>
      </c>
      <c r="AV362" s="102">
        <v>0</v>
      </c>
      <c r="AW362" s="102">
        <v>1.0072170044488382</v>
      </c>
      <c r="AX362" s="102">
        <v>0.60433020266930293</v>
      </c>
      <c r="AY362" s="102">
        <v>0.80577360355907068</v>
      </c>
    </row>
    <row r="363" spans="1:51">
      <c r="A363" s="102" t="s">
        <v>689</v>
      </c>
      <c r="B363" s="102">
        <v>1460</v>
      </c>
      <c r="C363" s="102">
        <v>1460</v>
      </c>
      <c r="D363" s="102">
        <v>1</v>
      </c>
      <c r="E363" s="102">
        <v>49849</v>
      </c>
      <c r="F363" s="102">
        <v>13.2</v>
      </c>
      <c r="G363" s="102">
        <v>630</v>
      </c>
      <c r="H363" s="102">
        <v>235</v>
      </c>
      <c r="I363" s="102">
        <v>105</v>
      </c>
      <c r="J363" s="102">
        <v>71.400000000000006</v>
      </c>
      <c r="K363" s="102">
        <v>29.4</v>
      </c>
      <c r="L363" s="102">
        <v>61.4</v>
      </c>
      <c r="M363" s="102">
        <v>57.5</v>
      </c>
      <c r="N363" s="102">
        <v>6.3</v>
      </c>
      <c r="O363" s="102">
        <v>260</v>
      </c>
      <c r="P363" s="102">
        <v>120</v>
      </c>
      <c r="Q363" s="102">
        <v>135</v>
      </c>
      <c r="R363" s="102">
        <v>115</v>
      </c>
      <c r="T363" s="102">
        <f t="shared" si="5"/>
        <v>0</v>
      </c>
      <c r="W363">
        <v>22535</v>
      </c>
      <c r="X363">
        <v>21313</v>
      </c>
      <c r="Y363">
        <v>23995</v>
      </c>
      <c r="Z363">
        <v>19142</v>
      </c>
      <c r="AA363">
        <v>16182</v>
      </c>
      <c r="AB363" s="102">
        <v>285</v>
      </c>
      <c r="AC363" s="102">
        <v>855</v>
      </c>
      <c r="AD363" s="102">
        <v>470</v>
      </c>
      <c r="AE363" s="102">
        <v>295</v>
      </c>
      <c r="AF363" s="102">
        <v>2.8399293440123889</v>
      </c>
      <c r="AG363" s="102">
        <v>0</v>
      </c>
      <c r="AH363" s="102">
        <v>0.23666077866769908</v>
      </c>
      <c r="AI363" s="102">
        <v>0.82831272533694678</v>
      </c>
      <c r="AJ363" s="102">
        <v>0.35499116800154862</v>
      </c>
      <c r="AK363" s="102">
        <v>0</v>
      </c>
      <c r="AL363" s="102">
        <v>2.7215989546785395</v>
      </c>
      <c r="AM363" s="102">
        <v>0.59165194666924781</v>
      </c>
      <c r="AN363" s="102">
        <v>0</v>
      </c>
      <c r="AO363" s="102">
        <v>0.23666077866769908</v>
      </c>
      <c r="AP363" s="102">
        <v>0.35499116800154862</v>
      </c>
      <c r="AQ363" s="102">
        <v>0.23666077866769908</v>
      </c>
      <c r="AR363" s="102">
        <v>0</v>
      </c>
      <c r="AS363" s="102">
        <v>0.47332155733539816</v>
      </c>
      <c r="AT363" s="102">
        <v>1.7749558400077432</v>
      </c>
      <c r="AU363" s="102">
        <v>2.3666077866769912</v>
      </c>
      <c r="AV363" s="102">
        <v>0.59165194666924781</v>
      </c>
      <c r="AW363" s="102">
        <v>1.064973504004646</v>
      </c>
      <c r="AX363" s="102">
        <v>0.94664311467079632</v>
      </c>
      <c r="AY363" s="102">
        <v>0.59165194666924781</v>
      </c>
    </row>
    <row r="364" spans="1:51">
      <c r="A364" s="102" t="s">
        <v>676</v>
      </c>
      <c r="B364" s="102">
        <v>485</v>
      </c>
      <c r="C364" s="102">
        <v>480</v>
      </c>
      <c r="D364" s="102">
        <v>1</v>
      </c>
      <c r="E364" s="102">
        <v>78041</v>
      </c>
      <c r="F364" s="102">
        <v>7.4</v>
      </c>
      <c r="G364" s="102">
        <v>195</v>
      </c>
      <c r="H364" s="102">
        <v>75</v>
      </c>
      <c r="I364" s="102">
        <v>20</v>
      </c>
      <c r="J364" s="102">
        <v>87.2</v>
      </c>
      <c r="K364" s="102">
        <v>12.8</v>
      </c>
      <c r="L364" s="102">
        <v>83.5</v>
      </c>
      <c r="M364" s="102">
        <v>79.7</v>
      </c>
      <c r="N364" s="102">
        <v>3</v>
      </c>
      <c r="O364" s="102">
        <v>135</v>
      </c>
      <c r="P364" s="102">
        <v>25</v>
      </c>
      <c r="Q364" s="102">
        <v>65</v>
      </c>
      <c r="R364" s="102">
        <v>30</v>
      </c>
      <c r="T364" s="102">
        <f t="shared" si="5"/>
        <v>0</v>
      </c>
      <c r="W364">
        <v>25598</v>
      </c>
      <c r="X364">
        <v>29830</v>
      </c>
      <c r="Y364">
        <v>19856</v>
      </c>
      <c r="Z364">
        <v>20077</v>
      </c>
      <c r="AA364">
        <v>16798</v>
      </c>
      <c r="AB364" s="102">
        <v>75</v>
      </c>
      <c r="AC364" s="102">
        <v>310</v>
      </c>
      <c r="AD364" s="102">
        <v>125</v>
      </c>
      <c r="AE364" s="102">
        <v>75</v>
      </c>
      <c r="AF364" s="102">
        <v>6.6659452658068572</v>
      </c>
      <c r="AG364" s="102">
        <v>0.76914753067002206</v>
      </c>
      <c r="AH364" s="102">
        <v>0</v>
      </c>
      <c r="AI364" s="102">
        <v>0.51276502044668137</v>
      </c>
      <c r="AJ364" s="102">
        <v>0.51276502044668137</v>
      </c>
      <c r="AK364" s="102">
        <v>0.51276502044668137</v>
      </c>
      <c r="AL364" s="102">
        <v>1.0255300408933627</v>
      </c>
      <c r="AM364" s="102">
        <v>1.2819125511167033</v>
      </c>
      <c r="AN364" s="102">
        <v>0</v>
      </c>
      <c r="AO364" s="102">
        <v>0.76914753067002206</v>
      </c>
      <c r="AP364" s="102">
        <v>0</v>
      </c>
      <c r="AQ364" s="102">
        <v>0</v>
      </c>
      <c r="AR364" s="102">
        <v>0</v>
      </c>
      <c r="AS364" s="102">
        <v>0.51276502044668137</v>
      </c>
      <c r="AT364" s="102">
        <v>0.51276502044668137</v>
      </c>
      <c r="AU364" s="102">
        <v>2.3074425920100659</v>
      </c>
      <c r="AV364" s="102">
        <v>0.51276502044668137</v>
      </c>
      <c r="AW364" s="102">
        <v>0.76914753067002206</v>
      </c>
      <c r="AX364" s="102">
        <v>0.51276502044668137</v>
      </c>
      <c r="AY364" s="102">
        <v>0.51276502044668137</v>
      </c>
    </row>
    <row r="365" spans="1:51">
      <c r="A365" s="102" t="s">
        <v>269</v>
      </c>
      <c r="B365" s="102">
        <v>1080</v>
      </c>
      <c r="C365" s="102">
        <v>1075</v>
      </c>
      <c r="D365" s="102">
        <v>1.8</v>
      </c>
      <c r="E365" s="102">
        <v>30302</v>
      </c>
      <c r="F365" s="102">
        <v>0</v>
      </c>
      <c r="G365" s="102">
        <v>335</v>
      </c>
      <c r="H365" s="102">
        <v>120</v>
      </c>
      <c r="I365" s="102">
        <v>170</v>
      </c>
      <c r="J365" s="102">
        <v>3</v>
      </c>
      <c r="K365" s="102">
        <v>29.9</v>
      </c>
      <c r="L365" s="102">
        <v>45.8</v>
      </c>
      <c r="M365" s="102">
        <v>36.1</v>
      </c>
      <c r="N365" s="102">
        <v>24.2</v>
      </c>
      <c r="O365" s="102">
        <v>90</v>
      </c>
      <c r="P365" s="102">
        <v>80</v>
      </c>
      <c r="Q365" s="102">
        <v>105</v>
      </c>
      <c r="R365" s="102">
        <v>30</v>
      </c>
      <c r="T365" s="102" t="str">
        <f t="shared" si="5"/>
        <v>Sioux Valley Dakota Nation</v>
      </c>
      <c r="W365">
        <v>16746</v>
      </c>
      <c r="X365">
        <v>16609</v>
      </c>
      <c r="Y365">
        <v>16872</v>
      </c>
      <c r="Z365">
        <v>6368</v>
      </c>
      <c r="AA365">
        <v>12336</v>
      </c>
      <c r="AB365" s="102">
        <v>370</v>
      </c>
      <c r="AC365" s="102">
        <v>680</v>
      </c>
      <c r="AD365" s="102">
        <v>210</v>
      </c>
      <c r="AE365" s="102">
        <v>40</v>
      </c>
      <c r="AF365" s="102">
        <v>0.51276502044668137</v>
      </c>
      <c r="AG365" s="102">
        <v>0</v>
      </c>
      <c r="AH365" s="102">
        <v>0.51276502044668137</v>
      </c>
      <c r="AI365" s="102">
        <v>0.76914753067002206</v>
      </c>
      <c r="AJ365" s="102">
        <v>0.76914753067002206</v>
      </c>
      <c r="AK365" s="102">
        <v>0</v>
      </c>
      <c r="AL365" s="102">
        <v>0.76914753067002206</v>
      </c>
      <c r="AM365" s="102">
        <v>0.51276502044668137</v>
      </c>
      <c r="AN365" s="102">
        <v>0</v>
      </c>
      <c r="AO365" s="102">
        <v>0</v>
      </c>
      <c r="AP365" s="102">
        <v>0</v>
      </c>
      <c r="AQ365" s="102">
        <v>0</v>
      </c>
      <c r="AR365" s="102">
        <v>0</v>
      </c>
      <c r="AS365" s="102">
        <v>0.51276502044668137</v>
      </c>
      <c r="AT365" s="102">
        <v>1.7946775715633847</v>
      </c>
      <c r="AU365" s="102">
        <v>3.3329726329034286</v>
      </c>
      <c r="AV365" s="102">
        <v>0.76914753067002206</v>
      </c>
      <c r="AW365" s="102">
        <v>0.51276502044668137</v>
      </c>
      <c r="AX365" s="102">
        <v>0.76914753067002206</v>
      </c>
      <c r="AY365" s="102">
        <v>4.102120163573451</v>
      </c>
    </row>
    <row r="366" spans="1:51" s="103" customFormat="1">
      <c r="A366" s="103" t="s">
        <v>270</v>
      </c>
      <c r="B366" s="103">
        <v>390</v>
      </c>
      <c r="C366" s="103">
        <v>390</v>
      </c>
      <c r="D366" s="103">
        <v>1.9</v>
      </c>
      <c r="E366" s="103">
        <v>32250</v>
      </c>
      <c r="F366" s="103">
        <v>0</v>
      </c>
      <c r="G366" s="103">
        <v>110</v>
      </c>
      <c r="H366" s="103">
        <v>25</v>
      </c>
      <c r="I366" s="103">
        <v>75</v>
      </c>
      <c r="J366" s="103">
        <v>0</v>
      </c>
      <c r="K366" s="103">
        <v>0</v>
      </c>
      <c r="L366" s="103">
        <v>32.1</v>
      </c>
      <c r="M366" s="103">
        <v>26.4</v>
      </c>
      <c r="N366" s="103">
        <v>17.600000000000001</v>
      </c>
      <c r="O366" s="103">
        <v>30</v>
      </c>
      <c r="P366" s="103">
        <v>0</v>
      </c>
      <c r="Q366" s="103">
        <v>30</v>
      </c>
      <c r="R366" s="103">
        <v>10</v>
      </c>
      <c r="T366" s="103" t="str">
        <f t="shared" si="5"/>
        <v>Skownan First Nation</v>
      </c>
      <c r="W366">
        <v>17185</v>
      </c>
      <c r="X366">
        <v>16839</v>
      </c>
      <c r="Y366">
        <v>17652</v>
      </c>
      <c r="Z366">
        <v>7776</v>
      </c>
      <c r="AA366">
        <v>13984</v>
      </c>
      <c r="AB366" s="103">
        <v>125</v>
      </c>
      <c r="AC366" s="103">
        <v>250</v>
      </c>
      <c r="AD366" s="103">
        <v>60</v>
      </c>
      <c r="AE366" s="103">
        <v>20</v>
      </c>
      <c r="AF366" s="102">
        <v>0</v>
      </c>
      <c r="AG366" s="102">
        <v>0</v>
      </c>
      <c r="AH366" s="102">
        <v>0</v>
      </c>
      <c r="AI366" s="102">
        <v>1.9907347852635864</v>
      </c>
      <c r="AJ366" s="102">
        <v>0</v>
      </c>
      <c r="AK366" s="102">
        <v>0</v>
      </c>
      <c r="AL366" s="102">
        <v>0</v>
      </c>
      <c r="AM366" s="102">
        <v>1.9907347852635864</v>
      </c>
      <c r="AN366" s="102">
        <v>0</v>
      </c>
      <c r="AO366" s="102">
        <v>0</v>
      </c>
      <c r="AP366" s="102">
        <v>0</v>
      </c>
      <c r="AQ366" s="102">
        <v>0</v>
      </c>
      <c r="AR366" s="102">
        <v>0</v>
      </c>
      <c r="AS366" s="102">
        <v>0</v>
      </c>
      <c r="AT366" s="102">
        <v>3.9814695705271728</v>
      </c>
      <c r="AU366" s="102">
        <v>2.98610217789538</v>
      </c>
      <c r="AV366" s="102">
        <v>0</v>
      </c>
      <c r="AW366" s="102">
        <v>0</v>
      </c>
      <c r="AX366" s="102">
        <v>0</v>
      </c>
      <c r="AY366" s="102">
        <v>3.9814695705271728</v>
      </c>
    </row>
    <row r="367" spans="1:51">
      <c r="A367" s="102" t="s">
        <v>448</v>
      </c>
      <c r="B367" s="102">
        <v>770</v>
      </c>
      <c r="C367" s="102">
        <v>770</v>
      </c>
      <c r="D367" s="102">
        <v>0.7</v>
      </c>
      <c r="E367" s="102">
        <v>90647</v>
      </c>
      <c r="F367" s="102">
        <v>5.9</v>
      </c>
      <c r="G367" s="102">
        <v>355</v>
      </c>
      <c r="H367" s="102">
        <v>155</v>
      </c>
      <c r="I367" s="102">
        <v>30</v>
      </c>
      <c r="J367" s="102">
        <v>83.1</v>
      </c>
      <c r="K367" s="102">
        <v>16.899999999999999</v>
      </c>
      <c r="L367" s="102">
        <v>58.6</v>
      </c>
      <c r="M367" s="102">
        <v>55.6</v>
      </c>
      <c r="N367" s="102">
        <v>5.0999999999999996</v>
      </c>
      <c r="O367" s="102">
        <v>230</v>
      </c>
      <c r="P367" s="102">
        <v>105</v>
      </c>
      <c r="Q367" s="102">
        <v>110</v>
      </c>
      <c r="R367" s="102">
        <v>45</v>
      </c>
      <c r="T367" s="102">
        <f t="shared" si="5"/>
        <v>0</v>
      </c>
      <c r="W367">
        <v>42911</v>
      </c>
      <c r="X367">
        <v>61719</v>
      </c>
      <c r="Y367">
        <v>20771</v>
      </c>
      <c r="Z367">
        <v>58534</v>
      </c>
      <c r="AA367">
        <v>19296</v>
      </c>
      <c r="AB367" s="102">
        <v>100</v>
      </c>
      <c r="AC367" s="102">
        <v>570</v>
      </c>
      <c r="AD367" s="102">
        <v>275</v>
      </c>
      <c r="AE367" s="102">
        <v>100</v>
      </c>
      <c r="AF367" s="102">
        <v>0.433878094224115</v>
      </c>
      <c r="AG367" s="102">
        <v>5.4234761778014375</v>
      </c>
      <c r="AH367" s="102">
        <v>0</v>
      </c>
      <c r="AI367" s="102">
        <v>0.433878094224115</v>
      </c>
      <c r="AJ367" s="102">
        <v>1.9524514240085176</v>
      </c>
      <c r="AK367" s="102">
        <v>0.433878094224115</v>
      </c>
      <c r="AL367" s="102">
        <v>1.9524514240085176</v>
      </c>
      <c r="AM367" s="102">
        <v>0.433878094224115</v>
      </c>
      <c r="AN367" s="102">
        <v>0.433878094224115</v>
      </c>
      <c r="AO367" s="102">
        <v>0</v>
      </c>
      <c r="AP367" s="102">
        <v>0</v>
      </c>
      <c r="AQ367" s="102">
        <v>0</v>
      </c>
      <c r="AR367" s="102">
        <v>0</v>
      </c>
      <c r="AS367" s="102">
        <v>0.433878094224115</v>
      </c>
      <c r="AT367" s="102">
        <v>0.86775618844822999</v>
      </c>
      <c r="AU367" s="102">
        <v>2.1693904711205749</v>
      </c>
      <c r="AV367" s="102">
        <v>0</v>
      </c>
      <c r="AW367" s="102">
        <v>0.65081714133617252</v>
      </c>
      <c r="AX367" s="102">
        <v>0.433878094224115</v>
      </c>
      <c r="AY367" s="102">
        <v>1.301634282672345</v>
      </c>
    </row>
    <row r="368" spans="1:51">
      <c r="A368" s="102" t="s">
        <v>449</v>
      </c>
      <c r="B368" s="102">
        <v>425</v>
      </c>
      <c r="C368" s="102">
        <v>425</v>
      </c>
      <c r="D368" s="102">
        <v>1</v>
      </c>
      <c r="E368" s="102">
        <v>58500</v>
      </c>
      <c r="F368" s="102">
        <v>0</v>
      </c>
      <c r="G368" s="102">
        <v>195</v>
      </c>
      <c r="H368" s="102">
        <v>80</v>
      </c>
      <c r="I368" s="102">
        <v>10</v>
      </c>
      <c r="J368" s="102">
        <v>82.1</v>
      </c>
      <c r="K368" s="102">
        <v>17.899999999999999</v>
      </c>
      <c r="L368" s="102">
        <v>67.599999999999994</v>
      </c>
      <c r="M368" s="102">
        <v>64.7</v>
      </c>
      <c r="N368" s="102">
        <v>0</v>
      </c>
      <c r="O368" s="102">
        <v>55</v>
      </c>
      <c r="P368" s="102">
        <v>55</v>
      </c>
      <c r="Q368" s="102">
        <v>95</v>
      </c>
      <c r="R368" s="102">
        <v>20</v>
      </c>
      <c r="T368" s="102">
        <f t="shared" si="5"/>
        <v>0</v>
      </c>
      <c r="W368">
        <v>23264</v>
      </c>
      <c r="X368">
        <v>27743</v>
      </c>
      <c r="Y368">
        <v>18856</v>
      </c>
      <c r="Z368">
        <v>29862</v>
      </c>
      <c r="AA368">
        <v>23957</v>
      </c>
      <c r="AB368" s="102">
        <v>75</v>
      </c>
      <c r="AC368" s="102">
        <v>250</v>
      </c>
      <c r="AD368" s="102">
        <v>110</v>
      </c>
      <c r="AE368" s="102">
        <v>90</v>
      </c>
      <c r="AF368" s="102">
        <v>1.4714126673687378</v>
      </c>
      <c r="AG368" s="102">
        <v>0.73570633368436888</v>
      </c>
      <c r="AH368" s="102">
        <v>0</v>
      </c>
      <c r="AI368" s="102">
        <v>0.73570633368436888</v>
      </c>
      <c r="AJ368" s="102">
        <v>1.8392658342109223</v>
      </c>
      <c r="AK368" s="102">
        <v>0.73570633368436888</v>
      </c>
      <c r="AL368" s="102">
        <v>1.4714126673687378</v>
      </c>
      <c r="AM368" s="102">
        <v>1.1035595005265533</v>
      </c>
      <c r="AN368" s="102">
        <v>0</v>
      </c>
      <c r="AO368" s="102">
        <v>0</v>
      </c>
      <c r="AP368" s="102">
        <v>0</v>
      </c>
      <c r="AQ368" s="102">
        <v>0</v>
      </c>
      <c r="AR368" s="102">
        <v>0</v>
      </c>
      <c r="AS368" s="102">
        <v>0</v>
      </c>
      <c r="AT368" s="102">
        <v>2.5749721678952913</v>
      </c>
      <c r="AU368" s="102">
        <v>1.8392658342109223</v>
      </c>
      <c r="AV368" s="102">
        <v>0</v>
      </c>
      <c r="AW368" s="102">
        <v>0</v>
      </c>
      <c r="AX368" s="102">
        <v>2.2071190010531065</v>
      </c>
      <c r="AY368" s="102">
        <v>1.1035595005265533</v>
      </c>
    </row>
    <row r="369" spans="1:52">
      <c r="A369" s="102" t="s">
        <v>450</v>
      </c>
      <c r="B369" s="102">
        <v>1730</v>
      </c>
      <c r="C369" s="102">
        <v>1730</v>
      </c>
      <c r="D369" s="102">
        <v>1</v>
      </c>
      <c r="E369" s="102">
        <v>63726</v>
      </c>
      <c r="F369" s="102">
        <v>6.3</v>
      </c>
      <c r="G369" s="102">
        <v>810</v>
      </c>
      <c r="H369" s="102">
        <v>225</v>
      </c>
      <c r="I369" s="102">
        <v>45</v>
      </c>
      <c r="J369" s="102">
        <v>77.2</v>
      </c>
      <c r="K369" s="102">
        <v>22.2</v>
      </c>
      <c r="L369" s="102">
        <v>60.8</v>
      </c>
      <c r="M369" s="102">
        <v>57.2</v>
      </c>
      <c r="N369" s="102">
        <v>5.9</v>
      </c>
      <c r="O369" s="102">
        <v>375</v>
      </c>
      <c r="P369" s="102">
        <v>130</v>
      </c>
      <c r="Q369" s="102">
        <v>240</v>
      </c>
      <c r="R369" s="102">
        <v>245</v>
      </c>
      <c r="T369" s="102">
        <f t="shared" si="5"/>
        <v>0</v>
      </c>
      <c r="W369">
        <v>26189</v>
      </c>
      <c r="X369">
        <v>28084</v>
      </c>
      <c r="Y369">
        <v>24310</v>
      </c>
      <c r="Z369">
        <v>25321</v>
      </c>
      <c r="AA369">
        <v>20530</v>
      </c>
      <c r="AB369" s="102">
        <v>335</v>
      </c>
      <c r="AC369" s="102">
        <v>965</v>
      </c>
      <c r="AD369" s="102">
        <v>425</v>
      </c>
      <c r="AE369" s="102">
        <v>430</v>
      </c>
      <c r="AF369" s="102">
        <v>2.5031428512929712</v>
      </c>
      <c r="AG369" s="102">
        <v>0.20025142810343768</v>
      </c>
      <c r="AH369" s="102">
        <v>0.30037714215515654</v>
      </c>
      <c r="AI369" s="102">
        <v>0.80100571241375074</v>
      </c>
      <c r="AJ369" s="102">
        <v>1.301634282672345</v>
      </c>
      <c r="AK369" s="102">
        <v>0.30037714215515654</v>
      </c>
      <c r="AL369" s="102">
        <v>1.0012571405171884</v>
      </c>
      <c r="AM369" s="102">
        <v>1.0012571405171884</v>
      </c>
      <c r="AN369" s="102">
        <v>0.30037714215515654</v>
      </c>
      <c r="AO369" s="102">
        <v>0.40050285620687537</v>
      </c>
      <c r="AP369" s="102">
        <v>0.30037714215515654</v>
      </c>
      <c r="AQ369" s="102">
        <v>0.20025142810343768</v>
      </c>
      <c r="AR369" s="102">
        <v>0</v>
      </c>
      <c r="AS369" s="102">
        <v>0.40050285620687537</v>
      </c>
      <c r="AT369" s="102">
        <v>0.90113142646546962</v>
      </c>
      <c r="AU369" s="102">
        <v>4.105154276120472</v>
      </c>
      <c r="AV369" s="102">
        <v>0</v>
      </c>
      <c r="AW369" s="102">
        <v>0.70087999836203196</v>
      </c>
      <c r="AX369" s="102">
        <v>0.90113142646546962</v>
      </c>
      <c r="AY369" s="102">
        <v>1.1013828545689073</v>
      </c>
    </row>
    <row r="370" spans="1:52">
      <c r="A370" s="103" t="s">
        <v>765</v>
      </c>
      <c r="B370" s="103">
        <v>53650</v>
      </c>
      <c r="C370" s="103">
        <v>52075</v>
      </c>
      <c r="D370" s="103">
        <v>1.3</v>
      </c>
      <c r="E370" s="103">
        <v>59707</v>
      </c>
      <c r="F370" s="103">
        <v>9.8000000000000007</v>
      </c>
      <c r="G370" s="103">
        <v>19185</v>
      </c>
      <c r="H370" s="103">
        <v>5875</v>
      </c>
      <c r="I370" s="103">
        <v>1575</v>
      </c>
      <c r="J370" s="103">
        <v>80.3</v>
      </c>
      <c r="K370" s="103">
        <v>19.3</v>
      </c>
      <c r="L370" s="103">
        <v>69</v>
      </c>
      <c r="M370" s="103">
        <v>66.900000000000006</v>
      </c>
      <c r="N370" s="103">
        <v>3</v>
      </c>
      <c r="O370" s="103">
        <v>9570</v>
      </c>
      <c r="P370" s="103">
        <v>3485</v>
      </c>
      <c r="Q370" s="103">
        <v>5090</v>
      </c>
      <c r="R370" s="103">
        <v>4500</v>
      </c>
      <c r="S370" s="103"/>
      <c r="T370" s="103">
        <f t="shared" ref="T370:T377" si="6">IFERROR(VLOOKUP(A370,$U$12:$U$74,1,0),0)</f>
        <v>0</v>
      </c>
      <c r="U370" s="103"/>
      <c r="V370" s="103"/>
      <c r="W370"/>
      <c r="X370"/>
      <c r="Y370"/>
      <c r="Z370"/>
      <c r="AA370"/>
      <c r="AB370" s="102">
        <v>0</v>
      </c>
      <c r="AC370" s="102">
        <v>0</v>
      </c>
      <c r="AD370" s="102">
        <v>0</v>
      </c>
      <c r="AE370" s="102">
        <v>0</v>
      </c>
      <c r="AF370" s="102">
        <v>2.1072039961495435</v>
      </c>
      <c r="AG370" s="102">
        <v>9.011941618752764E-2</v>
      </c>
      <c r="AH370" s="102">
        <v>0.15108255066732573</v>
      </c>
      <c r="AI370" s="102">
        <v>1.651305773083227</v>
      </c>
      <c r="AJ370" s="102">
        <v>2.58960792985925</v>
      </c>
      <c r="AK370" s="102">
        <v>0.49830736009574106</v>
      </c>
      <c r="AL370" s="102">
        <v>1.5081749356089187</v>
      </c>
      <c r="AM370" s="102">
        <v>1.1874558368238937</v>
      </c>
      <c r="AN370" s="102">
        <v>0.16963654811769907</v>
      </c>
      <c r="AO370" s="102">
        <v>0.46119936519499438</v>
      </c>
      <c r="AP370" s="102">
        <v>0.15903426386034289</v>
      </c>
      <c r="AQ370" s="102">
        <v>0.46384993625933341</v>
      </c>
      <c r="AR370" s="102">
        <v>0</v>
      </c>
      <c r="AS370" s="102">
        <v>0.38698337539350103</v>
      </c>
      <c r="AT370" s="102">
        <v>1.2431178291750138</v>
      </c>
      <c r="AU370" s="102">
        <v>1.6672091994692615</v>
      </c>
      <c r="AV370" s="102">
        <v>0.28626167494861721</v>
      </c>
      <c r="AW370" s="102">
        <v>0.70240133204984778</v>
      </c>
      <c r="AX370" s="102">
        <v>0.8375804563311392</v>
      </c>
      <c r="AY370" s="102">
        <v>0.67589562140645731</v>
      </c>
      <c r="AZ370" s="103"/>
    </row>
    <row r="371" spans="1:52" s="103" customFormat="1">
      <c r="A371" s="102" t="s">
        <v>632</v>
      </c>
      <c r="B371" s="102">
        <v>835</v>
      </c>
      <c r="C371" s="102">
        <v>550</v>
      </c>
      <c r="D371" s="102">
        <v>0.9</v>
      </c>
      <c r="E371" s="102">
        <v>49626</v>
      </c>
      <c r="F371" s="102">
        <v>11.4</v>
      </c>
      <c r="G371" s="102">
        <v>225</v>
      </c>
      <c r="H371" s="102">
        <v>75</v>
      </c>
      <c r="I371" s="102">
        <v>20</v>
      </c>
      <c r="J371" s="102">
        <v>91.1</v>
      </c>
      <c r="K371" s="102">
        <v>6.7</v>
      </c>
      <c r="L371" s="102">
        <v>63.6</v>
      </c>
      <c r="M371" s="102">
        <v>62.8</v>
      </c>
      <c r="N371" s="102">
        <v>0</v>
      </c>
      <c r="O371" s="102">
        <v>190</v>
      </c>
      <c r="P371" s="102">
        <v>25</v>
      </c>
      <c r="Q371" s="102">
        <v>65</v>
      </c>
      <c r="R371" s="102">
        <v>80</v>
      </c>
      <c r="S371" s="102"/>
      <c r="T371" s="102">
        <f t="shared" si="6"/>
        <v>0</v>
      </c>
      <c r="U371" s="102"/>
      <c r="V371" s="102"/>
      <c r="W371">
        <v>20272</v>
      </c>
      <c r="X371">
        <v>21430</v>
      </c>
      <c r="Y371">
        <v>19053</v>
      </c>
      <c r="Z371">
        <v>22226</v>
      </c>
      <c r="AA371">
        <v>19918</v>
      </c>
      <c r="AB371" s="103">
        <v>180</v>
      </c>
      <c r="AC371" s="103">
        <v>555</v>
      </c>
      <c r="AD371" s="103">
        <v>245</v>
      </c>
      <c r="AE371" s="103">
        <v>75</v>
      </c>
      <c r="AF371" s="102">
        <v>8.8733361465102547</v>
      </c>
      <c r="AG371" s="102">
        <v>0</v>
      </c>
      <c r="AH371" s="102">
        <v>0.41271330914001181</v>
      </c>
      <c r="AI371" s="102">
        <v>0.41271330914001181</v>
      </c>
      <c r="AJ371" s="102">
        <v>0.61906996371001766</v>
      </c>
      <c r="AK371" s="102">
        <v>0</v>
      </c>
      <c r="AL371" s="102">
        <v>0.61906996371001766</v>
      </c>
      <c r="AM371" s="102">
        <v>0.41271330914001181</v>
      </c>
      <c r="AN371" s="102">
        <v>0</v>
      </c>
      <c r="AO371" s="102">
        <v>0</v>
      </c>
      <c r="AP371" s="102">
        <v>0</v>
      </c>
      <c r="AQ371" s="102">
        <v>0</v>
      </c>
      <c r="AR371" s="102">
        <v>0</v>
      </c>
      <c r="AS371" s="102">
        <v>0.41271330914001181</v>
      </c>
      <c r="AT371" s="102">
        <v>0.82542661828002362</v>
      </c>
      <c r="AU371" s="102">
        <v>0.82542661828002362</v>
      </c>
      <c r="AV371" s="102">
        <v>0.41271330914001181</v>
      </c>
      <c r="AW371" s="102">
        <v>0.41271330914001181</v>
      </c>
      <c r="AX371" s="102">
        <v>0.61906996371001766</v>
      </c>
      <c r="AY371" s="102">
        <v>1.4444965819900415</v>
      </c>
      <c r="AZ371" s="102"/>
    </row>
    <row r="372" spans="1:52">
      <c r="A372" s="103" t="s">
        <v>766</v>
      </c>
      <c r="B372" s="103">
        <v>58825</v>
      </c>
      <c r="C372" s="103">
        <v>58030</v>
      </c>
      <c r="D372" s="103">
        <v>1.3</v>
      </c>
      <c r="E372" s="103">
        <v>66316</v>
      </c>
      <c r="F372" s="103">
        <v>6.9</v>
      </c>
      <c r="G372" s="103">
        <v>19865</v>
      </c>
      <c r="H372" s="103">
        <v>5865</v>
      </c>
      <c r="I372" s="103">
        <v>1445</v>
      </c>
      <c r="J372" s="103">
        <v>83.2</v>
      </c>
      <c r="K372" s="103">
        <v>16.8</v>
      </c>
      <c r="L372" s="103">
        <v>71.900000000000006</v>
      </c>
      <c r="M372" s="103">
        <v>69.599999999999994</v>
      </c>
      <c r="N372" s="103">
        <v>3.2</v>
      </c>
      <c r="O372" s="103">
        <v>11890</v>
      </c>
      <c r="P372" s="103">
        <v>4595</v>
      </c>
      <c r="Q372" s="103">
        <v>6255</v>
      </c>
      <c r="R372" s="103">
        <v>5235</v>
      </c>
      <c r="S372" s="103"/>
      <c r="T372" s="103">
        <f t="shared" si="6"/>
        <v>0</v>
      </c>
      <c r="U372" s="103"/>
      <c r="V372" s="103"/>
      <c r="W372">
        <v>27828</v>
      </c>
      <c r="X372">
        <v>33018</v>
      </c>
      <c r="Y372">
        <v>21625</v>
      </c>
      <c r="Z372">
        <v>30390</v>
      </c>
      <c r="AA372">
        <v>17997</v>
      </c>
      <c r="AB372" s="102">
        <v>14415</v>
      </c>
      <c r="AC372" s="102">
        <v>38250</v>
      </c>
      <c r="AD372" s="102">
        <v>13795</v>
      </c>
      <c r="AE372" s="102">
        <v>6135</v>
      </c>
      <c r="AF372" s="102">
        <v>3.2868174022554379</v>
      </c>
      <c r="AG372" s="102">
        <v>3.9092979166807588E-2</v>
      </c>
      <c r="AH372" s="102">
        <v>8.4200262820816343E-2</v>
      </c>
      <c r="AI372" s="102">
        <v>1.1487321570554228</v>
      </c>
      <c r="AJ372" s="102">
        <v>2.6974155625097236</v>
      </c>
      <c r="AK372" s="102">
        <v>0.74577375641294474</v>
      </c>
      <c r="AL372" s="102">
        <v>1.5817620801339072</v>
      </c>
      <c r="AM372" s="102">
        <v>0.73073799519494187</v>
      </c>
      <c r="AN372" s="102">
        <v>0.18644343910323619</v>
      </c>
      <c r="AO372" s="102">
        <v>0.36085826923207004</v>
      </c>
      <c r="AP372" s="102">
        <v>0.11727893750042276</v>
      </c>
      <c r="AQ372" s="102">
        <v>0.30071522436005838</v>
      </c>
      <c r="AR372" s="102">
        <v>2.1050065705204086E-2</v>
      </c>
      <c r="AS372" s="102">
        <v>0.28868661538565604</v>
      </c>
      <c r="AT372" s="102">
        <v>1.1818108317350293</v>
      </c>
      <c r="AU372" s="102">
        <v>1.8283485641091548</v>
      </c>
      <c r="AV372" s="102">
        <v>0.17140767788523326</v>
      </c>
      <c r="AW372" s="102">
        <v>0.73975945192574355</v>
      </c>
      <c r="AX372" s="102">
        <v>0.82395971474655993</v>
      </c>
      <c r="AY372" s="102">
        <v>0.51422303365569988</v>
      </c>
      <c r="AZ372" s="103"/>
    </row>
    <row r="373" spans="1:52" s="103" customFormat="1">
      <c r="A373" s="102" t="s">
        <v>640</v>
      </c>
      <c r="B373" s="102">
        <v>1170</v>
      </c>
      <c r="C373" s="102">
        <v>995</v>
      </c>
      <c r="D373" s="102">
        <v>1.2</v>
      </c>
      <c r="E373" s="102">
        <v>58512</v>
      </c>
      <c r="F373" s="102">
        <v>11.9</v>
      </c>
      <c r="G373" s="102">
        <v>390</v>
      </c>
      <c r="H373" s="102">
        <v>130</v>
      </c>
      <c r="I373" s="102">
        <v>55</v>
      </c>
      <c r="J373" s="102">
        <v>96.2</v>
      </c>
      <c r="K373" s="102">
        <v>3.8</v>
      </c>
      <c r="L373" s="102">
        <v>69.7</v>
      </c>
      <c r="M373" s="102">
        <v>67</v>
      </c>
      <c r="N373" s="102">
        <v>3.9</v>
      </c>
      <c r="O373" s="102">
        <v>215</v>
      </c>
      <c r="P373" s="102">
        <v>95</v>
      </c>
      <c r="Q373" s="102">
        <v>65</v>
      </c>
      <c r="R373" s="102">
        <v>85</v>
      </c>
      <c r="S373" s="102"/>
      <c r="T373" s="102">
        <f t="shared" si="6"/>
        <v>0</v>
      </c>
      <c r="U373" s="102"/>
      <c r="V373" s="102"/>
      <c r="W373">
        <v>24494</v>
      </c>
      <c r="X373">
        <v>26055</v>
      </c>
      <c r="Y373">
        <v>22782</v>
      </c>
      <c r="Z373">
        <v>21374</v>
      </c>
      <c r="AA373">
        <v>15289</v>
      </c>
      <c r="AB373" s="103">
        <v>245</v>
      </c>
      <c r="AC373" s="103">
        <v>765</v>
      </c>
      <c r="AD373" s="103">
        <v>340</v>
      </c>
      <c r="AE373" s="103">
        <v>160</v>
      </c>
      <c r="AF373" s="102">
        <v>5.9027601190955181</v>
      </c>
      <c r="AG373" s="102">
        <v>0.262344894182023</v>
      </c>
      <c r="AH373" s="102">
        <v>0</v>
      </c>
      <c r="AI373" s="102">
        <v>1.049379576728092</v>
      </c>
      <c r="AJ373" s="102">
        <v>1.7052418121831496</v>
      </c>
      <c r="AK373" s="102">
        <v>0.3935173412730345</v>
      </c>
      <c r="AL373" s="102">
        <v>0.52468978836404601</v>
      </c>
      <c r="AM373" s="102">
        <v>1.049379576728092</v>
      </c>
      <c r="AN373" s="102">
        <v>0</v>
      </c>
      <c r="AO373" s="102">
        <v>0</v>
      </c>
      <c r="AP373" s="102">
        <v>0</v>
      </c>
      <c r="AQ373" s="102">
        <v>0.65586223545505751</v>
      </c>
      <c r="AR373" s="102">
        <v>0</v>
      </c>
      <c r="AS373" s="102">
        <v>0</v>
      </c>
      <c r="AT373" s="102">
        <v>1.7052418121831496</v>
      </c>
      <c r="AU373" s="102">
        <v>1.574069365092138</v>
      </c>
      <c r="AV373" s="102">
        <v>0.262344894182023</v>
      </c>
      <c r="AW373" s="102">
        <v>0.65586223545505751</v>
      </c>
      <c r="AX373" s="102">
        <v>0</v>
      </c>
      <c r="AY373" s="102">
        <v>0.78703468254606901</v>
      </c>
      <c r="AZ373" s="102"/>
    </row>
    <row r="374" spans="1:52" s="103" customFormat="1">
      <c r="A374" s="103" t="s">
        <v>570</v>
      </c>
      <c r="B374" s="103">
        <v>92420</v>
      </c>
      <c r="C374" s="103">
        <v>91030</v>
      </c>
      <c r="D374" s="103">
        <v>1.2</v>
      </c>
      <c r="E374" s="103">
        <v>70701</v>
      </c>
      <c r="F374" s="103">
        <v>6.1</v>
      </c>
      <c r="G374" s="103">
        <v>33020</v>
      </c>
      <c r="H374" s="103">
        <v>10000</v>
      </c>
      <c r="I374" s="103">
        <v>2765</v>
      </c>
      <c r="J374" s="103">
        <v>85.1</v>
      </c>
      <c r="K374" s="103">
        <v>14.4</v>
      </c>
      <c r="L374" s="103">
        <v>69.2</v>
      </c>
      <c r="M374" s="103">
        <v>66.599999999999994</v>
      </c>
      <c r="N374" s="103">
        <v>3.9</v>
      </c>
      <c r="O374" s="103">
        <v>18990</v>
      </c>
      <c r="P374" s="103">
        <v>8265</v>
      </c>
      <c r="Q374" s="103">
        <v>10585</v>
      </c>
      <c r="R374" s="103">
        <v>8980</v>
      </c>
      <c r="T374" s="103">
        <f t="shared" si="6"/>
        <v>0</v>
      </c>
      <c r="W374"/>
      <c r="X374"/>
      <c r="Y374"/>
      <c r="Z374"/>
      <c r="AA374"/>
      <c r="AB374" s="103">
        <v>0</v>
      </c>
      <c r="AC374" s="103">
        <v>0</v>
      </c>
      <c r="AD374" s="103">
        <v>0</v>
      </c>
      <c r="AE374" s="103">
        <v>0</v>
      </c>
      <c r="AF374" s="102">
        <v>1.8001325185894133</v>
      </c>
      <c r="AG374" s="102">
        <v>0.15623791670776041</v>
      </c>
      <c r="AH374" s="102">
        <v>0.26492516311315895</v>
      </c>
      <c r="AI374" s="102">
        <v>1.5555862141772665</v>
      </c>
      <c r="AJ374" s="102">
        <v>2.2060114543845732</v>
      </c>
      <c r="AK374" s="102">
        <v>0.50098027639988385</v>
      </c>
      <c r="AL374" s="102">
        <v>1.4978461145243986</v>
      </c>
      <c r="AM374" s="102">
        <v>1.1446125637068532</v>
      </c>
      <c r="AN374" s="102">
        <v>0.21737449281079707</v>
      </c>
      <c r="AO374" s="102">
        <v>0.47720494124870294</v>
      </c>
      <c r="AP374" s="102">
        <v>0.16303086960809782</v>
      </c>
      <c r="AQ374" s="102">
        <v>0.51626442042564302</v>
      </c>
      <c r="AR374" s="102">
        <v>1.3585905800674817E-2</v>
      </c>
      <c r="AS374" s="102">
        <v>0.43305074739650978</v>
      </c>
      <c r="AT374" s="102">
        <v>1.1819738046587092</v>
      </c>
      <c r="AU374" s="102">
        <v>1.7406941807114611</v>
      </c>
      <c r="AV374" s="102">
        <v>0.29888992761484595</v>
      </c>
      <c r="AW374" s="102">
        <v>0.82024906271574205</v>
      </c>
      <c r="AX374" s="102">
        <v>0.85930854189268213</v>
      </c>
      <c r="AY374" s="102">
        <v>0.9612028353977432</v>
      </c>
    </row>
    <row r="375" spans="1:52" s="103" customFormat="1">
      <c r="A375" s="103" t="s">
        <v>572</v>
      </c>
      <c r="B375" s="103">
        <v>101990</v>
      </c>
      <c r="C375" s="103">
        <v>99390</v>
      </c>
      <c r="D375" s="103">
        <v>1</v>
      </c>
      <c r="E375" s="103">
        <v>63667</v>
      </c>
      <c r="F375" s="103">
        <v>9.4</v>
      </c>
      <c r="G375" s="103">
        <v>42615</v>
      </c>
      <c r="H375" s="103">
        <v>13720</v>
      </c>
      <c r="I375" s="103">
        <v>4115</v>
      </c>
      <c r="J375" s="103">
        <v>72.7</v>
      </c>
      <c r="K375" s="103">
        <v>25.8</v>
      </c>
      <c r="L375" s="103">
        <v>68.5</v>
      </c>
      <c r="M375" s="103">
        <v>65.5</v>
      </c>
      <c r="N375" s="103">
        <v>4.4000000000000004</v>
      </c>
      <c r="O375" s="103">
        <v>22885</v>
      </c>
      <c r="P375" s="103">
        <v>8935</v>
      </c>
      <c r="Q375" s="103">
        <v>12715</v>
      </c>
      <c r="R375" s="103">
        <v>12620</v>
      </c>
      <c r="T375" s="103">
        <f t="shared" si="6"/>
        <v>0</v>
      </c>
      <c r="W375"/>
      <c r="X375"/>
      <c r="Y375"/>
      <c r="Z375"/>
      <c r="AA375"/>
      <c r="AB375" s="103">
        <v>0</v>
      </c>
      <c r="AC375" s="103">
        <v>0</v>
      </c>
      <c r="AD375" s="103">
        <v>0</v>
      </c>
      <c r="AE375" s="103">
        <v>0</v>
      </c>
      <c r="AF375" s="102">
        <v>2.5636005794991714</v>
      </c>
      <c r="AG375" s="102">
        <v>0.16596720514676716</v>
      </c>
      <c r="AH375" s="102">
        <v>0.16152165500890731</v>
      </c>
      <c r="AI375" s="102">
        <v>0.79723532472286374</v>
      </c>
      <c r="AJ375" s="102">
        <v>1.2462358886467069</v>
      </c>
      <c r="AK375" s="102">
        <v>0.57643966787582523</v>
      </c>
      <c r="AL375" s="102">
        <v>1.9189958095094952</v>
      </c>
      <c r="AM375" s="102">
        <v>0.75426167339021866</v>
      </c>
      <c r="AN375" s="102">
        <v>0.26228745813373022</v>
      </c>
      <c r="AO375" s="102">
        <v>0.43566391351026379</v>
      </c>
      <c r="AP375" s="102">
        <v>0.19412235601987946</v>
      </c>
      <c r="AQ375" s="102">
        <v>0.38379916190189906</v>
      </c>
      <c r="AR375" s="102">
        <v>1.6300350505486061E-2</v>
      </c>
      <c r="AS375" s="102">
        <v>0.5230930662215072</v>
      </c>
      <c r="AT375" s="102">
        <v>1.2654999392440995</v>
      </c>
      <c r="AU375" s="102">
        <v>2.1649829171377393</v>
      </c>
      <c r="AV375" s="102">
        <v>0.26228745813373022</v>
      </c>
      <c r="AW375" s="102">
        <v>1.1173149346487719</v>
      </c>
      <c r="AX375" s="102">
        <v>0.76463462371189161</v>
      </c>
      <c r="AY375" s="102">
        <v>1.1810344866247628</v>
      </c>
    </row>
    <row r="376" spans="1:52" s="103" customFormat="1">
      <c r="A376" s="105" t="s">
        <v>271</v>
      </c>
      <c r="B376" s="103">
        <v>54</v>
      </c>
      <c r="T376" s="103">
        <f t="shared" si="6"/>
        <v>0</v>
      </c>
      <c r="W376"/>
      <c r="X376"/>
      <c r="Y376"/>
      <c r="Z376"/>
      <c r="AA376"/>
      <c r="AB376" s="103">
        <v>0</v>
      </c>
      <c r="AC376" s="103">
        <v>0</v>
      </c>
      <c r="AD376" s="103">
        <v>0</v>
      </c>
      <c r="AE376" s="103">
        <v>0</v>
      </c>
      <c r="AF376" s="102" t="e">
        <v>#N/A</v>
      </c>
      <c r="AG376" s="102" t="e">
        <v>#N/A</v>
      </c>
      <c r="AH376" s="102" t="e">
        <v>#N/A</v>
      </c>
      <c r="AI376" s="102" t="e">
        <v>#N/A</v>
      </c>
      <c r="AJ376" s="102" t="e">
        <v>#N/A</v>
      </c>
      <c r="AK376" s="102" t="e">
        <v>#N/A</v>
      </c>
      <c r="AL376" s="102" t="e">
        <v>#N/A</v>
      </c>
      <c r="AM376" s="102" t="e">
        <v>#N/A</v>
      </c>
      <c r="AN376" s="102" t="e">
        <v>#N/A</v>
      </c>
      <c r="AO376" s="102" t="e">
        <v>#N/A</v>
      </c>
      <c r="AP376" s="102" t="e">
        <v>#N/A</v>
      </c>
      <c r="AQ376" s="102" t="e">
        <v>#N/A</v>
      </c>
      <c r="AR376" s="102" t="e">
        <v>#N/A</v>
      </c>
      <c r="AS376" s="102" t="e">
        <v>#N/A</v>
      </c>
      <c r="AT376" s="102" t="e">
        <v>#N/A</v>
      </c>
      <c r="AU376" s="102" t="e">
        <v>#N/A</v>
      </c>
      <c r="AV376" s="102" t="e">
        <v>#N/A</v>
      </c>
      <c r="AW376" s="102" t="e">
        <v>#N/A</v>
      </c>
      <c r="AX376" s="102" t="e">
        <v>#N/A</v>
      </c>
      <c r="AY376" s="102" t="e">
        <v>#N/A</v>
      </c>
    </row>
    <row r="377" spans="1:52">
      <c r="A377" s="102" t="s">
        <v>654</v>
      </c>
      <c r="B377" s="102">
        <v>12950</v>
      </c>
      <c r="C377" s="102">
        <v>12660</v>
      </c>
      <c r="D377" s="102">
        <v>1.1000000000000001</v>
      </c>
      <c r="E377" s="102">
        <v>96398</v>
      </c>
      <c r="F377" s="102">
        <v>2.8</v>
      </c>
      <c r="G377" s="102">
        <v>4490</v>
      </c>
      <c r="H377" s="102">
        <v>1290</v>
      </c>
      <c r="I377" s="102">
        <v>370</v>
      </c>
      <c r="J377" s="102">
        <v>93.9</v>
      </c>
      <c r="K377" s="102">
        <v>6</v>
      </c>
      <c r="L377" s="102">
        <v>73.900000000000006</v>
      </c>
      <c r="M377" s="102">
        <v>71.3</v>
      </c>
      <c r="N377" s="102">
        <v>3.5</v>
      </c>
      <c r="O377" s="102">
        <v>3045</v>
      </c>
      <c r="P377" s="102">
        <v>1145</v>
      </c>
      <c r="Q377" s="102">
        <v>1850</v>
      </c>
      <c r="R377" s="102">
        <v>1685</v>
      </c>
      <c r="T377" s="102">
        <f t="shared" si="6"/>
        <v>0</v>
      </c>
      <c r="W377">
        <v>40439</v>
      </c>
      <c r="X377">
        <v>50407</v>
      </c>
      <c r="Y377">
        <v>28998</v>
      </c>
      <c r="Z377">
        <v>39767</v>
      </c>
      <c r="AA377">
        <v>25805</v>
      </c>
      <c r="AB377" s="102">
        <v>2565</v>
      </c>
      <c r="AC377" s="102">
        <v>9085</v>
      </c>
      <c r="AD377" s="102">
        <v>4080</v>
      </c>
      <c r="AE377" s="102">
        <v>1285</v>
      </c>
      <c r="AF377" s="102">
        <v>0.88246392045582711</v>
      </c>
      <c r="AG377" s="102">
        <v>5.5153995028489194E-2</v>
      </c>
      <c r="AH377" s="102">
        <v>0.22061598011395678</v>
      </c>
      <c r="AI377" s="102">
        <v>1.5332810617919996</v>
      </c>
      <c r="AJ377" s="102">
        <v>1.8531742329572369</v>
      </c>
      <c r="AK377" s="102">
        <v>0.70597113636466169</v>
      </c>
      <c r="AL377" s="102">
        <v>1.511219463780604</v>
      </c>
      <c r="AM377" s="102">
        <v>1.3567882777008342</v>
      </c>
      <c r="AN377" s="102">
        <v>0.47432435724500704</v>
      </c>
      <c r="AO377" s="102">
        <v>0.65081714133617252</v>
      </c>
      <c r="AP377" s="102">
        <v>0.16546198508546758</v>
      </c>
      <c r="AQ377" s="102">
        <v>0.63978634233047471</v>
      </c>
      <c r="AR377" s="102">
        <v>4.4123196022791356E-2</v>
      </c>
      <c r="AS377" s="102">
        <v>0.41917036221651782</v>
      </c>
      <c r="AT377" s="102">
        <v>1.0589567045469925</v>
      </c>
      <c r="AU377" s="102">
        <v>1.6104966548318844</v>
      </c>
      <c r="AV377" s="102">
        <v>0.24267757812535243</v>
      </c>
      <c r="AW377" s="102">
        <v>0.84937152343873357</v>
      </c>
      <c r="AX377" s="102">
        <v>0.68390953835326596</v>
      </c>
      <c r="AY377" s="102">
        <v>1.8090510369344455</v>
      </c>
    </row>
    <row r="378" spans="1:52">
      <c r="A378" s="102" t="s">
        <v>657</v>
      </c>
      <c r="B378" s="102">
        <v>11355</v>
      </c>
      <c r="C378" s="102">
        <v>11245</v>
      </c>
      <c r="D378" s="102">
        <v>1.1000000000000001</v>
      </c>
      <c r="E378" s="102">
        <v>88379</v>
      </c>
      <c r="F378" s="102">
        <v>3.2</v>
      </c>
      <c r="G378" s="102">
        <v>4025</v>
      </c>
      <c r="H378" s="102">
        <v>1110</v>
      </c>
      <c r="I378" s="102">
        <v>290</v>
      </c>
      <c r="J378" s="102">
        <v>95.8</v>
      </c>
      <c r="K378" s="102">
        <v>4.0999999999999996</v>
      </c>
      <c r="L378" s="102">
        <v>74.099999999999994</v>
      </c>
      <c r="M378" s="102">
        <v>71.599999999999994</v>
      </c>
      <c r="N378" s="102">
        <v>3.5</v>
      </c>
      <c r="O378" s="102">
        <v>2590</v>
      </c>
      <c r="P378" s="102">
        <v>1285</v>
      </c>
      <c r="Q378" s="102">
        <v>1595</v>
      </c>
      <c r="R378" s="102">
        <v>1610</v>
      </c>
      <c r="T378" s="102">
        <f t="shared" si="5"/>
        <v>0</v>
      </c>
      <c r="W378">
        <v>35941</v>
      </c>
      <c r="X378">
        <v>43242</v>
      </c>
      <c r="Y378">
        <v>27579</v>
      </c>
      <c r="Z378">
        <v>38164</v>
      </c>
      <c r="AA378">
        <v>22733</v>
      </c>
      <c r="AB378" s="102">
        <v>2170</v>
      </c>
      <c r="AC378" s="102">
        <v>7910</v>
      </c>
      <c r="AD378" s="102">
        <v>3620</v>
      </c>
      <c r="AE378" s="102">
        <v>1260</v>
      </c>
      <c r="AF378" s="102">
        <v>1.0568007952629985</v>
      </c>
      <c r="AG378" s="102">
        <v>6.2164752662529334E-2</v>
      </c>
      <c r="AH378" s="102">
        <v>0.27352491171512905</v>
      </c>
      <c r="AI378" s="102">
        <v>1.4297893112381745</v>
      </c>
      <c r="AJ378" s="102">
        <v>1.7406130745508213</v>
      </c>
      <c r="AK378" s="102">
        <v>0.7957088340803754</v>
      </c>
      <c r="AL378" s="102">
        <v>1.7281801240183154</v>
      </c>
      <c r="AM378" s="102">
        <v>1.5043870144332099</v>
      </c>
      <c r="AN378" s="102">
        <v>0.29839081278014079</v>
      </c>
      <c r="AO378" s="102">
        <v>0.53461687289775217</v>
      </c>
      <c r="AP378" s="102">
        <v>0.13676245585756452</v>
      </c>
      <c r="AQ378" s="102">
        <v>0.57191572449526984</v>
      </c>
      <c r="AR378" s="102">
        <v>2.4865901065011731E-2</v>
      </c>
      <c r="AS378" s="102">
        <v>0.41028736757269357</v>
      </c>
      <c r="AT378" s="102">
        <v>1.1313984984580339</v>
      </c>
      <c r="AU378" s="102">
        <v>1.6535824208232803</v>
      </c>
      <c r="AV378" s="102">
        <v>0.34812261491016427</v>
      </c>
      <c r="AW378" s="102">
        <v>1.1562643995230455</v>
      </c>
      <c r="AX378" s="102">
        <v>0.65894637822281088</v>
      </c>
      <c r="AY378" s="102">
        <v>1.2805939048481043</v>
      </c>
    </row>
    <row r="379" spans="1:52">
      <c r="A379" s="102" t="s">
        <v>429</v>
      </c>
      <c r="B379" s="102">
        <v>555</v>
      </c>
      <c r="C379" s="102">
        <v>555</v>
      </c>
      <c r="D379" s="102">
        <v>0.8</v>
      </c>
      <c r="E379" s="102">
        <v>58364</v>
      </c>
      <c r="F379" s="102">
        <v>0</v>
      </c>
      <c r="G379" s="102">
        <v>250</v>
      </c>
      <c r="H379" s="102">
        <v>85</v>
      </c>
      <c r="I379" s="102">
        <v>25</v>
      </c>
      <c r="J379" s="102">
        <v>86</v>
      </c>
      <c r="K379" s="102">
        <v>14</v>
      </c>
      <c r="L379" s="102">
        <v>67.400000000000006</v>
      </c>
      <c r="M379" s="102">
        <v>66.3</v>
      </c>
      <c r="N379" s="102">
        <v>0</v>
      </c>
      <c r="O379" s="102">
        <v>95</v>
      </c>
      <c r="P379" s="102">
        <v>75</v>
      </c>
      <c r="Q379" s="102">
        <v>95</v>
      </c>
      <c r="R379" s="102">
        <v>50</v>
      </c>
      <c r="T379" s="102">
        <f t="shared" si="5"/>
        <v>0</v>
      </c>
      <c r="W379">
        <v>25799</v>
      </c>
      <c r="X379">
        <v>29458</v>
      </c>
      <c r="Y379">
        <v>21844</v>
      </c>
      <c r="Z379">
        <v>30653</v>
      </c>
      <c r="AA379">
        <v>18254</v>
      </c>
      <c r="AB379" s="102">
        <v>75</v>
      </c>
      <c r="AC379" s="102">
        <v>330</v>
      </c>
      <c r="AD379" s="102">
        <v>130</v>
      </c>
      <c r="AE379" s="102">
        <v>130</v>
      </c>
      <c r="AF379" s="102">
        <v>1.0575778546712802</v>
      </c>
      <c r="AG379" s="102">
        <v>0</v>
      </c>
      <c r="AH379" s="102">
        <v>0</v>
      </c>
      <c r="AI379" s="102">
        <v>1.5863667820069205</v>
      </c>
      <c r="AJ379" s="102">
        <v>1.5863667820069205</v>
      </c>
      <c r="AK379" s="102">
        <v>0.52878892733564009</v>
      </c>
      <c r="AL379" s="102">
        <v>2.6439446366782007</v>
      </c>
      <c r="AM379" s="102">
        <v>0.52878892733564009</v>
      </c>
      <c r="AN379" s="102">
        <v>0</v>
      </c>
      <c r="AO379" s="102">
        <v>1.5863667820069205</v>
      </c>
      <c r="AP379" s="102">
        <v>0</v>
      </c>
      <c r="AQ379" s="102">
        <v>0.52878892733564009</v>
      </c>
      <c r="AR379" s="102">
        <v>0</v>
      </c>
      <c r="AS379" s="102">
        <v>0.52878892733564009</v>
      </c>
      <c r="AT379" s="102">
        <v>1.8507612456747404</v>
      </c>
      <c r="AU379" s="102">
        <v>3.4371280276816609</v>
      </c>
      <c r="AV379" s="102">
        <v>0</v>
      </c>
      <c r="AW379" s="102">
        <v>0</v>
      </c>
      <c r="AX379" s="102">
        <v>0.79318339100346025</v>
      </c>
      <c r="AY379" s="102">
        <v>0</v>
      </c>
    </row>
    <row r="380" spans="1:52">
      <c r="A380" s="102" t="s">
        <v>659</v>
      </c>
      <c r="B380" s="102">
        <v>9700</v>
      </c>
      <c r="C380" s="102">
        <v>9695</v>
      </c>
      <c r="D380" s="102">
        <v>1</v>
      </c>
      <c r="E380" s="102">
        <v>79403</v>
      </c>
      <c r="F380" s="102">
        <v>4.4000000000000004</v>
      </c>
      <c r="G380" s="102">
        <v>3670</v>
      </c>
      <c r="H380" s="102">
        <v>1035</v>
      </c>
      <c r="I380" s="102">
        <v>315</v>
      </c>
      <c r="J380" s="102">
        <v>95.6</v>
      </c>
      <c r="K380" s="102">
        <v>4.4000000000000004</v>
      </c>
      <c r="L380" s="102">
        <v>72.599999999999994</v>
      </c>
      <c r="M380" s="102">
        <v>69.900000000000006</v>
      </c>
      <c r="N380" s="102">
        <v>3.7</v>
      </c>
      <c r="O380" s="102">
        <v>2350</v>
      </c>
      <c r="P380" s="102">
        <v>1040</v>
      </c>
      <c r="Q380" s="102">
        <v>1380</v>
      </c>
      <c r="R380" s="102">
        <v>1180</v>
      </c>
      <c r="T380" s="102">
        <f t="shared" si="5"/>
        <v>0</v>
      </c>
      <c r="W380">
        <v>33337</v>
      </c>
      <c r="X380">
        <v>39023</v>
      </c>
      <c r="Y380">
        <v>26937</v>
      </c>
      <c r="Z380">
        <v>35443</v>
      </c>
      <c r="AA380">
        <v>21106</v>
      </c>
      <c r="AB380" s="102">
        <v>1765</v>
      </c>
      <c r="AC380" s="102">
        <v>6785</v>
      </c>
      <c r="AD380" s="102">
        <v>3235</v>
      </c>
      <c r="AE380" s="102">
        <v>1115</v>
      </c>
      <c r="AF380" s="102">
        <v>0.55816608996539796</v>
      </c>
      <c r="AG380" s="102">
        <v>2.9377162629757782E-2</v>
      </c>
      <c r="AH380" s="102">
        <v>0.29377162629757786</v>
      </c>
      <c r="AI380" s="102">
        <v>1.2338408304498272</v>
      </c>
      <c r="AJ380" s="102">
        <v>2.0123356401384083</v>
      </c>
      <c r="AK380" s="102">
        <v>0.92538062283737021</v>
      </c>
      <c r="AL380" s="102">
        <v>1.6598096885813149</v>
      </c>
      <c r="AM380" s="102">
        <v>1.6010553633217992</v>
      </c>
      <c r="AN380" s="102">
        <v>0.411280276816609</v>
      </c>
      <c r="AO380" s="102">
        <v>0.39659169550173012</v>
      </c>
      <c r="AP380" s="102">
        <v>0.23501730103806226</v>
      </c>
      <c r="AQ380" s="102">
        <v>0.67567474048442899</v>
      </c>
      <c r="AR380" s="102">
        <v>0</v>
      </c>
      <c r="AS380" s="102">
        <v>0.52878892733564009</v>
      </c>
      <c r="AT380" s="102">
        <v>1.0869550173010381</v>
      </c>
      <c r="AU380" s="102">
        <v>1.8654498269896194</v>
      </c>
      <c r="AV380" s="102">
        <v>0.32314878892733567</v>
      </c>
      <c r="AW380" s="102">
        <v>0.89600346020761246</v>
      </c>
      <c r="AX380" s="102">
        <v>0.79318339100346025</v>
      </c>
      <c r="AY380" s="102">
        <v>1.2632179930795848</v>
      </c>
    </row>
    <row r="381" spans="1:52">
      <c r="A381" s="102" t="s">
        <v>652</v>
      </c>
      <c r="B381" s="102">
        <v>1090</v>
      </c>
      <c r="C381" s="102">
        <v>1070</v>
      </c>
      <c r="D381" s="102">
        <v>1.3</v>
      </c>
      <c r="E381" s="102">
        <v>89990</v>
      </c>
      <c r="F381" s="102">
        <v>0</v>
      </c>
      <c r="G381" s="102">
        <v>385</v>
      </c>
      <c r="H381" s="102">
        <v>135</v>
      </c>
      <c r="I381" s="102">
        <v>25</v>
      </c>
      <c r="J381" s="102">
        <v>97.4</v>
      </c>
      <c r="K381" s="102">
        <v>2.6</v>
      </c>
      <c r="L381" s="102">
        <v>82.7</v>
      </c>
      <c r="M381" s="102">
        <v>81</v>
      </c>
      <c r="N381" s="102">
        <v>1.4</v>
      </c>
      <c r="O381" s="102">
        <v>165</v>
      </c>
      <c r="P381" s="102">
        <v>90</v>
      </c>
      <c r="Q381" s="102">
        <v>180</v>
      </c>
      <c r="R381" s="102">
        <v>215</v>
      </c>
      <c r="T381" s="102">
        <f t="shared" si="5"/>
        <v>0</v>
      </c>
      <c r="W381">
        <v>38925</v>
      </c>
      <c r="X381">
        <v>44942</v>
      </c>
      <c r="Y381">
        <v>31631</v>
      </c>
      <c r="Z381">
        <v>43717</v>
      </c>
      <c r="AA381">
        <v>24822</v>
      </c>
      <c r="AB381" s="102">
        <v>245</v>
      </c>
      <c r="AC381" s="102">
        <v>750</v>
      </c>
      <c r="AD381" s="102">
        <v>315</v>
      </c>
      <c r="AE381" s="102">
        <v>70</v>
      </c>
      <c r="AF381" s="102">
        <v>2.1912404470886959</v>
      </c>
      <c r="AG381" s="102">
        <v>0</v>
      </c>
      <c r="AH381" s="102">
        <v>0.2434711607876329</v>
      </c>
      <c r="AI381" s="102">
        <v>0.85214906275671498</v>
      </c>
      <c r="AJ381" s="102">
        <v>1.5825625451196137</v>
      </c>
      <c r="AK381" s="102">
        <v>0.85214906275671498</v>
      </c>
      <c r="AL381" s="102">
        <v>1.4608269647257972</v>
      </c>
      <c r="AM381" s="102">
        <v>0.85214906275671498</v>
      </c>
      <c r="AN381" s="102">
        <v>0</v>
      </c>
      <c r="AO381" s="102">
        <v>0.3652067411814493</v>
      </c>
      <c r="AP381" s="102">
        <v>0</v>
      </c>
      <c r="AQ381" s="102">
        <v>1.5825625451196137</v>
      </c>
      <c r="AR381" s="102">
        <v>0</v>
      </c>
      <c r="AS381" s="102">
        <v>0.2434711607876329</v>
      </c>
      <c r="AT381" s="102">
        <v>1.4608269647257972</v>
      </c>
      <c r="AU381" s="102">
        <v>0.97388464315053158</v>
      </c>
      <c r="AV381" s="102">
        <v>0.2434711607876329</v>
      </c>
      <c r="AW381" s="102">
        <v>0.60867790196908211</v>
      </c>
      <c r="AX381" s="102">
        <v>1.2173558039381642</v>
      </c>
      <c r="AY381" s="102">
        <v>1.9477692863010632</v>
      </c>
    </row>
    <row r="382" spans="1:52">
      <c r="A382" s="102" t="s">
        <v>432</v>
      </c>
      <c r="B382" s="102">
        <v>1445</v>
      </c>
      <c r="C382" s="102">
        <v>1440</v>
      </c>
      <c r="D382" s="102">
        <v>1.1000000000000001</v>
      </c>
      <c r="E382" s="102">
        <v>50604</v>
      </c>
      <c r="F382" s="102">
        <v>10.7</v>
      </c>
      <c r="G382" s="102">
        <v>580</v>
      </c>
      <c r="H382" s="102">
        <v>180</v>
      </c>
      <c r="I382" s="102">
        <v>95</v>
      </c>
      <c r="J382" s="102">
        <v>85.3</v>
      </c>
      <c r="K382" s="102">
        <v>14.7</v>
      </c>
      <c r="L382" s="102">
        <v>60.3</v>
      </c>
      <c r="M382" s="102">
        <v>54.3</v>
      </c>
      <c r="N382" s="102">
        <v>10.7</v>
      </c>
      <c r="O382" s="102">
        <v>355</v>
      </c>
      <c r="P382" s="102">
        <v>145</v>
      </c>
      <c r="Q382" s="102">
        <v>130</v>
      </c>
      <c r="R382" s="102">
        <v>75</v>
      </c>
      <c r="T382" s="102">
        <f t="shared" si="5"/>
        <v>0</v>
      </c>
      <c r="W382">
        <v>19147</v>
      </c>
      <c r="X382">
        <v>21471</v>
      </c>
      <c r="Y382">
        <v>16232</v>
      </c>
      <c r="Z382">
        <v>26866</v>
      </c>
      <c r="AA382">
        <v>16122</v>
      </c>
      <c r="AB382" s="102">
        <v>290</v>
      </c>
      <c r="AC382" s="102">
        <v>890</v>
      </c>
      <c r="AD382" s="102">
        <v>435</v>
      </c>
      <c r="AE382" s="102">
        <v>245</v>
      </c>
      <c r="AF382" s="102">
        <v>2.0547226890756303</v>
      </c>
      <c r="AG382" s="102">
        <v>0.48346416213544241</v>
      </c>
      <c r="AH382" s="102">
        <v>0</v>
      </c>
      <c r="AI382" s="102">
        <v>3.625981216015818</v>
      </c>
      <c r="AJ382" s="102">
        <v>1.571258526940188</v>
      </c>
      <c r="AK382" s="102">
        <v>0.48346416213544241</v>
      </c>
      <c r="AL382" s="102">
        <v>0.8460622837370243</v>
      </c>
      <c r="AM382" s="102">
        <v>0.60433020266930293</v>
      </c>
      <c r="AN382" s="102">
        <v>0</v>
      </c>
      <c r="AO382" s="102">
        <v>0.36259812160158184</v>
      </c>
      <c r="AP382" s="102">
        <v>0.96692832427088482</v>
      </c>
      <c r="AQ382" s="102">
        <v>0</v>
      </c>
      <c r="AR382" s="102">
        <v>0</v>
      </c>
      <c r="AS382" s="102">
        <v>0.24173208106772121</v>
      </c>
      <c r="AT382" s="102">
        <v>1.3295264458724667</v>
      </c>
      <c r="AU382" s="102">
        <v>1.6921245674740486</v>
      </c>
      <c r="AV382" s="102">
        <v>0</v>
      </c>
      <c r="AW382" s="102">
        <v>0.36259812160158184</v>
      </c>
      <c r="AX382" s="102">
        <v>0.24173208106772121</v>
      </c>
      <c r="AY382" s="102">
        <v>1.0877943648047452</v>
      </c>
    </row>
    <row r="383" spans="1:52" s="103" customFormat="1">
      <c r="A383" s="103" t="s">
        <v>437</v>
      </c>
      <c r="B383" s="103">
        <v>265</v>
      </c>
      <c r="C383" s="103">
        <v>265</v>
      </c>
      <c r="D383" s="103">
        <v>1.8</v>
      </c>
      <c r="E383" s="103">
        <v>101068</v>
      </c>
      <c r="F383" s="103">
        <v>0</v>
      </c>
      <c r="G383" s="103">
        <v>90</v>
      </c>
      <c r="H383" s="103">
        <v>35</v>
      </c>
      <c r="I383" s="103">
        <v>0</v>
      </c>
      <c r="J383" s="103">
        <v>77.8</v>
      </c>
      <c r="K383" s="103">
        <v>27.8</v>
      </c>
      <c r="L383" s="103">
        <v>68.2</v>
      </c>
      <c r="M383" s="103">
        <v>63.6</v>
      </c>
      <c r="N383" s="103">
        <v>6.7</v>
      </c>
      <c r="O383" s="103">
        <v>75</v>
      </c>
      <c r="P383" s="103">
        <v>25</v>
      </c>
      <c r="Q383" s="103">
        <v>30</v>
      </c>
      <c r="R383" s="103">
        <v>20</v>
      </c>
      <c r="T383" s="103">
        <f t="shared" si="5"/>
        <v>0</v>
      </c>
      <c r="W383">
        <v>30153</v>
      </c>
      <c r="X383">
        <v>43426</v>
      </c>
      <c r="Y383">
        <v>11177</v>
      </c>
      <c r="Z383">
        <v>58687</v>
      </c>
      <c r="AA383">
        <v>13696</v>
      </c>
      <c r="AB383" s="103">
        <v>35</v>
      </c>
      <c r="AC383" s="103">
        <v>175</v>
      </c>
      <c r="AD383" s="103">
        <v>60</v>
      </c>
      <c r="AE383" s="103">
        <v>30</v>
      </c>
      <c r="AF383" s="102">
        <v>1.1280830449826988</v>
      </c>
      <c r="AG383" s="102">
        <v>5.0763737024221456</v>
      </c>
      <c r="AH383" s="102">
        <v>0</v>
      </c>
      <c r="AI383" s="102">
        <v>1.1280830449826988</v>
      </c>
      <c r="AJ383" s="102">
        <v>0</v>
      </c>
      <c r="AK383" s="102">
        <v>1.6921245674740486</v>
      </c>
      <c r="AL383" s="102">
        <v>3.9482906574394465</v>
      </c>
      <c r="AM383" s="102">
        <v>0</v>
      </c>
      <c r="AN383" s="102">
        <v>0</v>
      </c>
      <c r="AO383" s="102">
        <v>0</v>
      </c>
      <c r="AP383" s="102">
        <v>0</v>
      </c>
      <c r="AQ383" s="102">
        <v>0</v>
      </c>
      <c r="AR383" s="102">
        <v>0</v>
      </c>
      <c r="AS383" s="102">
        <v>0</v>
      </c>
      <c r="AT383" s="102">
        <v>1.1280830449826988</v>
      </c>
      <c r="AU383" s="102">
        <v>0</v>
      </c>
      <c r="AV383" s="102">
        <v>0</v>
      </c>
      <c r="AW383" s="102">
        <v>0</v>
      </c>
      <c r="AX383" s="102">
        <v>1.1280830449826988</v>
      </c>
      <c r="AY383" s="102">
        <v>0</v>
      </c>
    </row>
    <row r="384" spans="1:52" s="103" customFormat="1">
      <c r="A384" s="103" t="s">
        <v>848</v>
      </c>
      <c r="B384" s="103">
        <v>815</v>
      </c>
      <c r="C384" s="103">
        <v>815</v>
      </c>
      <c r="D384" s="103">
        <v>1.2</v>
      </c>
      <c r="E384" s="103">
        <v>63032</v>
      </c>
      <c r="F384" s="103">
        <v>4.5</v>
      </c>
      <c r="G384" s="103">
        <v>340</v>
      </c>
      <c r="H384" s="103">
        <v>90</v>
      </c>
      <c r="I384" s="103">
        <v>15</v>
      </c>
      <c r="J384" s="103">
        <v>73.5</v>
      </c>
      <c r="K384" s="103">
        <v>27.9</v>
      </c>
      <c r="L384" s="103">
        <v>68.2</v>
      </c>
      <c r="M384" s="103">
        <v>65.900000000000006</v>
      </c>
      <c r="N384" s="103">
        <v>3.4</v>
      </c>
      <c r="O384" s="103">
        <v>155</v>
      </c>
      <c r="P384" s="103">
        <v>55</v>
      </c>
      <c r="Q384" s="103">
        <v>60</v>
      </c>
      <c r="R384" s="103">
        <v>125</v>
      </c>
      <c r="T384" s="103">
        <f t="shared" si="5"/>
        <v>0</v>
      </c>
      <c r="W384">
        <v>23571</v>
      </c>
      <c r="X384">
        <v>28378</v>
      </c>
      <c r="Y384">
        <v>18046</v>
      </c>
      <c r="Z384">
        <v>30748</v>
      </c>
      <c r="AA384">
        <v>18933</v>
      </c>
      <c r="AB384" s="103">
        <v>160</v>
      </c>
      <c r="AC384" s="103">
        <v>475</v>
      </c>
      <c r="AD384" s="103">
        <v>220</v>
      </c>
      <c r="AE384" s="103">
        <v>150</v>
      </c>
      <c r="AF384" s="102" t="e">
        <v>#N/A</v>
      </c>
      <c r="AG384" s="102" t="e">
        <v>#N/A</v>
      </c>
      <c r="AH384" s="102" t="e">
        <v>#N/A</v>
      </c>
      <c r="AI384" s="102" t="e">
        <v>#N/A</v>
      </c>
      <c r="AJ384" s="102" t="e">
        <v>#N/A</v>
      </c>
      <c r="AK384" s="102" t="e">
        <v>#N/A</v>
      </c>
      <c r="AL384" s="102" t="e">
        <v>#N/A</v>
      </c>
      <c r="AM384" s="102" t="e">
        <v>#N/A</v>
      </c>
      <c r="AN384" s="102" t="e">
        <v>#N/A</v>
      </c>
      <c r="AO384" s="102" t="e">
        <v>#N/A</v>
      </c>
      <c r="AP384" s="102" t="e">
        <v>#N/A</v>
      </c>
      <c r="AQ384" s="102" t="e">
        <v>#N/A</v>
      </c>
      <c r="AR384" s="102" t="e">
        <v>#N/A</v>
      </c>
      <c r="AS384" s="102" t="e">
        <v>#N/A</v>
      </c>
      <c r="AT384" s="102" t="e">
        <v>#N/A</v>
      </c>
      <c r="AU384" s="102" t="e">
        <v>#N/A</v>
      </c>
      <c r="AV384" s="102" t="e">
        <v>#N/A</v>
      </c>
      <c r="AW384" s="102" t="e">
        <v>#N/A</v>
      </c>
      <c r="AX384" s="102" t="e">
        <v>#N/A</v>
      </c>
      <c r="AY384" s="102" t="e">
        <v>#N/A</v>
      </c>
    </row>
    <row r="385" spans="1:51" s="103" customFormat="1">
      <c r="A385" s="103" t="s">
        <v>261</v>
      </c>
      <c r="B385" s="103">
        <v>2630</v>
      </c>
      <c r="C385" s="103">
        <v>2635</v>
      </c>
      <c r="D385" s="103">
        <v>2.7</v>
      </c>
      <c r="E385" s="103">
        <v>42693</v>
      </c>
      <c r="F385" s="103">
        <v>0</v>
      </c>
      <c r="G385" s="103">
        <v>495</v>
      </c>
      <c r="H385" s="103">
        <v>110</v>
      </c>
      <c r="I385" s="103">
        <v>275</v>
      </c>
      <c r="J385" s="103">
        <v>6.1</v>
      </c>
      <c r="K385" s="103">
        <v>2</v>
      </c>
      <c r="L385" s="103">
        <v>36.799999999999997</v>
      </c>
      <c r="M385" s="103">
        <v>27.3</v>
      </c>
      <c r="N385" s="103">
        <v>25.9</v>
      </c>
      <c r="O385" s="103">
        <v>195</v>
      </c>
      <c r="P385" s="103">
        <v>60</v>
      </c>
      <c r="Q385" s="103">
        <v>70</v>
      </c>
      <c r="R385" s="103">
        <v>115</v>
      </c>
      <c r="T385" s="103" t="str">
        <f t="shared" si="5"/>
        <v>St. Theresa Point First Nation</v>
      </c>
      <c r="W385">
        <v>18914</v>
      </c>
      <c r="X385">
        <v>18846</v>
      </c>
      <c r="Y385">
        <v>18992</v>
      </c>
      <c r="Z385">
        <v>10048</v>
      </c>
      <c r="AA385">
        <v>12459</v>
      </c>
      <c r="AB385" s="103">
        <v>1065</v>
      </c>
      <c r="AC385" s="103">
        <v>1505</v>
      </c>
      <c r="AD385" s="103">
        <v>300</v>
      </c>
      <c r="AE385" s="103">
        <v>45</v>
      </c>
      <c r="AF385" s="102" t="e">
        <v>#N/A</v>
      </c>
      <c r="AG385" s="102" t="e">
        <v>#N/A</v>
      </c>
      <c r="AH385" s="102" t="e">
        <v>#N/A</v>
      </c>
      <c r="AI385" s="102" t="e">
        <v>#N/A</v>
      </c>
      <c r="AJ385" s="102" t="e">
        <v>#N/A</v>
      </c>
      <c r="AK385" s="102" t="e">
        <v>#N/A</v>
      </c>
      <c r="AL385" s="102" t="e">
        <v>#N/A</v>
      </c>
      <c r="AM385" s="102" t="e">
        <v>#N/A</v>
      </c>
      <c r="AN385" s="102" t="e">
        <v>#N/A</v>
      </c>
      <c r="AO385" s="102" t="e">
        <v>#N/A</v>
      </c>
      <c r="AP385" s="102" t="e">
        <v>#N/A</v>
      </c>
      <c r="AQ385" s="102" t="e">
        <v>#N/A</v>
      </c>
      <c r="AR385" s="102" t="e">
        <v>#N/A</v>
      </c>
      <c r="AS385" s="102" t="e">
        <v>#N/A</v>
      </c>
      <c r="AT385" s="102" t="e">
        <v>#N/A</v>
      </c>
      <c r="AU385" s="102" t="e">
        <v>#N/A</v>
      </c>
      <c r="AV385" s="102" t="e">
        <v>#N/A</v>
      </c>
      <c r="AW385" s="102" t="e">
        <v>#N/A</v>
      </c>
      <c r="AX385" s="102" t="e">
        <v>#N/A</v>
      </c>
      <c r="AY385" s="102" t="e">
        <v>#N/A</v>
      </c>
    </row>
    <row r="386" spans="1:51" s="103" customFormat="1">
      <c r="A386" s="103" t="s">
        <v>613</v>
      </c>
      <c r="B386" s="103">
        <v>6365</v>
      </c>
      <c r="C386" s="103">
        <v>6360</v>
      </c>
      <c r="D386" s="103">
        <v>2.1</v>
      </c>
      <c r="E386" s="103">
        <v>59074</v>
      </c>
      <c r="F386" s="103">
        <v>8.6999999999999993</v>
      </c>
      <c r="G386" s="103">
        <v>1610</v>
      </c>
      <c r="H386" s="103">
        <v>525</v>
      </c>
      <c r="I386" s="103">
        <v>130</v>
      </c>
      <c r="J386" s="103">
        <v>93.5</v>
      </c>
      <c r="K386" s="103">
        <v>6.8</v>
      </c>
      <c r="L386" s="103">
        <v>74.400000000000006</v>
      </c>
      <c r="M386" s="103">
        <v>73</v>
      </c>
      <c r="N386" s="103">
        <v>2</v>
      </c>
      <c r="O386" s="103">
        <v>885</v>
      </c>
      <c r="P386" s="103">
        <v>400</v>
      </c>
      <c r="Q386" s="103">
        <v>490</v>
      </c>
      <c r="R386" s="103">
        <v>280</v>
      </c>
      <c r="T386" s="103">
        <f t="shared" si="5"/>
        <v>0</v>
      </c>
      <c r="W386">
        <v>23268</v>
      </c>
      <c r="X386">
        <v>27774</v>
      </c>
      <c r="Y386">
        <v>17376</v>
      </c>
      <c r="Z386">
        <v>26417</v>
      </c>
      <c r="AA386">
        <v>15176</v>
      </c>
      <c r="AB386" s="103">
        <v>2240</v>
      </c>
      <c r="AC386" s="103">
        <v>3890</v>
      </c>
      <c r="AD386" s="103">
        <v>1130</v>
      </c>
      <c r="AE386" s="103">
        <v>245</v>
      </c>
      <c r="AF386" s="102">
        <v>2.700785140268025</v>
      </c>
      <c r="AG386" s="102">
        <v>0</v>
      </c>
      <c r="AH386" s="102">
        <v>5.5118064087102556E-2</v>
      </c>
      <c r="AI386" s="102">
        <v>1.488187730351769</v>
      </c>
      <c r="AJ386" s="102">
        <v>4.3818860949246536</v>
      </c>
      <c r="AK386" s="102">
        <v>0.79921192926298701</v>
      </c>
      <c r="AL386" s="102">
        <v>1.7086599867001793</v>
      </c>
      <c r="AM386" s="102">
        <v>0.68897580108878187</v>
      </c>
      <c r="AN386" s="102">
        <v>5.5118064087102556E-2</v>
      </c>
      <c r="AO386" s="102">
        <v>0.1377951602177564</v>
      </c>
      <c r="AP386" s="102">
        <v>0.11023612817420511</v>
      </c>
      <c r="AQ386" s="102">
        <v>0.19291322430485894</v>
      </c>
      <c r="AR386" s="102">
        <v>0.11023612817420511</v>
      </c>
      <c r="AS386" s="102">
        <v>0.11023612817420511</v>
      </c>
      <c r="AT386" s="102">
        <v>0.82677096130653838</v>
      </c>
      <c r="AU386" s="102">
        <v>1.5708648264824228</v>
      </c>
      <c r="AV386" s="102">
        <v>5.5118064087102556E-2</v>
      </c>
      <c r="AW386" s="102">
        <v>0.79921192926298701</v>
      </c>
      <c r="AX386" s="102">
        <v>0.90944805743719226</v>
      </c>
      <c r="AY386" s="102">
        <v>0.11023612817420511</v>
      </c>
    </row>
    <row r="387" spans="1:51" s="103" customFormat="1">
      <c r="A387" s="103" t="s">
        <v>428</v>
      </c>
      <c r="B387" s="103">
        <v>1460</v>
      </c>
      <c r="C387" s="103">
        <v>1380</v>
      </c>
      <c r="D387" s="103">
        <v>1.2</v>
      </c>
      <c r="E387" s="103">
        <v>64578</v>
      </c>
      <c r="F387" s="103">
        <v>6.3</v>
      </c>
      <c r="G387" s="103">
        <v>490</v>
      </c>
      <c r="H387" s="103">
        <v>160</v>
      </c>
      <c r="I387" s="103">
        <v>55</v>
      </c>
      <c r="J387" s="103">
        <v>84.7</v>
      </c>
      <c r="K387" s="103">
        <v>16.3</v>
      </c>
      <c r="L387" s="103">
        <v>66.400000000000006</v>
      </c>
      <c r="M387" s="103">
        <v>64.099999999999994</v>
      </c>
      <c r="N387" s="103">
        <v>3.4</v>
      </c>
      <c r="O387" s="103">
        <v>290</v>
      </c>
      <c r="P387" s="103">
        <v>140</v>
      </c>
      <c r="Q387" s="103">
        <v>160</v>
      </c>
      <c r="R387" s="103">
        <v>110</v>
      </c>
      <c r="T387" s="103">
        <f t="shared" si="5"/>
        <v>0</v>
      </c>
      <c r="W387">
        <v>29367</v>
      </c>
      <c r="X387">
        <v>36469</v>
      </c>
      <c r="Y387">
        <v>22520</v>
      </c>
      <c r="Z387">
        <v>36348</v>
      </c>
      <c r="AA387">
        <v>21839</v>
      </c>
      <c r="AB387" s="103">
        <v>345</v>
      </c>
      <c r="AC387" s="103">
        <v>885</v>
      </c>
      <c r="AD387" s="103">
        <v>315</v>
      </c>
      <c r="AE387" s="103">
        <v>225</v>
      </c>
      <c r="AF387" s="102">
        <v>0.45733096418217528</v>
      </c>
      <c r="AG387" s="102">
        <v>0.34299822313663147</v>
      </c>
      <c r="AH387" s="102">
        <v>0</v>
      </c>
      <c r="AI387" s="102">
        <v>1.943656597774245</v>
      </c>
      <c r="AJ387" s="102">
        <v>2.0579893388197887</v>
      </c>
      <c r="AK387" s="102">
        <v>0.80032918731880676</v>
      </c>
      <c r="AL387" s="102">
        <v>0.80032918731880676</v>
      </c>
      <c r="AM387" s="102">
        <v>0.91466192836435056</v>
      </c>
      <c r="AN387" s="102">
        <v>0</v>
      </c>
      <c r="AO387" s="102">
        <v>0.80032918731880676</v>
      </c>
      <c r="AP387" s="102">
        <v>0.22866548209108764</v>
      </c>
      <c r="AQ387" s="102">
        <v>0</v>
      </c>
      <c r="AR387" s="102">
        <v>0</v>
      </c>
      <c r="AS387" s="102">
        <v>0.22866548209108764</v>
      </c>
      <c r="AT387" s="102">
        <v>2.0579893388197887</v>
      </c>
      <c r="AU387" s="102">
        <v>3.5443149724118581</v>
      </c>
      <c r="AV387" s="102">
        <v>0.34299822313663147</v>
      </c>
      <c r="AW387" s="102">
        <v>0.45733096418217528</v>
      </c>
      <c r="AX387" s="102">
        <v>0.57166370522771914</v>
      </c>
      <c r="AY387" s="102">
        <v>1.0289946694098944</v>
      </c>
    </row>
    <row r="388" spans="1:51" s="103" customFormat="1">
      <c r="A388" s="108" t="s">
        <v>784</v>
      </c>
      <c r="B388" s="103">
        <v>4510</v>
      </c>
      <c r="C388" s="103">
        <v>4505</v>
      </c>
      <c r="D388" s="103">
        <v>1.2</v>
      </c>
      <c r="E388" s="103">
        <v>60645</v>
      </c>
      <c r="F388" s="103">
        <v>7.8</v>
      </c>
      <c r="G388" s="103">
        <v>1570</v>
      </c>
      <c r="H388" s="103">
        <v>460</v>
      </c>
      <c r="I388" s="103">
        <v>185</v>
      </c>
      <c r="J388" s="103">
        <v>87.9</v>
      </c>
      <c r="K388" s="103">
        <v>11.8</v>
      </c>
      <c r="L388" s="103">
        <v>63.4</v>
      </c>
      <c r="M388" s="103">
        <v>61.7</v>
      </c>
      <c r="N388" s="103">
        <v>2.8</v>
      </c>
      <c r="O388" s="103">
        <v>815</v>
      </c>
      <c r="P388" s="103">
        <v>490</v>
      </c>
      <c r="Q388" s="103">
        <v>385</v>
      </c>
      <c r="R388" s="103">
        <v>275</v>
      </c>
      <c r="T388" s="103">
        <f t="shared" si="5"/>
        <v>0</v>
      </c>
      <c r="W388">
        <v>26464</v>
      </c>
      <c r="X388">
        <v>31065</v>
      </c>
      <c r="Y388">
        <v>21179</v>
      </c>
      <c r="Z388">
        <v>30089</v>
      </c>
      <c r="AA388">
        <v>16997</v>
      </c>
      <c r="AB388" s="103">
        <v>1080</v>
      </c>
      <c r="AC388" s="103">
        <v>2805</v>
      </c>
      <c r="AD388" s="103">
        <v>1110</v>
      </c>
      <c r="AE388" s="103">
        <v>615</v>
      </c>
      <c r="AF388" s="102">
        <v>2.5284619973750151</v>
      </c>
      <c r="AG388" s="102">
        <v>0.27229590740961701</v>
      </c>
      <c r="AH388" s="102">
        <v>7.7798830688461995E-2</v>
      </c>
      <c r="AI388" s="102">
        <v>1.750473690490395</v>
      </c>
      <c r="AJ388" s="102">
        <v>1.9060713518673189</v>
      </c>
      <c r="AK388" s="102">
        <v>0.66129006085192699</v>
      </c>
      <c r="AL388" s="102">
        <v>1.5559766137692399</v>
      </c>
      <c r="AM388" s="102">
        <v>1.672674859801933</v>
      </c>
      <c r="AN388" s="102">
        <v>0.11669824603269299</v>
      </c>
      <c r="AO388" s="102">
        <v>0.23339649206538599</v>
      </c>
      <c r="AP388" s="102">
        <v>0.11669824603269299</v>
      </c>
      <c r="AQ388" s="102">
        <v>0.505692399475003</v>
      </c>
      <c r="AR388" s="102">
        <v>0</v>
      </c>
      <c r="AS388" s="102">
        <v>0.15559766137692399</v>
      </c>
      <c r="AT388" s="102">
        <v>1.011384798950006</v>
      </c>
      <c r="AU388" s="102">
        <v>1.9060713518673189</v>
      </c>
      <c r="AV388" s="102">
        <v>0.27229590740961701</v>
      </c>
      <c r="AW388" s="102">
        <v>0.62239064550769596</v>
      </c>
      <c r="AX388" s="102">
        <v>0.77798830688461995</v>
      </c>
      <c r="AY388" s="102">
        <v>0.58349123016346494</v>
      </c>
    </row>
    <row r="389" spans="1:51" s="103" customFormat="1">
      <c r="A389" s="103" t="s">
        <v>681</v>
      </c>
      <c r="B389" s="103">
        <v>785</v>
      </c>
      <c r="C389" s="103">
        <v>785</v>
      </c>
      <c r="D389" s="103">
        <v>0.8</v>
      </c>
      <c r="E389" s="103">
        <v>48276</v>
      </c>
      <c r="F389" s="103">
        <v>9.6</v>
      </c>
      <c r="G389" s="103">
        <v>320</v>
      </c>
      <c r="H389" s="103">
        <v>105</v>
      </c>
      <c r="I389" s="103">
        <v>30</v>
      </c>
      <c r="J389" s="103">
        <v>89.1</v>
      </c>
      <c r="K389" s="103">
        <v>9.4</v>
      </c>
      <c r="L389" s="103">
        <v>71.8</v>
      </c>
      <c r="M389" s="103">
        <v>71</v>
      </c>
      <c r="N389" s="103">
        <v>2.1</v>
      </c>
      <c r="O389" s="103">
        <v>150</v>
      </c>
      <c r="P389" s="103">
        <v>70</v>
      </c>
      <c r="Q389" s="103">
        <v>125</v>
      </c>
      <c r="R389" s="103">
        <v>50</v>
      </c>
      <c r="T389" s="103">
        <f t="shared" si="5"/>
        <v>0</v>
      </c>
      <c r="W389">
        <v>18395</v>
      </c>
      <c r="X389">
        <v>18901</v>
      </c>
      <c r="Y389">
        <v>17793</v>
      </c>
      <c r="Z389">
        <v>23410</v>
      </c>
      <c r="AA389">
        <v>21003</v>
      </c>
      <c r="AB389" s="103">
        <v>135</v>
      </c>
      <c r="AC389" s="103">
        <v>535</v>
      </c>
      <c r="AD389" s="103">
        <v>290</v>
      </c>
      <c r="AE389" s="103">
        <v>115</v>
      </c>
      <c r="AF389" s="102">
        <v>5.4003975557682402</v>
      </c>
      <c r="AG389" s="102">
        <v>0</v>
      </c>
      <c r="AH389" s="102">
        <v>0</v>
      </c>
      <c r="AI389" s="102">
        <v>0.90006625929470663</v>
      </c>
      <c r="AJ389" s="102">
        <v>0.90006625929470663</v>
      </c>
      <c r="AK389" s="102">
        <v>0</v>
      </c>
      <c r="AL389" s="102">
        <v>0.90006625929470663</v>
      </c>
      <c r="AM389" s="102">
        <v>1.0800795111536479</v>
      </c>
      <c r="AN389" s="102">
        <v>0.54003975557682393</v>
      </c>
      <c r="AO389" s="102">
        <v>0</v>
      </c>
      <c r="AP389" s="102">
        <v>0</v>
      </c>
      <c r="AQ389" s="102">
        <v>0.54003975557682393</v>
      </c>
      <c r="AR389" s="102">
        <v>0</v>
      </c>
      <c r="AS389" s="102">
        <v>0.36002650371788264</v>
      </c>
      <c r="AT389" s="102">
        <v>1.620119266730472</v>
      </c>
      <c r="AU389" s="102">
        <v>2.7001987778841201</v>
      </c>
      <c r="AV389" s="102">
        <v>0.36002650371788264</v>
      </c>
      <c r="AW389" s="102">
        <v>0.54003975557682393</v>
      </c>
      <c r="AX389" s="102">
        <v>0</v>
      </c>
      <c r="AY389" s="102">
        <v>0.72005300743576528</v>
      </c>
    </row>
    <row r="390" spans="1:51" s="103" customFormat="1">
      <c r="A390" s="103" t="s">
        <v>435</v>
      </c>
      <c r="B390" s="103">
        <v>925</v>
      </c>
      <c r="C390" s="103">
        <v>920</v>
      </c>
      <c r="D390" s="103">
        <v>1.1000000000000001</v>
      </c>
      <c r="E390" s="103">
        <v>49891</v>
      </c>
      <c r="F390" s="103">
        <v>21.6</v>
      </c>
      <c r="G390" s="103">
        <v>430</v>
      </c>
      <c r="H390" s="103">
        <v>100</v>
      </c>
      <c r="I390" s="103">
        <v>50</v>
      </c>
      <c r="J390" s="103">
        <v>55.8</v>
      </c>
      <c r="K390" s="103">
        <v>43</v>
      </c>
      <c r="L390" s="103">
        <v>49.3</v>
      </c>
      <c r="M390" s="103">
        <v>47.3</v>
      </c>
      <c r="N390" s="103">
        <v>4.0999999999999996</v>
      </c>
      <c r="O390" s="103">
        <v>135</v>
      </c>
      <c r="P390" s="103">
        <v>110</v>
      </c>
      <c r="Q390" s="103">
        <v>110</v>
      </c>
      <c r="R390" s="103">
        <v>50</v>
      </c>
      <c r="T390" s="103">
        <f t="shared" si="5"/>
        <v>0</v>
      </c>
      <c r="W390">
        <v>23956</v>
      </c>
      <c r="X390">
        <v>31518</v>
      </c>
      <c r="Y390">
        <v>16128</v>
      </c>
      <c r="Z390">
        <v>20256</v>
      </c>
      <c r="AA390">
        <v>15691</v>
      </c>
      <c r="AB390" s="103">
        <v>180</v>
      </c>
      <c r="AC390" s="103">
        <v>480</v>
      </c>
      <c r="AD390" s="103">
        <v>165</v>
      </c>
      <c r="AE390" s="103">
        <v>240</v>
      </c>
      <c r="AF390" s="102">
        <v>1.8543830876427927</v>
      </c>
      <c r="AG390" s="102">
        <v>1.3907873157320945</v>
      </c>
      <c r="AH390" s="102">
        <v>0</v>
      </c>
      <c r="AI390" s="102">
        <v>0.92719154382139635</v>
      </c>
      <c r="AJ390" s="102">
        <v>0</v>
      </c>
      <c r="AK390" s="102">
        <v>0.46359577191069817</v>
      </c>
      <c r="AL390" s="102">
        <v>2.0861809735981418</v>
      </c>
      <c r="AM390" s="102">
        <v>0</v>
      </c>
      <c r="AN390" s="102">
        <v>0.46359577191069817</v>
      </c>
      <c r="AO390" s="102">
        <v>0</v>
      </c>
      <c r="AP390" s="102">
        <v>0</v>
      </c>
      <c r="AQ390" s="102">
        <v>0.46359577191069817</v>
      </c>
      <c r="AR390" s="102">
        <v>0</v>
      </c>
      <c r="AS390" s="102">
        <v>0</v>
      </c>
      <c r="AT390" s="102">
        <v>0.69539365786604723</v>
      </c>
      <c r="AU390" s="102">
        <v>4.404159833151633</v>
      </c>
      <c r="AV390" s="102">
        <v>0</v>
      </c>
      <c r="AW390" s="102">
        <v>0.92719154382139635</v>
      </c>
      <c r="AX390" s="102">
        <v>0.69539365786604723</v>
      </c>
      <c r="AY390" s="102">
        <v>1.1589894297767454</v>
      </c>
    </row>
    <row r="391" spans="1:51" s="103" customFormat="1">
      <c r="A391" s="103" t="s">
        <v>457</v>
      </c>
      <c r="B391" s="103">
        <v>10845</v>
      </c>
      <c r="C391" s="103">
        <v>10845</v>
      </c>
      <c r="D391" s="103">
        <v>1.1000000000000001</v>
      </c>
      <c r="E391" s="103">
        <v>63335</v>
      </c>
      <c r="F391" s="103">
        <v>10.4</v>
      </c>
      <c r="G391" s="103">
        <v>4250</v>
      </c>
      <c r="H391" s="103">
        <v>820</v>
      </c>
      <c r="I391" s="103">
        <v>170</v>
      </c>
      <c r="J391" s="103">
        <v>66</v>
      </c>
      <c r="K391" s="103">
        <v>33.9</v>
      </c>
      <c r="L391" s="103">
        <v>68.900000000000006</v>
      </c>
      <c r="M391" s="103">
        <v>65.8</v>
      </c>
      <c r="N391" s="103">
        <v>4.5999999999999996</v>
      </c>
      <c r="O391" s="103">
        <v>2265</v>
      </c>
      <c r="P391" s="103">
        <v>700</v>
      </c>
      <c r="Q391" s="103">
        <v>1365</v>
      </c>
      <c r="R391" s="103">
        <v>1150</v>
      </c>
      <c r="T391" s="103">
        <f t="shared" ref="T391:T437" si="7">IFERROR(VLOOKUP(A391,$U$12:$U$74,1,0),0)</f>
        <v>0</v>
      </c>
      <c r="W391">
        <v>28396</v>
      </c>
      <c r="X391">
        <v>35176</v>
      </c>
      <c r="Y391">
        <v>20615</v>
      </c>
      <c r="Z391">
        <v>30189</v>
      </c>
      <c r="AA391">
        <v>17538</v>
      </c>
      <c r="AB391" s="103">
        <v>2235</v>
      </c>
      <c r="AC391" s="103">
        <v>6895</v>
      </c>
      <c r="AD391" s="103">
        <v>2305</v>
      </c>
      <c r="AE391" s="103">
        <v>1720</v>
      </c>
      <c r="AF391" s="102">
        <v>0.99872444960525619</v>
      </c>
      <c r="AG391" s="102">
        <v>8.560495282330767E-2</v>
      </c>
      <c r="AH391" s="102">
        <v>9.9872444960525622E-2</v>
      </c>
      <c r="AI391" s="102">
        <v>1.3839467373101406</v>
      </c>
      <c r="AJ391" s="102">
        <v>3.1673832544623841</v>
      </c>
      <c r="AK391" s="102">
        <v>0.47082724052819225</v>
      </c>
      <c r="AL391" s="102">
        <v>1.9261114385244229</v>
      </c>
      <c r="AM391" s="102">
        <v>1.0415269260169102</v>
      </c>
      <c r="AN391" s="102">
        <v>0.19974488992105124</v>
      </c>
      <c r="AO391" s="102">
        <v>0.65630463831202557</v>
      </c>
      <c r="AP391" s="102">
        <v>0.28534984274435893</v>
      </c>
      <c r="AQ391" s="102">
        <v>0.4993622248026281</v>
      </c>
      <c r="AR391" s="102">
        <v>0</v>
      </c>
      <c r="AS391" s="102">
        <v>0.32815231915601278</v>
      </c>
      <c r="AT391" s="102">
        <v>1.0415269260169102</v>
      </c>
      <c r="AU391" s="102">
        <v>1.9689139149360766</v>
      </c>
      <c r="AV391" s="102">
        <v>0.34241981129323068</v>
      </c>
      <c r="AW391" s="102">
        <v>1.0272594338796921</v>
      </c>
      <c r="AX391" s="102">
        <v>0.88458451250751269</v>
      </c>
      <c r="AY391" s="102">
        <v>0.37095479556766664</v>
      </c>
    </row>
    <row r="392" spans="1:51" s="103" customFormat="1">
      <c r="A392" s="103" t="s">
        <v>458</v>
      </c>
      <c r="B392" s="103">
        <v>4310</v>
      </c>
      <c r="C392" s="103">
        <v>4305</v>
      </c>
      <c r="D392" s="103">
        <v>1.2</v>
      </c>
      <c r="E392" s="103">
        <v>83132</v>
      </c>
      <c r="F392" s="103">
        <v>3.2</v>
      </c>
      <c r="G392" s="103">
        <v>1630</v>
      </c>
      <c r="H392" s="103">
        <v>365</v>
      </c>
      <c r="I392" s="103">
        <v>60</v>
      </c>
      <c r="J392" s="103">
        <v>79.099999999999994</v>
      </c>
      <c r="K392" s="103">
        <v>20.9</v>
      </c>
      <c r="L392" s="103">
        <v>70.2</v>
      </c>
      <c r="M392" s="103">
        <v>67.7</v>
      </c>
      <c r="N392" s="103">
        <v>3.7</v>
      </c>
      <c r="O392" s="103">
        <v>925</v>
      </c>
      <c r="P392" s="103">
        <v>350</v>
      </c>
      <c r="Q392" s="103">
        <v>700</v>
      </c>
      <c r="R392" s="103">
        <v>495</v>
      </c>
      <c r="T392" s="103">
        <f t="shared" si="7"/>
        <v>0</v>
      </c>
      <c r="W392">
        <v>33241</v>
      </c>
      <c r="X392">
        <v>40720</v>
      </c>
      <c r="Y392">
        <v>25160</v>
      </c>
      <c r="Z392">
        <v>38928</v>
      </c>
      <c r="AA392">
        <v>19433</v>
      </c>
      <c r="AB392" s="103">
        <v>890</v>
      </c>
      <c r="AC392" s="103">
        <v>2835</v>
      </c>
      <c r="AD392" s="103">
        <v>1095</v>
      </c>
      <c r="AE392" s="103">
        <v>580</v>
      </c>
      <c r="AF392" s="102">
        <v>0.10553791481127121</v>
      </c>
      <c r="AG392" s="102">
        <v>0</v>
      </c>
      <c r="AH392" s="102">
        <v>0.38697235430799448</v>
      </c>
      <c r="AI392" s="102">
        <v>0.77394470861598896</v>
      </c>
      <c r="AJ392" s="102">
        <v>1.1960963678610739</v>
      </c>
      <c r="AK392" s="102">
        <v>0.80912401355307939</v>
      </c>
      <c r="AL392" s="102">
        <v>2.2162962110366955</v>
      </c>
      <c r="AM392" s="102">
        <v>1.5830687221690682</v>
      </c>
      <c r="AN392" s="102">
        <v>0.70358609874180811</v>
      </c>
      <c r="AO392" s="102">
        <v>0.49251026911926571</v>
      </c>
      <c r="AP392" s="102">
        <v>0.17589652468545203</v>
      </c>
      <c r="AQ392" s="102">
        <v>0.84430331849016971</v>
      </c>
      <c r="AR392" s="102">
        <v>0</v>
      </c>
      <c r="AS392" s="102">
        <v>0.42215165924508485</v>
      </c>
      <c r="AT392" s="102">
        <v>0.98502053823853142</v>
      </c>
      <c r="AU392" s="102">
        <v>2.3921927357221477</v>
      </c>
      <c r="AV392" s="102">
        <v>0.21107582962254243</v>
      </c>
      <c r="AW392" s="102">
        <v>1.0553791481127122</v>
      </c>
      <c r="AX392" s="102">
        <v>1.0201998431756218</v>
      </c>
      <c r="AY392" s="102">
        <v>1.3719928925465259</v>
      </c>
    </row>
    <row r="393" spans="1:51" s="103" customFormat="1">
      <c r="A393" s="103" t="s">
        <v>670</v>
      </c>
      <c r="B393" s="103">
        <v>840</v>
      </c>
      <c r="C393" s="103">
        <v>840</v>
      </c>
      <c r="D393" s="103">
        <v>0.9</v>
      </c>
      <c r="E393" s="103">
        <v>47711</v>
      </c>
      <c r="F393" s="103">
        <v>10.4</v>
      </c>
      <c r="G393" s="103">
        <v>390</v>
      </c>
      <c r="H393" s="103">
        <v>165</v>
      </c>
      <c r="I393" s="103">
        <v>55</v>
      </c>
      <c r="J393" s="103">
        <v>80.8</v>
      </c>
      <c r="K393" s="103">
        <v>19.2</v>
      </c>
      <c r="L393" s="103">
        <v>66</v>
      </c>
      <c r="M393" s="103">
        <v>66</v>
      </c>
      <c r="N393" s="103">
        <v>0</v>
      </c>
      <c r="O393" s="103">
        <v>190</v>
      </c>
      <c r="P393" s="103">
        <v>100</v>
      </c>
      <c r="Q393" s="103">
        <v>75</v>
      </c>
      <c r="R393" s="103">
        <v>100</v>
      </c>
      <c r="T393" s="103">
        <f t="shared" si="7"/>
        <v>0</v>
      </c>
      <c r="W393">
        <v>17553</v>
      </c>
      <c r="X393">
        <v>18780</v>
      </c>
      <c r="Y393">
        <v>15944</v>
      </c>
      <c r="Z393">
        <v>20060</v>
      </c>
      <c r="AA393">
        <v>18918</v>
      </c>
      <c r="AB393" s="103">
        <v>125</v>
      </c>
      <c r="AC393" s="103">
        <v>520</v>
      </c>
      <c r="AD393" s="103">
        <v>285</v>
      </c>
      <c r="AE393" s="103">
        <v>170</v>
      </c>
      <c r="AF393" s="102">
        <v>6.5501596160285747</v>
      </c>
      <c r="AG393" s="102">
        <v>0</v>
      </c>
      <c r="AH393" s="102">
        <v>0.36389775644603195</v>
      </c>
      <c r="AI393" s="102">
        <v>0.36389775644603195</v>
      </c>
      <c r="AJ393" s="102">
        <v>0.90974439111507988</v>
      </c>
      <c r="AK393" s="102">
        <v>0.36389775644603195</v>
      </c>
      <c r="AL393" s="102">
        <v>1.2736421475611117</v>
      </c>
      <c r="AM393" s="102">
        <v>1.6375399040071437</v>
      </c>
      <c r="AN393" s="102">
        <v>0</v>
      </c>
      <c r="AO393" s="102">
        <v>0.54584663466904793</v>
      </c>
      <c r="AP393" s="102">
        <v>0</v>
      </c>
      <c r="AQ393" s="102">
        <v>0</v>
      </c>
      <c r="AR393" s="102">
        <v>0</v>
      </c>
      <c r="AS393" s="102">
        <v>0.54584663466904793</v>
      </c>
      <c r="AT393" s="102">
        <v>0.7277955128920639</v>
      </c>
      <c r="AU393" s="102">
        <v>1.4555910257841278</v>
      </c>
      <c r="AV393" s="102">
        <v>0</v>
      </c>
      <c r="AW393" s="102">
        <v>0</v>
      </c>
      <c r="AX393" s="102">
        <v>1.0916932693380959</v>
      </c>
      <c r="AY393" s="102">
        <v>0.54584663466904793</v>
      </c>
    </row>
    <row r="394" spans="1:51" s="103" customFormat="1">
      <c r="A394" s="103" t="s">
        <v>628</v>
      </c>
      <c r="B394" s="103">
        <v>725</v>
      </c>
      <c r="C394" s="103">
        <v>725</v>
      </c>
      <c r="D394" s="103">
        <v>0.8</v>
      </c>
      <c r="E394" s="103">
        <v>45387</v>
      </c>
      <c r="F394" s="103">
        <v>22.7</v>
      </c>
      <c r="G394" s="103">
        <v>335</v>
      </c>
      <c r="H394" s="103">
        <v>130</v>
      </c>
      <c r="I394" s="103">
        <v>45</v>
      </c>
      <c r="J394" s="103">
        <v>88.1</v>
      </c>
      <c r="K394" s="103">
        <v>11.9</v>
      </c>
      <c r="L394" s="103">
        <v>68.8</v>
      </c>
      <c r="M394" s="103">
        <v>62.4</v>
      </c>
      <c r="N394" s="103">
        <v>9.3000000000000007</v>
      </c>
      <c r="O394" s="103">
        <v>150</v>
      </c>
      <c r="P394" s="103">
        <v>30</v>
      </c>
      <c r="Q394" s="103">
        <v>110</v>
      </c>
      <c r="R394" s="103">
        <v>60</v>
      </c>
      <c r="T394" s="103">
        <f t="shared" si="7"/>
        <v>0</v>
      </c>
      <c r="W394">
        <v>21255</v>
      </c>
      <c r="X394">
        <v>22498</v>
      </c>
      <c r="Y394">
        <v>19697</v>
      </c>
      <c r="Z394">
        <v>19769</v>
      </c>
      <c r="AA394">
        <v>16453</v>
      </c>
      <c r="AB394" s="103">
        <v>95</v>
      </c>
      <c r="AC394" s="103">
        <v>430</v>
      </c>
      <c r="AD394" s="103">
        <v>185</v>
      </c>
      <c r="AE394" s="103">
        <v>195</v>
      </c>
      <c r="AF394" s="102">
        <v>5.5092427778224833</v>
      </c>
      <c r="AG394" s="102">
        <v>0</v>
      </c>
      <c r="AH394" s="102">
        <v>0</v>
      </c>
      <c r="AI394" s="102">
        <v>1.3773106944556208</v>
      </c>
      <c r="AJ394" s="102">
        <v>0</v>
      </c>
      <c r="AK394" s="102">
        <v>0.98379335318258632</v>
      </c>
      <c r="AL394" s="102">
        <v>0.59027601190955181</v>
      </c>
      <c r="AM394" s="102">
        <v>0.78703468254606901</v>
      </c>
      <c r="AN394" s="102">
        <v>0</v>
      </c>
      <c r="AO394" s="102">
        <v>0.3935173412730345</v>
      </c>
      <c r="AP394" s="102">
        <v>0</v>
      </c>
      <c r="AQ394" s="102">
        <v>0.98379335318258632</v>
      </c>
      <c r="AR394" s="102">
        <v>0</v>
      </c>
      <c r="AS394" s="102">
        <v>0</v>
      </c>
      <c r="AT394" s="102">
        <v>1.1805520238191036</v>
      </c>
      <c r="AU394" s="102">
        <v>1.7708280357286554</v>
      </c>
      <c r="AV394" s="102">
        <v>0</v>
      </c>
      <c r="AW394" s="102">
        <v>1.574069365092138</v>
      </c>
      <c r="AX394" s="102">
        <v>0.78703468254606901</v>
      </c>
      <c r="AY394" s="102">
        <v>0.3935173412730345</v>
      </c>
    </row>
    <row r="395" spans="1:51" s="103" customFormat="1">
      <c r="A395" s="103" t="s">
        <v>460</v>
      </c>
      <c r="B395" s="103">
        <v>1580</v>
      </c>
      <c r="C395" s="103">
        <v>1585</v>
      </c>
      <c r="D395" s="103">
        <v>1.1000000000000001</v>
      </c>
      <c r="E395" s="103">
        <v>46275</v>
      </c>
      <c r="F395" s="103">
        <v>14.6</v>
      </c>
      <c r="G395" s="103">
        <v>645</v>
      </c>
      <c r="H395" s="103">
        <v>225</v>
      </c>
      <c r="I395" s="103">
        <v>110</v>
      </c>
      <c r="J395" s="103">
        <v>86.8</v>
      </c>
      <c r="K395" s="103">
        <v>13.2</v>
      </c>
      <c r="L395" s="103">
        <v>63</v>
      </c>
      <c r="M395" s="103">
        <v>61</v>
      </c>
      <c r="N395" s="103">
        <v>3.1</v>
      </c>
      <c r="O395" s="103">
        <v>270</v>
      </c>
      <c r="P395" s="103">
        <v>75</v>
      </c>
      <c r="Q395" s="103">
        <v>160</v>
      </c>
      <c r="R395" s="103">
        <v>85</v>
      </c>
      <c r="T395" s="103">
        <f t="shared" si="7"/>
        <v>0</v>
      </c>
      <c r="W395">
        <v>19122</v>
      </c>
      <c r="X395">
        <v>19685</v>
      </c>
      <c r="Y395">
        <v>18283</v>
      </c>
      <c r="Z395">
        <v>18580</v>
      </c>
      <c r="AA395">
        <v>13449</v>
      </c>
      <c r="AB395" s="103">
        <v>310</v>
      </c>
      <c r="AC395" s="103">
        <v>985</v>
      </c>
      <c r="AD395" s="103">
        <v>440</v>
      </c>
      <c r="AE395" s="103">
        <v>270</v>
      </c>
      <c r="AF395" s="102">
        <v>6.4512249134948094</v>
      </c>
      <c r="AG395" s="102">
        <v>0.21151557093425608</v>
      </c>
      <c r="AH395" s="102">
        <v>0</v>
      </c>
      <c r="AI395" s="102">
        <v>1.1633356401384085</v>
      </c>
      <c r="AJ395" s="102">
        <v>2.0093979238754325</v>
      </c>
      <c r="AK395" s="102">
        <v>0.74030449826989619</v>
      </c>
      <c r="AL395" s="102">
        <v>1.6921245674740486</v>
      </c>
      <c r="AM395" s="102">
        <v>0.42303114186851215</v>
      </c>
      <c r="AN395" s="102">
        <v>0</v>
      </c>
      <c r="AO395" s="102">
        <v>0</v>
      </c>
      <c r="AP395" s="102">
        <v>0</v>
      </c>
      <c r="AQ395" s="102">
        <v>0</v>
      </c>
      <c r="AR395" s="102">
        <v>0</v>
      </c>
      <c r="AS395" s="102">
        <v>0.21151557093425608</v>
      </c>
      <c r="AT395" s="102">
        <v>0.8460622837370243</v>
      </c>
      <c r="AU395" s="102">
        <v>1.4806089965397924</v>
      </c>
      <c r="AV395" s="102">
        <v>0</v>
      </c>
      <c r="AW395" s="102">
        <v>0.42303114186851215</v>
      </c>
      <c r="AX395" s="102">
        <v>0.3172733564013841</v>
      </c>
      <c r="AY395" s="102">
        <v>0.52878892733564009</v>
      </c>
    </row>
    <row r="396" spans="1:51" s="103" customFormat="1">
      <c r="A396" s="105" t="s">
        <v>272</v>
      </c>
      <c r="B396" s="105">
        <v>350</v>
      </c>
      <c r="C396" s="105">
        <v>345</v>
      </c>
      <c r="D396" s="105">
        <v>1.8</v>
      </c>
      <c r="E396" s="105">
        <v>26562</v>
      </c>
      <c r="F396" s="105">
        <v>0</v>
      </c>
      <c r="G396" s="105">
        <v>120</v>
      </c>
      <c r="H396" s="105">
        <v>35</v>
      </c>
      <c r="I396" s="105">
        <v>55</v>
      </c>
      <c r="J396" s="105">
        <v>8.3000000000000007</v>
      </c>
      <c r="K396" s="105">
        <v>12.5</v>
      </c>
      <c r="L396" s="105">
        <v>39.6</v>
      </c>
      <c r="M396" s="105">
        <v>29.2</v>
      </c>
      <c r="N396" s="105">
        <v>31.6</v>
      </c>
      <c r="O396" s="105">
        <v>35</v>
      </c>
      <c r="P396" s="105">
        <v>10</v>
      </c>
      <c r="Q396" s="105">
        <v>15</v>
      </c>
      <c r="R396" s="105">
        <v>10</v>
      </c>
      <c r="T396" s="103" t="str">
        <f t="shared" si="7"/>
        <v>Swan Lake First Nation</v>
      </c>
      <c r="W396">
        <v>15515</v>
      </c>
      <c r="X396">
        <v>15137</v>
      </c>
      <c r="Y396">
        <v>15940</v>
      </c>
      <c r="Z396">
        <v>5680</v>
      </c>
      <c r="AA396">
        <v>11680</v>
      </c>
      <c r="AB396" s="103">
        <v>95</v>
      </c>
      <c r="AC396" s="103">
        <v>210</v>
      </c>
      <c r="AD396" s="103">
        <v>65</v>
      </c>
      <c r="AE396" s="103">
        <v>50</v>
      </c>
      <c r="AF396" s="102">
        <v>0</v>
      </c>
      <c r="AG396" s="102">
        <v>0</v>
      </c>
      <c r="AH396" s="102">
        <v>0</v>
      </c>
      <c r="AI396" s="102">
        <v>1.7811837552358403</v>
      </c>
      <c r="AJ396" s="102">
        <v>0</v>
      </c>
      <c r="AK396" s="102">
        <v>0</v>
      </c>
      <c r="AL396" s="102">
        <v>0</v>
      </c>
      <c r="AM396" s="102">
        <v>1.7811837552358403</v>
      </c>
      <c r="AN396" s="102">
        <v>0</v>
      </c>
      <c r="AO396" s="102">
        <v>0</v>
      </c>
      <c r="AP396" s="102">
        <v>0</v>
      </c>
      <c r="AQ396" s="102">
        <v>0</v>
      </c>
      <c r="AR396" s="102">
        <v>0</v>
      </c>
      <c r="AS396" s="102">
        <v>1.7811837552358403</v>
      </c>
      <c r="AT396" s="102">
        <v>1.7811837552358403</v>
      </c>
      <c r="AU396" s="102">
        <v>3.5623675104716805</v>
      </c>
      <c r="AV396" s="102">
        <v>0</v>
      </c>
      <c r="AW396" s="102">
        <v>0</v>
      </c>
      <c r="AX396" s="102">
        <v>0</v>
      </c>
      <c r="AY396" s="102">
        <v>3.5623675104716805</v>
      </c>
    </row>
    <row r="397" spans="1:51" s="103" customFormat="1">
      <c r="A397" t="s">
        <v>835</v>
      </c>
      <c r="B397" s="105">
        <v>150</v>
      </c>
      <c r="C397" s="105">
        <v>150</v>
      </c>
      <c r="D397" s="105">
        <v>2.8</v>
      </c>
      <c r="E397" s="105">
        <v>0</v>
      </c>
      <c r="F397" s="105">
        <v>0</v>
      </c>
      <c r="G397" s="105">
        <v>30</v>
      </c>
      <c r="H397" s="105">
        <v>10</v>
      </c>
      <c r="I397" s="105">
        <v>20</v>
      </c>
      <c r="J397" s="105">
        <v>0</v>
      </c>
      <c r="K397" s="105">
        <v>50</v>
      </c>
      <c r="L397" s="105">
        <v>22.2</v>
      </c>
      <c r="M397" s="105">
        <v>11.1</v>
      </c>
      <c r="N397" s="105">
        <v>50</v>
      </c>
      <c r="O397" s="105">
        <v>10</v>
      </c>
      <c r="P397" s="105">
        <v>0</v>
      </c>
      <c r="Q397" s="105">
        <v>0</v>
      </c>
      <c r="R397" s="105">
        <v>10</v>
      </c>
      <c r="T397" s="103">
        <f t="shared" si="7"/>
        <v>0</v>
      </c>
      <c r="W397">
        <v>0</v>
      </c>
      <c r="X397">
        <v>0</v>
      </c>
      <c r="Y397">
        <v>0</v>
      </c>
      <c r="Z397">
        <v>0</v>
      </c>
      <c r="AA397">
        <v>0</v>
      </c>
      <c r="AB397" s="103">
        <v>50</v>
      </c>
      <c r="AC397" s="103">
        <v>55</v>
      </c>
      <c r="AD397" s="103">
        <v>0</v>
      </c>
      <c r="AE397" s="103">
        <v>0</v>
      </c>
      <c r="AF397" s="102">
        <v>0</v>
      </c>
      <c r="AG397" s="102">
        <v>0</v>
      </c>
      <c r="AH397" s="102">
        <v>0</v>
      </c>
      <c r="AI397" s="102">
        <v>0</v>
      </c>
      <c r="AJ397" s="102">
        <v>0</v>
      </c>
      <c r="AK397" s="102">
        <v>0</v>
      </c>
      <c r="AL397" s="102">
        <v>0</v>
      </c>
      <c r="AM397" s="102">
        <v>0</v>
      </c>
      <c r="AN397" s="102">
        <v>0</v>
      </c>
      <c r="AO397" s="102">
        <v>0</v>
      </c>
      <c r="AP397" s="102">
        <v>0</v>
      </c>
      <c r="AQ397" s="102">
        <v>0</v>
      </c>
      <c r="AR397" s="102">
        <v>0</v>
      </c>
      <c r="AS397" s="102">
        <v>0</v>
      </c>
      <c r="AT397" s="102">
        <v>0</v>
      </c>
      <c r="AU397" s="102">
        <v>0</v>
      </c>
      <c r="AV397" s="102">
        <v>0</v>
      </c>
      <c r="AW397" s="102">
        <v>0</v>
      </c>
      <c r="AX397" s="102">
        <v>0</v>
      </c>
      <c r="AY397" s="102">
        <v>8.4606228373702415</v>
      </c>
    </row>
    <row r="398" spans="1:51" s="103" customFormat="1">
      <c r="A398" s="103" t="s">
        <v>697</v>
      </c>
      <c r="B398" s="103">
        <v>3730</v>
      </c>
      <c r="C398" s="103">
        <v>3725</v>
      </c>
      <c r="D398" s="103">
        <v>1</v>
      </c>
      <c r="E398" s="103">
        <v>61097</v>
      </c>
      <c r="F398" s="103">
        <v>9.9</v>
      </c>
      <c r="G398" s="103">
        <v>1755</v>
      </c>
      <c r="H398" s="103">
        <v>510</v>
      </c>
      <c r="I398" s="103">
        <v>110</v>
      </c>
      <c r="J398" s="103">
        <v>63.8</v>
      </c>
      <c r="K398" s="103">
        <v>36.5</v>
      </c>
      <c r="L398" s="103">
        <v>53.8</v>
      </c>
      <c r="M398" s="103">
        <v>51.8</v>
      </c>
      <c r="N398" s="103">
        <v>4</v>
      </c>
      <c r="O398" s="103">
        <v>715</v>
      </c>
      <c r="P398" s="103">
        <v>305</v>
      </c>
      <c r="Q398" s="103">
        <v>445</v>
      </c>
      <c r="R398" s="103">
        <v>430</v>
      </c>
      <c r="T398" s="103">
        <f t="shared" si="7"/>
        <v>0</v>
      </c>
      <c r="W398">
        <v>27365</v>
      </c>
      <c r="X398">
        <v>33259</v>
      </c>
      <c r="Y398">
        <v>22119</v>
      </c>
      <c r="Z398">
        <v>27120</v>
      </c>
      <c r="AA398">
        <v>18683</v>
      </c>
      <c r="AB398" s="103">
        <v>690</v>
      </c>
      <c r="AC398" s="103">
        <v>2075</v>
      </c>
      <c r="AD398" s="103">
        <v>810</v>
      </c>
      <c r="AE398" s="103">
        <v>955</v>
      </c>
      <c r="AF398" s="102">
        <v>0.77620393003396726</v>
      </c>
      <c r="AG398" s="102">
        <v>0</v>
      </c>
      <c r="AH398" s="102">
        <v>0.20698771467572458</v>
      </c>
      <c r="AI398" s="102">
        <v>0.46572235802038031</v>
      </c>
      <c r="AJ398" s="102">
        <v>1.138432430716485</v>
      </c>
      <c r="AK398" s="102">
        <v>0.41397542935144915</v>
      </c>
      <c r="AL398" s="102">
        <v>2.4321056474397635</v>
      </c>
      <c r="AM398" s="102">
        <v>0.56921621535824252</v>
      </c>
      <c r="AN398" s="102">
        <v>0.10349385733786229</v>
      </c>
      <c r="AO398" s="102">
        <v>0.77620393003396726</v>
      </c>
      <c r="AP398" s="102">
        <v>0.10349385733786229</v>
      </c>
      <c r="AQ398" s="102">
        <v>0.98319164470969178</v>
      </c>
      <c r="AR398" s="102">
        <v>0.10349385733786229</v>
      </c>
      <c r="AS398" s="102">
        <v>0.15524078600679345</v>
      </c>
      <c r="AT398" s="102">
        <v>1.5524078600679345</v>
      </c>
      <c r="AU398" s="102">
        <v>3.6222850068251802</v>
      </c>
      <c r="AV398" s="102">
        <v>0.10349385733786229</v>
      </c>
      <c r="AW398" s="102">
        <v>1.3454201453922097</v>
      </c>
      <c r="AX398" s="102">
        <v>1.2419262880543476</v>
      </c>
      <c r="AY398" s="102">
        <v>0.82795085870289831</v>
      </c>
    </row>
    <row r="399" spans="1:51" s="103" customFormat="1">
      <c r="A399" s="108" t="s">
        <v>785</v>
      </c>
      <c r="B399" s="103">
        <v>2785</v>
      </c>
      <c r="C399" s="103">
        <v>2780</v>
      </c>
      <c r="D399" s="103">
        <v>1</v>
      </c>
      <c r="E399" s="103">
        <v>65405</v>
      </c>
      <c r="F399" s="103">
        <v>5.3</v>
      </c>
      <c r="G399" s="103">
        <v>1040</v>
      </c>
      <c r="H399" s="103">
        <v>425</v>
      </c>
      <c r="I399" s="103">
        <v>170</v>
      </c>
      <c r="J399" s="103">
        <v>89.9</v>
      </c>
      <c r="K399" s="103">
        <v>10.1</v>
      </c>
      <c r="L399" s="103">
        <v>77.7</v>
      </c>
      <c r="M399" s="103">
        <v>74.099999999999994</v>
      </c>
      <c r="N399" s="103">
        <v>4.5999999999999996</v>
      </c>
      <c r="O399" s="103">
        <v>640</v>
      </c>
      <c r="P399" s="103">
        <v>295</v>
      </c>
      <c r="Q399" s="103">
        <v>220</v>
      </c>
      <c r="R399" s="103">
        <v>230</v>
      </c>
      <c r="T399" s="103">
        <f t="shared" si="7"/>
        <v>0</v>
      </c>
      <c r="W399">
        <v>24798</v>
      </c>
      <c r="X399">
        <v>28049</v>
      </c>
      <c r="Y399">
        <v>20790</v>
      </c>
      <c r="Z399">
        <v>24135</v>
      </c>
      <c r="AA399">
        <v>16615</v>
      </c>
      <c r="AB399" s="103">
        <v>560</v>
      </c>
      <c r="AC399" s="103">
        <v>1875</v>
      </c>
      <c r="AD399" s="103">
        <v>900</v>
      </c>
      <c r="AE399" s="103">
        <v>335</v>
      </c>
      <c r="AF399" s="102">
        <v>4.8066147134045432</v>
      </c>
      <c r="AG399" s="102">
        <v>0.34332962238603881</v>
      </c>
      <c r="AH399" s="102">
        <v>0</v>
      </c>
      <c r="AI399" s="102">
        <v>0.68665924477207763</v>
      </c>
      <c r="AJ399" s="102">
        <v>0.98094177824582518</v>
      </c>
      <c r="AK399" s="102">
        <v>9.8094177824582518E-2</v>
      </c>
      <c r="AL399" s="102">
        <v>2.2561660899653977</v>
      </c>
      <c r="AM399" s="102">
        <v>0.78475342259666014</v>
      </c>
      <c r="AN399" s="102">
        <v>0.34332962238603881</v>
      </c>
      <c r="AO399" s="102">
        <v>0.24523544456145629</v>
      </c>
      <c r="AP399" s="102">
        <v>0.14714126673687378</v>
      </c>
      <c r="AQ399" s="102">
        <v>0.39237671129833007</v>
      </c>
      <c r="AR399" s="102">
        <v>0</v>
      </c>
      <c r="AS399" s="102">
        <v>9.8094177824582518E-2</v>
      </c>
      <c r="AT399" s="102">
        <v>1.3733184895441553</v>
      </c>
      <c r="AU399" s="102">
        <v>2.1580719121408154</v>
      </c>
      <c r="AV399" s="102">
        <v>0.14714126673687378</v>
      </c>
      <c r="AW399" s="102">
        <v>0.63761215585978637</v>
      </c>
      <c r="AX399" s="102">
        <v>0.53951797803520385</v>
      </c>
      <c r="AY399" s="102">
        <v>0.73570633368436888</v>
      </c>
    </row>
    <row r="400" spans="1:51">
      <c r="A400" s="102" t="s">
        <v>609</v>
      </c>
      <c r="B400" s="102">
        <v>9080</v>
      </c>
      <c r="C400" s="102">
        <v>9055</v>
      </c>
      <c r="D400" s="102">
        <v>1.4</v>
      </c>
      <c r="E400" s="102">
        <v>74109</v>
      </c>
      <c r="F400" s="102">
        <v>5.6</v>
      </c>
      <c r="G400" s="102">
        <v>2895</v>
      </c>
      <c r="H400" s="102">
        <v>950</v>
      </c>
      <c r="I400" s="102">
        <v>215</v>
      </c>
      <c r="J400" s="102">
        <v>93.1</v>
      </c>
      <c r="K400" s="102">
        <v>7.1</v>
      </c>
      <c r="L400" s="102">
        <v>78</v>
      </c>
      <c r="M400" s="102">
        <v>76.099999999999994</v>
      </c>
      <c r="N400" s="102">
        <v>2.5</v>
      </c>
      <c r="O400" s="102">
        <v>1975</v>
      </c>
      <c r="P400" s="102">
        <v>950</v>
      </c>
      <c r="Q400" s="102">
        <v>1095</v>
      </c>
      <c r="R400" s="102">
        <v>935</v>
      </c>
      <c r="T400" s="102">
        <f t="shared" si="7"/>
        <v>0</v>
      </c>
      <c r="W400">
        <v>31526</v>
      </c>
      <c r="X400">
        <v>37304</v>
      </c>
      <c r="Y400">
        <v>24589</v>
      </c>
      <c r="Z400">
        <v>35638</v>
      </c>
      <c r="AA400">
        <v>19452</v>
      </c>
      <c r="AB400" s="102">
        <v>2230</v>
      </c>
      <c r="AC400" s="102">
        <v>6335</v>
      </c>
      <c r="AD400" s="102">
        <v>2355</v>
      </c>
      <c r="AE400" s="102">
        <v>500</v>
      </c>
      <c r="AF400" s="102">
        <v>0.96466914594314901</v>
      </c>
      <c r="AG400" s="102">
        <v>7.9071241470749926E-2</v>
      </c>
      <c r="AH400" s="102">
        <v>0.34791346247129967</v>
      </c>
      <c r="AI400" s="102">
        <v>1.9135240435921481</v>
      </c>
      <c r="AJ400" s="102">
        <v>2.2772517543575979</v>
      </c>
      <c r="AK400" s="102">
        <v>0.45861320053034954</v>
      </c>
      <c r="AL400" s="102">
        <v>1.6446818225915985</v>
      </c>
      <c r="AM400" s="102">
        <v>1.3125826084144487</v>
      </c>
      <c r="AN400" s="102">
        <v>0.28465646929469973</v>
      </c>
      <c r="AO400" s="102">
        <v>0.37954195905959964</v>
      </c>
      <c r="AP400" s="102">
        <v>0.14232823464734987</v>
      </c>
      <c r="AQ400" s="102">
        <v>0.53768444200109955</v>
      </c>
      <c r="AR400" s="102">
        <v>0</v>
      </c>
      <c r="AS400" s="102">
        <v>0.3953562073537496</v>
      </c>
      <c r="AT400" s="102">
        <v>1.3442111050027488</v>
      </c>
      <c r="AU400" s="102">
        <v>1.6446818225915985</v>
      </c>
      <c r="AV400" s="102">
        <v>0.3953562073537496</v>
      </c>
      <c r="AW400" s="102">
        <v>0.6325699317659994</v>
      </c>
      <c r="AX400" s="102">
        <v>0.90141215276654918</v>
      </c>
      <c r="AY400" s="102">
        <v>1.201882870355399</v>
      </c>
    </row>
    <row r="401" spans="1:51">
      <c r="A401" s="103" t="s">
        <v>273</v>
      </c>
      <c r="B401" s="102">
        <f>SUM(B402:B404)</f>
        <v>2319</v>
      </c>
      <c r="C401" s="102">
        <f>SUM(C402:C404)</f>
        <v>495</v>
      </c>
      <c r="G401" s="102">
        <f>SUM(G402:G404)</f>
        <v>520</v>
      </c>
      <c r="H401" s="102">
        <f>SUM(H402:H404)</f>
        <v>45</v>
      </c>
      <c r="I401" s="102">
        <f>SUM(I402:I404)</f>
        <v>75</v>
      </c>
      <c r="O401" s="102">
        <f>SUM(O402:O404)</f>
        <v>45</v>
      </c>
      <c r="P401" s="102">
        <f>SUM(P402:P404)</f>
        <v>10</v>
      </c>
      <c r="Q401" s="102">
        <f>SUM(Q402:Q404)</f>
        <v>15</v>
      </c>
      <c r="R401" s="102">
        <f>SUM(R402:R404)</f>
        <v>20</v>
      </c>
      <c r="T401" s="102" t="str">
        <f t="shared" si="7"/>
        <v>Tataskweyak Cree Nation</v>
      </c>
      <c r="W401"/>
      <c r="X401"/>
      <c r="Y401"/>
      <c r="Z401"/>
      <c r="AA401"/>
      <c r="AD401" s="102">
        <v>0</v>
      </c>
      <c r="AF401" s="102" t="e">
        <v>#DIV/0!</v>
      </c>
      <c r="AG401" s="102" t="e">
        <v>#DIV/0!</v>
      </c>
      <c r="AH401" s="102" t="e">
        <v>#DIV/0!</v>
      </c>
      <c r="AI401" s="102" t="e">
        <v>#DIV/0!</v>
      </c>
      <c r="AJ401" s="102" t="e">
        <v>#DIV/0!</v>
      </c>
      <c r="AK401" s="102" t="e">
        <v>#DIV/0!</v>
      </c>
      <c r="AL401" s="102" t="e">
        <v>#DIV/0!</v>
      </c>
      <c r="AM401" s="102" t="e">
        <v>#DIV/0!</v>
      </c>
      <c r="AN401" s="102" t="e">
        <v>#DIV/0!</v>
      </c>
      <c r="AO401" s="102" t="e">
        <v>#DIV/0!</v>
      </c>
      <c r="AP401" s="102" t="e">
        <v>#DIV/0!</v>
      </c>
      <c r="AQ401" s="102" t="e">
        <v>#DIV/0!</v>
      </c>
      <c r="AR401" s="102" t="e">
        <v>#DIV/0!</v>
      </c>
      <c r="AS401" s="102" t="e">
        <v>#DIV/0!</v>
      </c>
      <c r="AT401" s="102" t="e">
        <v>#DIV/0!</v>
      </c>
      <c r="AU401" s="102" t="e">
        <v>#DIV/0!</v>
      </c>
      <c r="AV401" s="102" t="e">
        <v>#DIV/0!</v>
      </c>
      <c r="AW401" s="102" t="e">
        <v>#DIV/0!</v>
      </c>
      <c r="AX401" s="102" t="e">
        <v>#DIV/0!</v>
      </c>
      <c r="AY401" s="102" t="e">
        <v>#DIV/0!</v>
      </c>
    </row>
    <row r="402" spans="1:51" s="103" customFormat="1">
      <c r="A402" s="103" t="s">
        <v>854</v>
      </c>
      <c r="B402" s="103">
        <v>1819</v>
      </c>
      <c r="E402" s="103">
        <v>0</v>
      </c>
      <c r="F402" s="103">
        <v>0</v>
      </c>
      <c r="G402" s="103">
        <v>370</v>
      </c>
      <c r="J402" s="103">
        <v>0</v>
      </c>
      <c r="K402" s="103">
        <v>0</v>
      </c>
      <c r="L402" s="103">
        <v>0</v>
      </c>
      <c r="M402" s="103">
        <v>0</v>
      </c>
      <c r="N402" s="103">
        <v>0</v>
      </c>
      <c r="O402" s="103">
        <v>0</v>
      </c>
      <c r="P402" s="103">
        <v>0</v>
      </c>
      <c r="Q402" s="103">
        <v>0</v>
      </c>
      <c r="R402" s="103">
        <v>0</v>
      </c>
      <c r="T402" s="103">
        <f t="shared" si="7"/>
        <v>0</v>
      </c>
      <c r="W402"/>
      <c r="X402"/>
      <c r="Y402"/>
      <c r="Z402"/>
      <c r="AA402"/>
      <c r="AB402" s="103">
        <v>0</v>
      </c>
      <c r="AC402" s="103">
        <v>0</v>
      </c>
      <c r="AD402" s="103">
        <v>0</v>
      </c>
      <c r="AE402" s="103">
        <v>0</v>
      </c>
      <c r="AF402" s="102" t="e">
        <v>#N/A</v>
      </c>
      <c r="AG402" s="102" t="e">
        <v>#N/A</v>
      </c>
      <c r="AH402" s="102" t="e">
        <v>#N/A</v>
      </c>
      <c r="AI402" s="102" t="e">
        <v>#N/A</v>
      </c>
      <c r="AJ402" s="102" t="e">
        <v>#N/A</v>
      </c>
      <c r="AK402" s="102" t="e">
        <v>#N/A</v>
      </c>
      <c r="AL402" s="102" t="e">
        <v>#N/A</v>
      </c>
      <c r="AM402" s="102" t="e">
        <v>#N/A</v>
      </c>
      <c r="AN402" s="102" t="e">
        <v>#N/A</v>
      </c>
      <c r="AO402" s="102" t="e">
        <v>#N/A</v>
      </c>
      <c r="AP402" s="102" t="e">
        <v>#N/A</v>
      </c>
      <c r="AQ402" s="102" t="e">
        <v>#N/A</v>
      </c>
      <c r="AR402" s="102" t="e">
        <v>#N/A</v>
      </c>
      <c r="AS402" s="102" t="e">
        <v>#N/A</v>
      </c>
      <c r="AT402" s="102" t="e">
        <v>#N/A</v>
      </c>
      <c r="AU402" s="102" t="e">
        <v>#N/A</v>
      </c>
      <c r="AV402" s="102" t="e">
        <v>#N/A</v>
      </c>
      <c r="AW402" s="102" t="e">
        <v>#N/A</v>
      </c>
      <c r="AX402" s="102" t="e">
        <v>#N/A</v>
      </c>
      <c r="AY402" s="102" t="e">
        <v>#N/A</v>
      </c>
    </row>
    <row r="403" spans="1:51" s="103" customFormat="1">
      <c r="A403" s="103" t="s">
        <v>854</v>
      </c>
      <c r="B403" s="103">
        <v>350</v>
      </c>
      <c r="C403" s="103">
        <v>345</v>
      </c>
      <c r="D403" s="103">
        <v>1.8</v>
      </c>
      <c r="E403" s="103">
        <v>26562</v>
      </c>
      <c r="F403" s="103">
        <v>0</v>
      </c>
      <c r="G403" s="103">
        <v>120</v>
      </c>
      <c r="H403" s="103">
        <v>35</v>
      </c>
      <c r="I403" s="103">
        <v>55</v>
      </c>
      <c r="J403" s="103">
        <v>8.3000000000000007</v>
      </c>
      <c r="K403" s="103">
        <v>12.5</v>
      </c>
      <c r="L403" s="103">
        <v>39.6</v>
      </c>
      <c r="M403" s="103">
        <v>29.2</v>
      </c>
      <c r="N403" s="103">
        <v>31.6</v>
      </c>
      <c r="O403" s="103">
        <v>35</v>
      </c>
      <c r="P403" s="103">
        <v>10</v>
      </c>
      <c r="Q403" s="103">
        <v>15</v>
      </c>
      <c r="R403" s="103">
        <v>10</v>
      </c>
      <c r="T403" s="103">
        <f t="shared" si="7"/>
        <v>0</v>
      </c>
      <c r="W403"/>
      <c r="X403"/>
      <c r="Y403"/>
      <c r="Z403"/>
      <c r="AA403"/>
      <c r="AB403" s="103">
        <v>0</v>
      </c>
      <c r="AC403" s="103">
        <v>0</v>
      </c>
      <c r="AD403" s="103">
        <v>0</v>
      </c>
      <c r="AE403" s="103">
        <v>0</v>
      </c>
      <c r="AF403" s="102" t="e">
        <v>#N/A</v>
      </c>
      <c r="AG403" s="102" t="e">
        <v>#N/A</v>
      </c>
      <c r="AH403" s="102" t="e">
        <v>#N/A</v>
      </c>
      <c r="AI403" s="102" t="e">
        <v>#N/A</v>
      </c>
      <c r="AJ403" s="102" t="e">
        <v>#N/A</v>
      </c>
      <c r="AK403" s="102" t="e">
        <v>#N/A</v>
      </c>
      <c r="AL403" s="102" t="e">
        <v>#N/A</v>
      </c>
      <c r="AM403" s="102" t="e">
        <v>#N/A</v>
      </c>
      <c r="AN403" s="102" t="e">
        <v>#N/A</v>
      </c>
      <c r="AO403" s="102" t="e">
        <v>#N/A</v>
      </c>
      <c r="AP403" s="102" t="e">
        <v>#N/A</v>
      </c>
      <c r="AQ403" s="102" t="e">
        <v>#N/A</v>
      </c>
      <c r="AR403" s="102" t="e">
        <v>#N/A</v>
      </c>
      <c r="AS403" s="102" t="e">
        <v>#N/A</v>
      </c>
      <c r="AT403" s="102" t="e">
        <v>#N/A</v>
      </c>
      <c r="AU403" s="102" t="e">
        <v>#N/A</v>
      </c>
      <c r="AV403" s="102" t="e">
        <v>#N/A</v>
      </c>
      <c r="AW403" s="102" t="e">
        <v>#N/A</v>
      </c>
      <c r="AX403" s="102" t="e">
        <v>#N/A</v>
      </c>
      <c r="AY403" s="102" t="e">
        <v>#N/A</v>
      </c>
    </row>
    <row r="404" spans="1:51" s="103" customFormat="1">
      <c r="A404" s="103" t="s">
        <v>854</v>
      </c>
      <c r="B404" s="103">
        <v>150</v>
      </c>
      <c r="C404" s="103">
        <v>150</v>
      </c>
      <c r="D404" s="103">
        <v>2.8</v>
      </c>
      <c r="E404" s="103">
        <v>0</v>
      </c>
      <c r="F404" s="103">
        <v>0</v>
      </c>
      <c r="G404" s="103">
        <v>30</v>
      </c>
      <c r="H404" s="103">
        <v>10</v>
      </c>
      <c r="I404" s="103">
        <v>20</v>
      </c>
      <c r="J404" s="103">
        <v>0</v>
      </c>
      <c r="K404" s="103">
        <v>50</v>
      </c>
      <c r="L404" s="103">
        <v>22.2</v>
      </c>
      <c r="M404" s="103">
        <v>11.1</v>
      </c>
      <c r="N404" s="103">
        <v>50</v>
      </c>
      <c r="O404" s="103">
        <v>10</v>
      </c>
      <c r="P404" s="103">
        <v>0</v>
      </c>
      <c r="Q404" s="103">
        <v>0</v>
      </c>
      <c r="R404" s="103">
        <v>10</v>
      </c>
      <c r="T404" s="103">
        <f t="shared" si="7"/>
        <v>0</v>
      </c>
      <c r="W404"/>
      <c r="X404"/>
      <c r="Y404"/>
      <c r="Z404"/>
      <c r="AA404"/>
      <c r="AB404" s="103">
        <v>0</v>
      </c>
      <c r="AC404" s="103">
        <v>0</v>
      </c>
      <c r="AD404" s="103">
        <v>0</v>
      </c>
      <c r="AE404" s="103">
        <v>0</v>
      </c>
      <c r="AF404" s="102" t="e">
        <v>#N/A</v>
      </c>
      <c r="AG404" s="102" t="e">
        <v>#N/A</v>
      </c>
      <c r="AH404" s="102" t="e">
        <v>#N/A</v>
      </c>
      <c r="AI404" s="102" t="e">
        <v>#N/A</v>
      </c>
      <c r="AJ404" s="102" t="e">
        <v>#N/A</v>
      </c>
      <c r="AK404" s="102" t="e">
        <v>#N/A</v>
      </c>
      <c r="AL404" s="102" t="e">
        <v>#N/A</v>
      </c>
      <c r="AM404" s="102" t="e">
        <v>#N/A</v>
      </c>
      <c r="AN404" s="102" t="e">
        <v>#N/A</v>
      </c>
      <c r="AO404" s="102" t="e">
        <v>#N/A</v>
      </c>
      <c r="AP404" s="102" t="e">
        <v>#N/A</v>
      </c>
      <c r="AQ404" s="102" t="e">
        <v>#N/A</v>
      </c>
      <c r="AR404" s="102" t="e">
        <v>#N/A</v>
      </c>
      <c r="AS404" s="102" t="e">
        <v>#N/A</v>
      </c>
      <c r="AT404" s="102" t="e">
        <v>#N/A</v>
      </c>
      <c r="AU404" s="102" t="e">
        <v>#N/A</v>
      </c>
      <c r="AV404" s="102" t="e">
        <v>#N/A</v>
      </c>
      <c r="AW404" s="102" t="e">
        <v>#N/A</v>
      </c>
      <c r="AX404" s="102" t="e">
        <v>#N/A</v>
      </c>
      <c r="AY404" s="102" t="e">
        <v>#N/A</v>
      </c>
    </row>
    <row r="405" spans="1:51">
      <c r="A405" s="102" t="s">
        <v>464</v>
      </c>
      <c r="B405" s="102">
        <v>1100</v>
      </c>
      <c r="C405" s="102">
        <v>1105</v>
      </c>
      <c r="D405" s="102">
        <v>0.9</v>
      </c>
      <c r="E405" s="102">
        <v>56834</v>
      </c>
      <c r="F405" s="102">
        <v>6.2</v>
      </c>
      <c r="G405" s="102">
        <v>530</v>
      </c>
      <c r="H405" s="102">
        <v>160</v>
      </c>
      <c r="I405" s="102">
        <v>30</v>
      </c>
      <c r="J405" s="102">
        <v>74.5</v>
      </c>
      <c r="K405" s="102">
        <v>24.5</v>
      </c>
      <c r="L405" s="102">
        <v>52.2</v>
      </c>
      <c r="M405" s="102">
        <v>48.4</v>
      </c>
      <c r="N405" s="102">
        <v>6.3</v>
      </c>
      <c r="O405" s="102">
        <v>185</v>
      </c>
      <c r="P405" s="102">
        <v>115</v>
      </c>
      <c r="Q405" s="102">
        <v>90</v>
      </c>
      <c r="R405" s="102">
        <v>90</v>
      </c>
      <c r="T405" s="102">
        <f t="shared" si="7"/>
        <v>0</v>
      </c>
      <c r="W405">
        <v>30100</v>
      </c>
      <c r="X405">
        <v>38936</v>
      </c>
      <c r="Y405">
        <v>20984</v>
      </c>
      <c r="Z405">
        <v>35152</v>
      </c>
      <c r="AA405">
        <v>18941</v>
      </c>
      <c r="AB405" s="102">
        <v>190</v>
      </c>
      <c r="AC405" s="102">
        <v>620</v>
      </c>
      <c r="AD405" s="102">
        <v>265</v>
      </c>
      <c r="AE405" s="102">
        <v>270</v>
      </c>
      <c r="AF405" s="102">
        <v>0.89059187761792014</v>
      </c>
      <c r="AG405" s="102">
        <v>0</v>
      </c>
      <c r="AH405" s="102">
        <v>0</v>
      </c>
      <c r="AI405" s="102">
        <v>1.0687102531415043</v>
      </c>
      <c r="AJ405" s="102">
        <v>1.0687102531415043</v>
      </c>
      <c r="AK405" s="102">
        <v>1.0687102531415043</v>
      </c>
      <c r="AL405" s="102">
        <v>0.89059187761792014</v>
      </c>
      <c r="AM405" s="102">
        <v>1.7811837552358403</v>
      </c>
      <c r="AN405" s="102">
        <v>0.35623675104716807</v>
      </c>
      <c r="AO405" s="102">
        <v>0</v>
      </c>
      <c r="AP405" s="102">
        <v>0</v>
      </c>
      <c r="AQ405" s="102">
        <v>0.71247350209433613</v>
      </c>
      <c r="AR405" s="102">
        <v>0</v>
      </c>
      <c r="AS405" s="102">
        <v>0.35623675104716807</v>
      </c>
      <c r="AT405" s="102">
        <v>0.89059187761792014</v>
      </c>
      <c r="AU405" s="102">
        <v>2.1374205062830085</v>
      </c>
      <c r="AV405" s="102">
        <v>0.71247350209433613</v>
      </c>
      <c r="AW405" s="102">
        <v>0.89059187761792014</v>
      </c>
      <c r="AX405" s="102">
        <v>1.4249470041886723</v>
      </c>
      <c r="AY405" s="102">
        <v>1.7811837552358403</v>
      </c>
    </row>
    <row r="406" spans="1:51">
      <c r="A406" s="102" t="s">
        <v>465</v>
      </c>
      <c r="B406" s="102">
        <v>5520</v>
      </c>
      <c r="C406" s="102">
        <v>5465</v>
      </c>
      <c r="D406" s="102">
        <v>1.3</v>
      </c>
      <c r="E406" s="102">
        <v>73257</v>
      </c>
      <c r="F406" s="102">
        <v>13.7</v>
      </c>
      <c r="G406" s="102">
        <v>2210</v>
      </c>
      <c r="H406" s="102">
        <v>670</v>
      </c>
      <c r="I406" s="102">
        <v>255</v>
      </c>
      <c r="J406" s="102">
        <v>60.4</v>
      </c>
      <c r="K406" s="102">
        <v>39.1</v>
      </c>
      <c r="L406" s="102">
        <v>69.5</v>
      </c>
      <c r="M406" s="102">
        <v>64.5</v>
      </c>
      <c r="N406" s="102">
        <v>7.1</v>
      </c>
      <c r="O406" s="102">
        <v>930</v>
      </c>
      <c r="P406" s="102">
        <v>440</v>
      </c>
      <c r="Q406" s="102">
        <v>890</v>
      </c>
      <c r="R406" s="102">
        <v>625</v>
      </c>
      <c r="T406" s="102">
        <f t="shared" si="7"/>
        <v>0</v>
      </c>
      <c r="W406">
        <v>35515</v>
      </c>
      <c r="X406">
        <v>42869</v>
      </c>
      <c r="Y406">
        <v>28070</v>
      </c>
      <c r="Z406">
        <v>34336</v>
      </c>
      <c r="AA406">
        <v>23634</v>
      </c>
      <c r="AB406" s="102">
        <v>1375</v>
      </c>
      <c r="AC406" s="102">
        <v>3640</v>
      </c>
      <c r="AD406" s="102">
        <v>1315</v>
      </c>
      <c r="AE406" s="102">
        <v>495</v>
      </c>
      <c r="AF406" s="102">
        <v>0.2056401384083045</v>
      </c>
      <c r="AG406" s="102">
        <v>0.11750865051903113</v>
      </c>
      <c r="AH406" s="102">
        <v>0.29377162629757786</v>
      </c>
      <c r="AI406" s="102">
        <v>0.38190311418685119</v>
      </c>
      <c r="AJ406" s="102">
        <v>1.6744982698961937</v>
      </c>
      <c r="AK406" s="102">
        <v>0.23501730103806226</v>
      </c>
      <c r="AL406" s="102">
        <v>2.0564013840830451</v>
      </c>
      <c r="AM406" s="102">
        <v>0.82256055363321801</v>
      </c>
      <c r="AN406" s="102">
        <v>0.14688581314878893</v>
      </c>
      <c r="AO406" s="102">
        <v>0.2056401384083045</v>
      </c>
      <c r="AP406" s="102">
        <v>0.2056401384083045</v>
      </c>
      <c r="AQ406" s="102">
        <v>0.32314878892733567</v>
      </c>
      <c r="AR406" s="102">
        <v>0</v>
      </c>
      <c r="AS406" s="102">
        <v>0.47003460207612452</v>
      </c>
      <c r="AT406" s="102">
        <v>2.203287197231834</v>
      </c>
      <c r="AU406" s="102">
        <v>2.9377162629757785</v>
      </c>
      <c r="AV406" s="102">
        <v>0.52878892733564009</v>
      </c>
      <c r="AW406" s="102">
        <v>1.9682698961937717</v>
      </c>
      <c r="AX406" s="102">
        <v>0.44065743944636682</v>
      </c>
      <c r="AY406" s="102">
        <v>1.6744982698961937</v>
      </c>
    </row>
    <row r="407" spans="1:51" s="103" customFormat="1">
      <c r="A407" s="105" t="s">
        <v>274</v>
      </c>
      <c r="B407" s="103">
        <v>156</v>
      </c>
      <c r="T407" s="103">
        <f t="shared" si="7"/>
        <v>0</v>
      </c>
      <c r="W407"/>
      <c r="X407"/>
      <c r="Y407"/>
      <c r="Z407"/>
      <c r="AA407"/>
      <c r="AB407" s="103">
        <v>0</v>
      </c>
      <c r="AC407" s="103">
        <v>0</v>
      </c>
      <c r="AD407" s="103">
        <v>0</v>
      </c>
      <c r="AE407" s="103">
        <v>0</v>
      </c>
      <c r="AF407" s="102" t="e">
        <v>#N/A</v>
      </c>
      <c r="AG407" s="102" t="e">
        <v>#N/A</v>
      </c>
      <c r="AH407" s="102" t="e">
        <v>#N/A</v>
      </c>
      <c r="AI407" s="102" t="e">
        <v>#N/A</v>
      </c>
      <c r="AJ407" s="102" t="e">
        <v>#N/A</v>
      </c>
      <c r="AK407" s="102" t="e">
        <v>#N/A</v>
      </c>
      <c r="AL407" s="102" t="e">
        <v>#N/A</v>
      </c>
      <c r="AM407" s="102" t="e">
        <v>#N/A</v>
      </c>
      <c r="AN407" s="102" t="e">
        <v>#N/A</v>
      </c>
      <c r="AO407" s="102" t="e">
        <v>#N/A</v>
      </c>
      <c r="AP407" s="102" t="e">
        <v>#N/A</v>
      </c>
      <c r="AQ407" s="102" t="e">
        <v>#N/A</v>
      </c>
      <c r="AR407" s="102" t="e">
        <v>#N/A</v>
      </c>
      <c r="AS407" s="102" t="e">
        <v>#N/A</v>
      </c>
      <c r="AT407" s="102" t="e">
        <v>#N/A</v>
      </c>
      <c r="AU407" s="102" t="e">
        <v>#N/A</v>
      </c>
      <c r="AV407" s="102" t="e">
        <v>#N/A</v>
      </c>
      <c r="AW407" s="102" t="e">
        <v>#N/A</v>
      </c>
      <c r="AX407" s="102" t="e">
        <v>#N/A</v>
      </c>
      <c r="AY407" s="102" t="e">
        <v>#N/A</v>
      </c>
    </row>
    <row r="408" spans="1:51">
      <c r="A408" s="102" t="s">
        <v>466</v>
      </c>
      <c r="B408" s="102">
        <v>13405</v>
      </c>
      <c r="C408" s="102">
        <v>13395</v>
      </c>
      <c r="D408" s="102">
        <v>1.4</v>
      </c>
      <c r="E408" s="102">
        <v>84919</v>
      </c>
      <c r="F408" s="102">
        <v>13.6</v>
      </c>
      <c r="G408" s="102">
        <v>4810</v>
      </c>
      <c r="H408" s="102">
        <v>1750</v>
      </c>
      <c r="I408" s="102">
        <v>490</v>
      </c>
      <c r="J408" s="102">
        <v>58.5</v>
      </c>
      <c r="K408" s="102">
        <v>41.5</v>
      </c>
      <c r="L408" s="102">
        <v>76.5</v>
      </c>
      <c r="M408" s="102">
        <v>71.2</v>
      </c>
      <c r="N408" s="102">
        <v>6.9</v>
      </c>
      <c r="O408" s="102">
        <v>2525</v>
      </c>
      <c r="P408" s="102">
        <v>1030</v>
      </c>
      <c r="Q408" s="102">
        <v>1470</v>
      </c>
      <c r="R408" s="102">
        <v>1370</v>
      </c>
      <c r="T408" s="102">
        <f t="shared" si="7"/>
        <v>0</v>
      </c>
      <c r="W408">
        <v>40166</v>
      </c>
      <c r="X408">
        <v>50526</v>
      </c>
      <c r="Y408">
        <v>27988</v>
      </c>
      <c r="Z408">
        <v>45596</v>
      </c>
      <c r="AA408">
        <v>24010</v>
      </c>
      <c r="AB408" s="102">
        <v>3600</v>
      </c>
      <c r="AC408" s="102">
        <v>9340</v>
      </c>
      <c r="AD408" s="102">
        <v>2890</v>
      </c>
      <c r="AE408" s="102">
        <v>455</v>
      </c>
      <c r="AF408" s="102">
        <v>2.2591783277357121E-2</v>
      </c>
      <c r="AG408" s="102">
        <v>3.2306250086620687</v>
      </c>
      <c r="AH408" s="102">
        <v>0.24850961605092833</v>
      </c>
      <c r="AI408" s="102">
        <v>0.55349869029524945</v>
      </c>
      <c r="AJ408" s="102">
        <v>0.51961101537921384</v>
      </c>
      <c r="AK408" s="102">
        <v>0.24850961605092833</v>
      </c>
      <c r="AL408" s="102">
        <v>1.9767810367687482</v>
      </c>
      <c r="AM408" s="102">
        <v>1.0505179223971062</v>
      </c>
      <c r="AN408" s="102">
        <v>0.13555069966414274</v>
      </c>
      <c r="AO408" s="102">
        <v>0.28239729096696403</v>
      </c>
      <c r="AP408" s="102">
        <v>0.36146853243771393</v>
      </c>
      <c r="AQ408" s="102">
        <v>0.22591783277357122</v>
      </c>
      <c r="AR408" s="102">
        <v>0</v>
      </c>
      <c r="AS408" s="102">
        <v>0.58738636521128518</v>
      </c>
      <c r="AT408" s="102">
        <v>1.2312521886159631</v>
      </c>
      <c r="AU408" s="102">
        <v>1.9428933618527127</v>
      </c>
      <c r="AV408" s="102">
        <v>0.12425480802546417</v>
      </c>
      <c r="AW408" s="102">
        <v>1.7621590956338555</v>
      </c>
      <c r="AX408" s="102">
        <v>0.67775349832071374</v>
      </c>
      <c r="AY408" s="102">
        <v>1.4345782381121772</v>
      </c>
    </row>
    <row r="409" spans="1:51" s="103" customFormat="1">
      <c r="A409" s="108" t="s">
        <v>772</v>
      </c>
      <c r="B409" s="103">
        <v>1260</v>
      </c>
      <c r="C409" s="103">
        <v>980</v>
      </c>
      <c r="D409" s="103">
        <v>1.2</v>
      </c>
      <c r="E409" s="103">
        <v>60709</v>
      </c>
      <c r="F409" s="103">
        <v>12.7</v>
      </c>
      <c r="G409" s="103">
        <v>395</v>
      </c>
      <c r="H409" s="103">
        <v>155</v>
      </c>
      <c r="I409" s="103">
        <v>40</v>
      </c>
      <c r="J409" s="103">
        <v>87.3</v>
      </c>
      <c r="K409" s="103">
        <v>12.7</v>
      </c>
      <c r="L409" s="103">
        <v>73.599999999999994</v>
      </c>
      <c r="M409" s="103">
        <v>73.099999999999994</v>
      </c>
      <c r="N409" s="103">
        <v>1.4</v>
      </c>
      <c r="O409" s="103">
        <v>250</v>
      </c>
      <c r="P409" s="103">
        <v>45</v>
      </c>
      <c r="Q409" s="103">
        <v>90</v>
      </c>
      <c r="R409" s="103">
        <v>140</v>
      </c>
      <c r="T409" s="103">
        <f t="shared" si="7"/>
        <v>0</v>
      </c>
      <c r="W409">
        <v>20508</v>
      </c>
      <c r="X409">
        <v>19816</v>
      </c>
      <c r="Y409">
        <v>21348</v>
      </c>
      <c r="Z409">
        <v>25986</v>
      </c>
      <c r="AA409">
        <v>17386</v>
      </c>
      <c r="AB409" s="103">
        <v>250</v>
      </c>
      <c r="AC409" s="103">
        <v>795</v>
      </c>
      <c r="AD409" s="103">
        <v>295</v>
      </c>
      <c r="AE409" s="103">
        <v>175</v>
      </c>
      <c r="AF409" s="102">
        <v>6.8599644627326288</v>
      </c>
      <c r="AG409" s="102">
        <v>0</v>
      </c>
      <c r="AH409" s="102">
        <v>0</v>
      </c>
      <c r="AI409" s="102">
        <v>0.22866548209108764</v>
      </c>
      <c r="AJ409" s="102">
        <v>1.3719928925465259</v>
      </c>
      <c r="AK409" s="102">
        <v>0.91466192836435056</v>
      </c>
      <c r="AL409" s="102">
        <v>1.4863256335920696</v>
      </c>
      <c r="AM409" s="102">
        <v>0.34299822313663147</v>
      </c>
      <c r="AN409" s="102">
        <v>0.22866548209108764</v>
      </c>
      <c r="AO409" s="102">
        <v>0.22866548209108764</v>
      </c>
      <c r="AP409" s="102">
        <v>0.22866548209108764</v>
      </c>
      <c r="AQ409" s="102">
        <v>0</v>
      </c>
      <c r="AR409" s="102">
        <v>0</v>
      </c>
      <c r="AS409" s="102">
        <v>0.22866548209108764</v>
      </c>
      <c r="AT409" s="102">
        <v>0.80032918731880676</v>
      </c>
      <c r="AU409" s="102">
        <v>1.7149911156831572</v>
      </c>
      <c r="AV409" s="102">
        <v>0.57166370522771914</v>
      </c>
      <c r="AW409" s="102">
        <v>0.22866548209108764</v>
      </c>
      <c r="AX409" s="102">
        <v>0.45733096418217528</v>
      </c>
      <c r="AY409" s="102">
        <v>1.257660151500982</v>
      </c>
    </row>
    <row r="410" spans="1:51" s="103" customFormat="1">
      <c r="A410" s="103" t="s">
        <v>275</v>
      </c>
      <c r="B410" s="103">
        <v>430</v>
      </c>
      <c r="C410" s="103">
        <v>430</v>
      </c>
      <c r="D410" s="103">
        <v>2.2000000000000002</v>
      </c>
      <c r="E410" s="103">
        <v>25976</v>
      </c>
      <c r="F410" s="103">
        <v>0</v>
      </c>
      <c r="G410" s="103">
        <v>105</v>
      </c>
      <c r="H410" s="103">
        <v>30</v>
      </c>
      <c r="I410" s="103">
        <v>55</v>
      </c>
      <c r="J410" s="103">
        <v>0</v>
      </c>
      <c r="K410" s="103">
        <v>0</v>
      </c>
      <c r="L410" s="103">
        <v>46.3</v>
      </c>
      <c r="M410" s="103">
        <v>33.299999999999997</v>
      </c>
      <c r="N410" s="103">
        <v>28</v>
      </c>
      <c r="O410" s="103">
        <v>35</v>
      </c>
      <c r="P410" s="103">
        <v>30</v>
      </c>
      <c r="Q410" s="103">
        <v>25</v>
      </c>
      <c r="R410" s="103">
        <v>10</v>
      </c>
      <c r="T410" s="103" t="str">
        <f t="shared" si="7"/>
        <v>Tootinaowaziibeeng First Nation</v>
      </c>
      <c r="W410">
        <v>11608</v>
      </c>
      <c r="X410">
        <v>11829</v>
      </c>
      <c r="Y410">
        <v>11394</v>
      </c>
      <c r="Z410">
        <v>5104</v>
      </c>
      <c r="AA410">
        <v>10336</v>
      </c>
      <c r="AB410" s="103">
        <v>165</v>
      </c>
      <c r="AC410" s="103">
        <v>240</v>
      </c>
      <c r="AD410" s="103">
        <v>40</v>
      </c>
      <c r="AE410" s="103">
        <v>10</v>
      </c>
      <c r="AF410" s="102">
        <v>0</v>
      </c>
      <c r="AG410" s="102">
        <v>0</v>
      </c>
      <c r="AH410" s="102">
        <v>0</v>
      </c>
      <c r="AI410" s="102">
        <v>0</v>
      </c>
      <c r="AJ410" s="102">
        <v>1.3536996539792387</v>
      </c>
      <c r="AK410" s="102">
        <v>0</v>
      </c>
      <c r="AL410" s="102">
        <v>0</v>
      </c>
      <c r="AM410" s="102">
        <v>0</v>
      </c>
      <c r="AN410" s="102">
        <v>0</v>
      </c>
      <c r="AO410" s="102">
        <v>0</v>
      </c>
      <c r="AP410" s="102">
        <v>0</v>
      </c>
      <c r="AQ410" s="102">
        <v>0</v>
      </c>
      <c r="AR410" s="102">
        <v>0</v>
      </c>
      <c r="AS410" s="102">
        <v>0</v>
      </c>
      <c r="AT410" s="102">
        <v>2.0305494809688582</v>
      </c>
      <c r="AU410" s="102">
        <v>4.0610989619377165</v>
      </c>
      <c r="AV410" s="102">
        <v>0</v>
      </c>
      <c r="AW410" s="102">
        <v>1.3536996539792387</v>
      </c>
      <c r="AX410" s="102">
        <v>0</v>
      </c>
      <c r="AY410" s="102">
        <v>2.7073993079584775</v>
      </c>
    </row>
    <row r="411" spans="1:51" s="103" customFormat="1">
      <c r="A411" s="103" t="s">
        <v>468</v>
      </c>
      <c r="B411" s="103">
        <v>625</v>
      </c>
      <c r="C411" s="103">
        <v>620</v>
      </c>
      <c r="D411" s="103">
        <v>0.9</v>
      </c>
      <c r="E411" s="103">
        <v>73836</v>
      </c>
      <c r="F411" s="103">
        <v>5.7</v>
      </c>
      <c r="G411" s="103">
        <v>295</v>
      </c>
      <c r="H411" s="103">
        <v>45</v>
      </c>
      <c r="I411" s="103">
        <v>20</v>
      </c>
      <c r="J411" s="103">
        <v>81.400000000000006</v>
      </c>
      <c r="K411" s="103">
        <v>20.3</v>
      </c>
      <c r="L411" s="103">
        <v>66.400000000000006</v>
      </c>
      <c r="M411" s="103">
        <v>63.6</v>
      </c>
      <c r="N411" s="103">
        <v>4.2</v>
      </c>
      <c r="O411" s="103">
        <v>160</v>
      </c>
      <c r="P411" s="103">
        <v>65</v>
      </c>
      <c r="Q411" s="103">
        <v>85</v>
      </c>
      <c r="R411" s="103">
        <v>35</v>
      </c>
      <c r="T411" s="103">
        <f t="shared" si="7"/>
        <v>0</v>
      </c>
      <c r="W411">
        <v>23338</v>
      </c>
      <c r="X411">
        <v>31732</v>
      </c>
      <c r="Y411">
        <v>15396</v>
      </c>
      <c r="Z411">
        <v>27624</v>
      </c>
      <c r="AA411">
        <v>19376</v>
      </c>
      <c r="AB411" s="103">
        <v>90</v>
      </c>
      <c r="AC411" s="103">
        <v>360</v>
      </c>
      <c r="AD411" s="103">
        <v>175</v>
      </c>
      <c r="AE411" s="103">
        <v>160</v>
      </c>
      <c r="AF411" s="102">
        <v>2.621601442565427</v>
      </c>
      <c r="AG411" s="102">
        <v>0.95330961547833715</v>
      </c>
      <c r="AH411" s="102">
        <v>0</v>
      </c>
      <c r="AI411" s="102">
        <v>0.71498221160875286</v>
      </c>
      <c r="AJ411" s="102">
        <v>0.47665480773916857</v>
      </c>
      <c r="AK411" s="102">
        <v>1.1916370193479215</v>
      </c>
      <c r="AL411" s="102">
        <v>1.1916370193479215</v>
      </c>
      <c r="AM411" s="102">
        <v>0</v>
      </c>
      <c r="AN411" s="102">
        <v>0</v>
      </c>
      <c r="AO411" s="102">
        <v>0.71498221160875286</v>
      </c>
      <c r="AP411" s="102">
        <v>0</v>
      </c>
      <c r="AQ411" s="102">
        <v>1.4299644232175057</v>
      </c>
      <c r="AR411" s="102">
        <v>0</v>
      </c>
      <c r="AS411" s="102">
        <v>0.95330961547833715</v>
      </c>
      <c r="AT411" s="102">
        <v>0.95330961547833715</v>
      </c>
      <c r="AU411" s="102">
        <v>2.1449466348262587</v>
      </c>
      <c r="AV411" s="102">
        <v>0.47665480773916857</v>
      </c>
      <c r="AW411" s="102">
        <v>1.1916370193479215</v>
      </c>
      <c r="AX411" s="102">
        <v>0.47665480773916857</v>
      </c>
      <c r="AY411" s="102">
        <v>0.47665480773916857</v>
      </c>
    </row>
    <row r="412" spans="1:51" s="103" customFormat="1">
      <c r="A412" s="103" t="s">
        <v>619</v>
      </c>
      <c r="B412" s="103">
        <v>1100</v>
      </c>
      <c r="C412" s="103">
        <v>975</v>
      </c>
      <c r="D412" s="103">
        <v>1.1000000000000001</v>
      </c>
      <c r="E412" s="103">
        <v>66187</v>
      </c>
      <c r="F412" s="103">
        <v>5.3</v>
      </c>
      <c r="G412" s="103">
        <v>375</v>
      </c>
      <c r="H412" s="103">
        <v>140</v>
      </c>
      <c r="I412" s="103">
        <v>40</v>
      </c>
      <c r="J412" s="103">
        <v>94.7</v>
      </c>
      <c r="K412" s="103">
        <v>6.7</v>
      </c>
      <c r="L412" s="103">
        <v>77.8</v>
      </c>
      <c r="M412" s="103">
        <v>75.599999999999994</v>
      </c>
      <c r="N412" s="103">
        <v>2.9</v>
      </c>
      <c r="O412" s="103">
        <v>215</v>
      </c>
      <c r="P412" s="103">
        <v>120</v>
      </c>
      <c r="Q412" s="103">
        <v>95</v>
      </c>
      <c r="R412" s="103">
        <v>115</v>
      </c>
      <c r="T412" s="103">
        <f t="shared" si="7"/>
        <v>0</v>
      </c>
      <c r="W412">
        <v>24703</v>
      </c>
      <c r="X412">
        <v>26387</v>
      </c>
      <c r="Y412">
        <v>22553</v>
      </c>
      <c r="Z412">
        <v>29422</v>
      </c>
      <c r="AA412">
        <v>20072</v>
      </c>
      <c r="AB412" s="103">
        <v>220</v>
      </c>
      <c r="AC412" s="103">
        <v>725</v>
      </c>
      <c r="AD412" s="103">
        <v>320</v>
      </c>
      <c r="AE412" s="103">
        <v>145</v>
      </c>
      <c r="AF412" s="102">
        <v>5.6815861389639579</v>
      </c>
      <c r="AG412" s="102">
        <v>0</v>
      </c>
      <c r="AH412" s="102">
        <v>0.24702548430278079</v>
      </c>
      <c r="AI412" s="102">
        <v>0.86458919505973275</v>
      </c>
      <c r="AJ412" s="102">
        <v>0.61756371075695193</v>
      </c>
      <c r="AK412" s="102">
        <v>1.4821529058166849</v>
      </c>
      <c r="AL412" s="102">
        <v>1.6056656479680751</v>
      </c>
      <c r="AM412" s="102">
        <v>0.49405096860556158</v>
      </c>
      <c r="AN412" s="102">
        <v>0</v>
      </c>
      <c r="AO412" s="102">
        <v>0.61756371075695193</v>
      </c>
      <c r="AP412" s="102">
        <v>0</v>
      </c>
      <c r="AQ412" s="102">
        <v>0</v>
      </c>
      <c r="AR412" s="102">
        <v>0</v>
      </c>
      <c r="AS412" s="102">
        <v>0.24702548430278079</v>
      </c>
      <c r="AT412" s="102">
        <v>1.6056656479680751</v>
      </c>
      <c r="AU412" s="102">
        <v>1.6056656479680751</v>
      </c>
      <c r="AV412" s="102">
        <v>0.98810193721112316</v>
      </c>
      <c r="AW412" s="102">
        <v>0.37053822645417123</v>
      </c>
      <c r="AX412" s="102">
        <v>0.37053822645417123</v>
      </c>
      <c r="AY412" s="102">
        <v>0</v>
      </c>
    </row>
    <row r="413" spans="1:51" s="103" customFormat="1">
      <c r="A413" s="103" t="s">
        <v>642</v>
      </c>
      <c r="B413" s="103">
        <v>1150</v>
      </c>
      <c r="C413" s="103">
        <v>1045</v>
      </c>
      <c r="D413" s="103">
        <v>0.8</v>
      </c>
      <c r="E413" s="103">
        <v>51836</v>
      </c>
      <c r="F413" s="103">
        <v>7.8</v>
      </c>
      <c r="G413" s="103">
        <v>455</v>
      </c>
      <c r="H413" s="103">
        <v>160</v>
      </c>
      <c r="I413" s="103">
        <v>30</v>
      </c>
      <c r="J413" s="103">
        <v>85.7</v>
      </c>
      <c r="K413" s="103">
        <v>13.2</v>
      </c>
      <c r="L413" s="103">
        <v>74.7</v>
      </c>
      <c r="M413" s="103">
        <v>69.5</v>
      </c>
      <c r="N413" s="103">
        <v>6.3</v>
      </c>
      <c r="O413" s="103">
        <v>225</v>
      </c>
      <c r="P413" s="103">
        <v>90</v>
      </c>
      <c r="Q413" s="103">
        <v>125</v>
      </c>
      <c r="R413" s="103">
        <v>120</v>
      </c>
      <c r="T413" s="103">
        <f t="shared" si="7"/>
        <v>0</v>
      </c>
      <c r="W413">
        <v>18875</v>
      </c>
      <c r="X413">
        <v>18327</v>
      </c>
      <c r="Y413">
        <v>19532</v>
      </c>
      <c r="Z413">
        <v>24122</v>
      </c>
      <c r="AA413">
        <v>18081</v>
      </c>
      <c r="AB413" s="103">
        <v>200</v>
      </c>
      <c r="AC413" s="103">
        <v>675</v>
      </c>
      <c r="AD413" s="103">
        <v>325</v>
      </c>
      <c r="AE413" s="103">
        <v>255</v>
      </c>
      <c r="AF413" s="102">
        <v>6.5540036064135681</v>
      </c>
      <c r="AG413" s="102">
        <v>0</v>
      </c>
      <c r="AH413" s="102">
        <v>0</v>
      </c>
      <c r="AI413" s="102">
        <v>1.3108007212827135</v>
      </c>
      <c r="AJ413" s="102">
        <v>0.23832740386958429</v>
      </c>
      <c r="AK413" s="102">
        <v>0.47665480773916857</v>
      </c>
      <c r="AL413" s="102">
        <v>1.6682918270870899</v>
      </c>
      <c r="AM413" s="102">
        <v>0.47665480773916857</v>
      </c>
      <c r="AN413" s="102">
        <v>0</v>
      </c>
      <c r="AO413" s="102">
        <v>0.35749110580437643</v>
      </c>
      <c r="AP413" s="102">
        <v>0</v>
      </c>
      <c r="AQ413" s="102">
        <v>0</v>
      </c>
      <c r="AR413" s="102">
        <v>0</v>
      </c>
      <c r="AS413" s="102">
        <v>0.35749110580437643</v>
      </c>
      <c r="AT413" s="102">
        <v>1.3108007212827135</v>
      </c>
      <c r="AU413" s="102">
        <v>1.6682918270870899</v>
      </c>
      <c r="AV413" s="102">
        <v>0.35749110580437643</v>
      </c>
      <c r="AW413" s="102">
        <v>0.83414591354354495</v>
      </c>
      <c r="AX413" s="102">
        <v>0.71498221160875286</v>
      </c>
      <c r="AY413" s="102">
        <v>0.35749110580437643</v>
      </c>
    </row>
    <row r="414" spans="1:51" s="103" customFormat="1">
      <c r="A414" s="103" t="s">
        <v>604</v>
      </c>
      <c r="B414" s="103">
        <v>390</v>
      </c>
      <c r="C414" s="103">
        <v>390</v>
      </c>
      <c r="D414" s="103">
        <v>0.5</v>
      </c>
      <c r="E414" s="103">
        <v>165022</v>
      </c>
      <c r="F414" s="103">
        <v>7.7</v>
      </c>
      <c r="G414" s="103">
        <v>205</v>
      </c>
      <c r="H414" s="103">
        <v>50</v>
      </c>
      <c r="I414" s="103">
        <v>30</v>
      </c>
      <c r="J414" s="103">
        <v>100</v>
      </c>
      <c r="K414" s="103">
        <v>0</v>
      </c>
      <c r="L414" s="103">
        <v>36.6</v>
      </c>
      <c r="M414" s="103">
        <v>36.6</v>
      </c>
      <c r="N414" s="103">
        <v>0</v>
      </c>
      <c r="O414" s="103">
        <v>110</v>
      </c>
      <c r="P414" s="103">
        <v>60</v>
      </c>
      <c r="Q414" s="103">
        <v>40</v>
      </c>
      <c r="R414" s="103">
        <v>95</v>
      </c>
      <c r="T414" s="103">
        <f t="shared" si="7"/>
        <v>0</v>
      </c>
      <c r="W414">
        <v>92570</v>
      </c>
      <c r="X414">
        <v>142663</v>
      </c>
      <c r="Y414">
        <v>29771</v>
      </c>
      <c r="Z414">
        <v>35687</v>
      </c>
      <c r="AA414">
        <v>22107</v>
      </c>
      <c r="AB414" s="103">
        <v>35</v>
      </c>
      <c r="AC414" s="103">
        <v>225</v>
      </c>
      <c r="AD414" s="103">
        <v>165</v>
      </c>
      <c r="AE414" s="103">
        <v>150</v>
      </c>
      <c r="AF414" s="102">
        <v>0</v>
      </c>
      <c r="AG414" s="102">
        <v>0</v>
      </c>
      <c r="AH414" s="102">
        <v>0</v>
      </c>
      <c r="AI414" s="102">
        <v>2.6032685653446901</v>
      </c>
      <c r="AJ414" s="102">
        <v>0</v>
      </c>
      <c r="AK414" s="102">
        <v>0</v>
      </c>
      <c r="AL414" s="102">
        <v>2.6032685653446901</v>
      </c>
      <c r="AM414" s="102">
        <v>1.301634282672345</v>
      </c>
      <c r="AN414" s="102">
        <v>0</v>
      </c>
      <c r="AO414" s="102">
        <v>0</v>
      </c>
      <c r="AP414" s="102">
        <v>1.301634282672345</v>
      </c>
      <c r="AQ414" s="102">
        <v>1.9524514240085176</v>
      </c>
      <c r="AR414" s="102">
        <v>0</v>
      </c>
      <c r="AS414" s="102">
        <v>4.5557199893532072</v>
      </c>
      <c r="AT414" s="102">
        <v>0</v>
      </c>
      <c r="AU414" s="102">
        <v>0</v>
      </c>
      <c r="AV414" s="102">
        <v>0</v>
      </c>
      <c r="AW414" s="102">
        <v>0</v>
      </c>
      <c r="AX414" s="102">
        <v>0</v>
      </c>
      <c r="AY414" s="102">
        <v>1.9524514240085176</v>
      </c>
    </row>
    <row r="415" spans="1:51" s="103" customFormat="1">
      <c r="A415" s="103" t="s">
        <v>472</v>
      </c>
      <c r="B415" s="103">
        <v>2895</v>
      </c>
      <c r="C415" s="103">
        <v>2895</v>
      </c>
      <c r="D415" s="103">
        <v>0.9</v>
      </c>
      <c r="E415" s="103">
        <v>66064</v>
      </c>
      <c r="F415" s="103">
        <v>1.8</v>
      </c>
      <c r="G415" s="103">
        <v>1335</v>
      </c>
      <c r="H415" s="103">
        <v>400</v>
      </c>
      <c r="I415" s="103">
        <v>95</v>
      </c>
      <c r="J415" s="103">
        <v>80.900000000000006</v>
      </c>
      <c r="K415" s="103">
        <v>19.5</v>
      </c>
      <c r="L415" s="103">
        <v>61.6</v>
      </c>
      <c r="M415" s="103">
        <v>58.7</v>
      </c>
      <c r="N415" s="103">
        <v>5.0999999999999996</v>
      </c>
      <c r="O415" s="103">
        <v>605</v>
      </c>
      <c r="P415" s="103">
        <v>325</v>
      </c>
      <c r="Q415" s="103">
        <v>330</v>
      </c>
      <c r="R415" s="103">
        <v>280</v>
      </c>
      <c r="T415" s="103">
        <f t="shared" si="7"/>
        <v>0</v>
      </c>
      <c r="W415">
        <v>28328</v>
      </c>
      <c r="X415">
        <v>38624</v>
      </c>
      <c r="Y415">
        <v>18501</v>
      </c>
      <c r="Z415">
        <v>33524</v>
      </c>
      <c r="AA415">
        <v>19568</v>
      </c>
      <c r="AB415" s="103">
        <v>475</v>
      </c>
      <c r="AC415" s="103">
        <v>1700</v>
      </c>
      <c r="AD415" s="103">
        <v>700</v>
      </c>
      <c r="AE415" s="103">
        <v>710</v>
      </c>
      <c r="AF415" s="102">
        <v>0.51276502044668137</v>
      </c>
      <c r="AG415" s="102">
        <v>1.082503932054105</v>
      </c>
      <c r="AH415" s="102">
        <v>0.11394778232148474</v>
      </c>
      <c r="AI415" s="102">
        <v>1.082503932054105</v>
      </c>
      <c r="AJ415" s="102">
        <v>0.22789556464296948</v>
      </c>
      <c r="AK415" s="102">
        <v>0.6267128027681661</v>
      </c>
      <c r="AL415" s="102">
        <v>2.1080339729474677</v>
      </c>
      <c r="AM415" s="102">
        <v>1.1394778232148475</v>
      </c>
      <c r="AN415" s="102">
        <v>0.11394778232148474</v>
      </c>
      <c r="AO415" s="102">
        <v>0.45579112928593896</v>
      </c>
      <c r="AP415" s="102">
        <v>0.45579112928593896</v>
      </c>
      <c r="AQ415" s="102">
        <v>0.85460836741113555</v>
      </c>
      <c r="AR415" s="102">
        <v>0</v>
      </c>
      <c r="AS415" s="102">
        <v>0.17092167348222714</v>
      </c>
      <c r="AT415" s="102">
        <v>1.8231645171437558</v>
      </c>
      <c r="AU415" s="102">
        <v>1.5382950613400441</v>
      </c>
      <c r="AV415" s="102">
        <v>0.11394778232148474</v>
      </c>
      <c r="AW415" s="102">
        <v>2.16500786410821</v>
      </c>
      <c r="AX415" s="102">
        <v>1.082503932054105</v>
      </c>
      <c r="AY415" s="102">
        <v>0.96855614973262039</v>
      </c>
    </row>
    <row r="416" spans="1:51" s="103" customFormat="1">
      <c r="A416" s="105" t="s">
        <v>473</v>
      </c>
      <c r="B416" s="103">
        <v>516</v>
      </c>
      <c r="T416" s="103">
        <f t="shared" si="7"/>
        <v>0</v>
      </c>
      <c r="W416"/>
      <c r="X416"/>
      <c r="Y416"/>
      <c r="Z416"/>
      <c r="AA416"/>
      <c r="AB416" s="103">
        <v>0</v>
      </c>
      <c r="AC416" s="103">
        <v>0</v>
      </c>
      <c r="AD416" s="103">
        <v>0</v>
      </c>
      <c r="AE416" s="103">
        <v>0</v>
      </c>
      <c r="AF416" s="102" t="e">
        <v>#N/A</v>
      </c>
      <c r="AG416" s="102" t="e">
        <v>#N/A</v>
      </c>
      <c r="AH416" s="102" t="e">
        <v>#N/A</v>
      </c>
      <c r="AI416" s="102" t="e">
        <v>#N/A</v>
      </c>
      <c r="AJ416" s="102" t="e">
        <v>#N/A</v>
      </c>
      <c r="AK416" s="102" t="e">
        <v>#N/A</v>
      </c>
      <c r="AL416" s="102" t="e">
        <v>#N/A</v>
      </c>
      <c r="AM416" s="102" t="e">
        <v>#N/A</v>
      </c>
      <c r="AN416" s="102" t="e">
        <v>#N/A</v>
      </c>
      <c r="AO416" s="102" t="e">
        <v>#N/A</v>
      </c>
      <c r="AP416" s="102" t="e">
        <v>#N/A</v>
      </c>
      <c r="AQ416" s="102" t="e">
        <v>#N/A</v>
      </c>
      <c r="AR416" s="102" t="e">
        <v>#N/A</v>
      </c>
      <c r="AS416" s="102" t="e">
        <v>#N/A</v>
      </c>
      <c r="AT416" s="102" t="e">
        <v>#N/A</v>
      </c>
      <c r="AU416" s="102" t="e">
        <v>#N/A</v>
      </c>
      <c r="AV416" s="102" t="e">
        <v>#N/A</v>
      </c>
      <c r="AW416" s="102" t="e">
        <v>#N/A</v>
      </c>
      <c r="AX416" s="102" t="e">
        <v>#N/A</v>
      </c>
      <c r="AY416" s="102" t="e">
        <v>#N/A</v>
      </c>
    </row>
    <row r="417" spans="1:51" s="103" customFormat="1">
      <c r="A417" s="103" t="s">
        <v>630</v>
      </c>
      <c r="B417" s="103">
        <v>1505</v>
      </c>
      <c r="C417" s="103">
        <v>1375</v>
      </c>
      <c r="D417" s="103">
        <v>1.1000000000000001</v>
      </c>
      <c r="E417" s="103">
        <v>52371</v>
      </c>
      <c r="F417" s="103">
        <v>10.7</v>
      </c>
      <c r="G417" s="103">
        <v>480</v>
      </c>
      <c r="H417" s="103">
        <v>195</v>
      </c>
      <c r="I417" s="103">
        <v>55</v>
      </c>
      <c r="J417" s="103">
        <v>95.8</v>
      </c>
      <c r="K417" s="103">
        <v>4.2</v>
      </c>
      <c r="L417" s="103">
        <v>80.400000000000006</v>
      </c>
      <c r="M417" s="103">
        <v>78.3</v>
      </c>
      <c r="N417" s="103">
        <v>2.7</v>
      </c>
      <c r="O417" s="103">
        <v>340</v>
      </c>
      <c r="P417" s="103">
        <v>160</v>
      </c>
      <c r="Q417" s="103">
        <v>135</v>
      </c>
      <c r="R417" s="103">
        <v>90</v>
      </c>
      <c r="T417" s="103">
        <f t="shared" si="7"/>
        <v>0</v>
      </c>
      <c r="W417">
        <v>20126</v>
      </c>
      <c r="X417">
        <v>23012</v>
      </c>
      <c r="Y417">
        <v>16790</v>
      </c>
      <c r="Z417">
        <v>21043</v>
      </c>
      <c r="AA417">
        <v>17434</v>
      </c>
      <c r="AB417" s="103">
        <v>350</v>
      </c>
      <c r="AC417" s="103">
        <v>960</v>
      </c>
      <c r="AD417" s="103">
        <v>450</v>
      </c>
      <c r="AE417" s="103">
        <v>160</v>
      </c>
      <c r="AF417" s="102">
        <v>6.9514306555690641</v>
      </c>
      <c r="AG417" s="102">
        <v>0.54879715701861032</v>
      </c>
      <c r="AH417" s="102">
        <v>0</v>
      </c>
      <c r="AI417" s="102">
        <v>0.91466192836435056</v>
      </c>
      <c r="AJ417" s="102">
        <v>0.27439857850930516</v>
      </c>
      <c r="AK417" s="102">
        <v>0.54879715701861032</v>
      </c>
      <c r="AL417" s="102">
        <v>1.9207900495651362</v>
      </c>
      <c r="AM417" s="102">
        <v>1.2805266997100908</v>
      </c>
      <c r="AN417" s="102">
        <v>0.18293238567287012</v>
      </c>
      <c r="AO417" s="102">
        <v>0.45733096418217528</v>
      </c>
      <c r="AP417" s="102">
        <v>0</v>
      </c>
      <c r="AQ417" s="102">
        <v>0.27439857850930516</v>
      </c>
      <c r="AR417" s="102">
        <v>0</v>
      </c>
      <c r="AS417" s="102">
        <v>0</v>
      </c>
      <c r="AT417" s="102">
        <v>0.6402633498550454</v>
      </c>
      <c r="AU417" s="102">
        <v>1.0975943140372206</v>
      </c>
      <c r="AV417" s="102">
        <v>0</v>
      </c>
      <c r="AW417" s="102">
        <v>0.54879715701861032</v>
      </c>
      <c r="AX417" s="102">
        <v>0.73172954269148049</v>
      </c>
      <c r="AY417" s="102">
        <v>0.36586477134574025</v>
      </c>
    </row>
    <row r="418" spans="1:51" s="103" customFormat="1">
      <c r="A418" s="103" t="s">
        <v>276</v>
      </c>
      <c r="B418" s="103">
        <v>116</v>
      </c>
      <c r="C418" s="103">
        <v>116</v>
      </c>
      <c r="D418" s="103">
        <v>1.8</v>
      </c>
      <c r="E418" s="103">
        <v>0</v>
      </c>
      <c r="F418" s="103">
        <v>0</v>
      </c>
      <c r="G418" s="103">
        <v>35</v>
      </c>
      <c r="H418" s="103">
        <v>15</v>
      </c>
      <c r="I418" s="103">
        <v>10</v>
      </c>
      <c r="J418" s="103">
        <v>0</v>
      </c>
      <c r="K418" s="103">
        <v>57.1</v>
      </c>
      <c r="L418" s="103">
        <v>50</v>
      </c>
      <c r="M418" s="103">
        <v>50</v>
      </c>
      <c r="N418" s="103">
        <v>0</v>
      </c>
      <c r="O418" s="103">
        <v>10</v>
      </c>
      <c r="P418" s="103">
        <v>10</v>
      </c>
      <c r="Q418" s="103">
        <v>0</v>
      </c>
      <c r="R418" s="103">
        <v>0</v>
      </c>
      <c r="T418" s="103" t="str">
        <f t="shared" si="7"/>
        <v>War Lake First Nation</v>
      </c>
      <c r="W418">
        <v>0</v>
      </c>
      <c r="X418">
        <v>0</v>
      </c>
      <c r="Y418">
        <v>0</v>
      </c>
      <c r="Z418">
        <v>0</v>
      </c>
      <c r="AA418">
        <v>0</v>
      </c>
      <c r="AB418" s="103">
        <v>50</v>
      </c>
      <c r="AC418" s="103">
        <v>50</v>
      </c>
      <c r="AD418" s="103">
        <v>20</v>
      </c>
      <c r="AE418" s="103">
        <v>0</v>
      </c>
      <c r="AF418" s="102">
        <v>0</v>
      </c>
      <c r="AG418" s="102">
        <v>0</v>
      </c>
      <c r="AH418" s="102">
        <v>0</v>
      </c>
      <c r="AI418" s="102">
        <v>0</v>
      </c>
      <c r="AJ418" s="102">
        <v>0</v>
      </c>
      <c r="AK418" s="102">
        <v>0</v>
      </c>
      <c r="AL418" s="102">
        <v>0</v>
      </c>
      <c r="AM418" s="102">
        <v>4.2303114186851207</v>
      </c>
      <c r="AN418" s="102">
        <v>0</v>
      </c>
      <c r="AO418" s="102">
        <v>0</v>
      </c>
      <c r="AP418" s="102">
        <v>0</v>
      </c>
      <c r="AQ418" s="102">
        <v>0</v>
      </c>
      <c r="AR418" s="102">
        <v>0</v>
      </c>
      <c r="AS418" s="102">
        <v>0</v>
      </c>
      <c r="AT418" s="102">
        <v>4.2303114186851207</v>
      </c>
      <c r="AU418" s="102">
        <v>4.2303114186851207</v>
      </c>
      <c r="AV418" s="102">
        <v>0</v>
      </c>
      <c r="AW418" s="102">
        <v>0</v>
      </c>
      <c r="AX418" s="102">
        <v>4.2303114186851207</v>
      </c>
      <c r="AY418" s="102">
        <v>6.345467128027682</v>
      </c>
    </row>
    <row r="419" spans="1:51" s="103" customFormat="1">
      <c r="A419" s="103" t="s">
        <v>277</v>
      </c>
      <c r="B419" s="103">
        <v>1160</v>
      </c>
      <c r="C419" s="103">
        <v>1160</v>
      </c>
      <c r="D419" s="103">
        <v>2.5</v>
      </c>
      <c r="E419" s="103">
        <v>37859</v>
      </c>
      <c r="F419" s="103">
        <v>0</v>
      </c>
      <c r="G419" s="103">
        <v>250</v>
      </c>
      <c r="H419" s="103">
        <v>90</v>
      </c>
      <c r="I419" s="103">
        <v>130</v>
      </c>
      <c r="J419" s="103">
        <v>22</v>
      </c>
      <c r="K419" s="103">
        <v>8</v>
      </c>
      <c r="L419" s="103">
        <v>42.6</v>
      </c>
      <c r="M419" s="103">
        <v>28.4</v>
      </c>
      <c r="N419" s="103">
        <v>33.299999999999997</v>
      </c>
      <c r="O419" s="103">
        <v>80</v>
      </c>
      <c r="P419" s="103">
        <v>45</v>
      </c>
      <c r="Q419" s="103">
        <v>40</v>
      </c>
      <c r="R419" s="103">
        <v>25</v>
      </c>
      <c r="T419" s="103" t="str">
        <f t="shared" si="7"/>
        <v>Wasagamack First Nation</v>
      </c>
      <c r="W419">
        <v>17082</v>
      </c>
      <c r="X419">
        <v>16603</v>
      </c>
      <c r="Y419">
        <v>17715</v>
      </c>
      <c r="Z419">
        <v>6240</v>
      </c>
      <c r="AA419">
        <v>9760</v>
      </c>
      <c r="AB419" s="103">
        <v>450</v>
      </c>
      <c r="AC419" s="103">
        <v>675</v>
      </c>
      <c r="AD419" s="103">
        <v>120</v>
      </c>
      <c r="AE419" s="103">
        <v>10</v>
      </c>
      <c r="AF419" s="102">
        <v>0</v>
      </c>
      <c r="AG419" s="102">
        <v>0</v>
      </c>
      <c r="AH419" s="102">
        <v>0</v>
      </c>
      <c r="AI419" s="102">
        <v>0.8460622837370243</v>
      </c>
      <c r="AJ419" s="102">
        <v>0</v>
      </c>
      <c r="AK419" s="102">
        <v>0</v>
      </c>
      <c r="AL419" s="102">
        <v>1.4101038062283737</v>
      </c>
      <c r="AM419" s="102">
        <v>0.56404152249134942</v>
      </c>
      <c r="AN419" s="102">
        <v>0.56404152249134942</v>
      </c>
      <c r="AO419" s="102">
        <v>0.56404152249134942</v>
      </c>
      <c r="AP419" s="102">
        <v>0.56404152249134942</v>
      </c>
      <c r="AQ419" s="102">
        <v>0</v>
      </c>
      <c r="AR419" s="102">
        <v>0</v>
      </c>
      <c r="AS419" s="102">
        <v>0</v>
      </c>
      <c r="AT419" s="102">
        <v>3.6662698961937719</v>
      </c>
      <c r="AU419" s="102">
        <v>2.8202076124567474</v>
      </c>
      <c r="AV419" s="102">
        <v>0</v>
      </c>
      <c r="AW419" s="102">
        <v>0</v>
      </c>
      <c r="AX419" s="102">
        <v>0</v>
      </c>
      <c r="AY419" s="102">
        <v>2.8202076124567474</v>
      </c>
    </row>
    <row r="420" spans="1:51">
      <c r="A420" s="102" t="s">
        <v>476</v>
      </c>
      <c r="B420" s="102">
        <v>195</v>
      </c>
      <c r="C420" s="102">
        <v>200</v>
      </c>
      <c r="D420" s="102">
        <v>0.9</v>
      </c>
      <c r="E420" s="102">
        <v>0</v>
      </c>
      <c r="F420" s="102">
        <v>0</v>
      </c>
      <c r="G420" s="102">
        <v>80</v>
      </c>
      <c r="H420" s="102">
        <v>25</v>
      </c>
      <c r="I420" s="102">
        <v>15</v>
      </c>
      <c r="J420" s="102">
        <v>93.8</v>
      </c>
      <c r="K420" s="102">
        <v>0</v>
      </c>
      <c r="L420" s="102">
        <v>53.1</v>
      </c>
      <c r="M420" s="102">
        <v>53.1</v>
      </c>
      <c r="N420" s="102">
        <v>0</v>
      </c>
      <c r="O420" s="102">
        <v>45</v>
      </c>
      <c r="P420" s="102">
        <v>0</v>
      </c>
      <c r="Q420" s="102">
        <v>20</v>
      </c>
      <c r="R420" s="102">
        <v>30</v>
      </c>
      <c r="T420" s="102">
        <f t="shared" si="7"/>
        <v>0</v>
      </c>
      <c r="W420">
        <v>0</v>
      </c>
      <c r="X420">
        <v>0</v>
      </c>
      <c r="Y420">
        <v>0</v>
      </c>
      <c r="Z420">
        <v>0</v>
      </c>
      <c r="AA420">
        <v>0</v>
      </c>
      <c r="AB420" s="102">
        <v>35</v>
      </c>
      <c r="AC420" s="102">
        <v>135</v>
      </c>
      <c r="AD420" s="102">
        <v>40</v>
      </c>
      <c r="AE420" s="102">
        <v>40</v>
      </c>
      <c r="AF420" s="102">
        <v>5.97220435579076</v>
      </c>
      <c r="AG420" s="102">
        <v>2.98610217789538</v>
      </c>
      <c r="AH420" s="102">
        <v>0</v>
      </c>
      <c r="AI420" s="102">
        <v>0</v>
      </c>
      <c r="AJ420" s="102">
        <v>0</v>
      </c>
      <c r="AK420" s="102">
        <v>0</v>
      </c>
      <c r="AL420" s="102">
        <v>0</v>
      </c>
      <c r="AM420" s="102">
        <v>0</v>
      </c>
      <c r="AN420" s="102">
        <v>0</v>
      </c>
      <c r="AO420" s="102">
        <v>0</v>
      </c>
      <c r="AP420" s="102">
        <v>0</v>
      </c>
      <c r="AQ420" s="102">
        <v>1.9907347852635864</v>
      </c>
      <c r="AR420" s="102">
        <v>0</v>
      </c>
      <c r="AS420" s="102">
        <v>0</v>
      </c>
      <c r="AT420" s="102">
        <v>0</v>
      </c>
      <c r="AU420" s="102">
        <v>1.9907347852635864</v>
      </c>
      <c r="AV420" s="102">
        <v>0</v>
      </c>
      <c r="AW420" s="102">
        <v>0</v>
      </c>
      <c r="AX420" s="102">
        <v>0</v>
      </c>
      <c r="AY420" s="102">
        <v>1.9907347852635864</v>
      </c>
    </row>
    <row r="421" spans="1:51">
      <c r="A421" t="s">
        <v>278</v>
      </c>
      <c r="B421" s="103">
        <v>163</v>
      </c>
      <c r="T421" s="102">
        <f t="shared" si="7"/>
        <v>0</v>
      </c>
      <c r="W421">
        <v>17185</v>
      </c>
      <c r="X421">
        <v>16839</v>
      </c>
      <c r="Y421">
        <v>17652</v>
      </c>
      <c r="Z421">
        <v>7776</v>
      </c>
      <c r="AA421">
        <v>13984</v>
      </c>
      <c r="AB421" s="102">
        <v>125</v>
      </c>
      <c r="AC421" s="102">
        <v>250</v>
      </c>
      <c r="AD421" s="102">
        <v>60</v>
      </c>
      <c r="AE421" s="102">
        <v>20</v>
      </c>
      <c r="AF421" s="102" t="e">
        <v>#N/A</v>
      </c>
      <c r="AG421" s="102" t="e">
        <v>#N/A</v>
      </c>
      <c r="AH421" s="102" t="e">
        <v>#N/A</v>
      </c>
      <c r="AI421" s="102" t="e">
        <v>#N/A</v>
      </c>
      <c r="AJ421" s="102" t="e">
        <v>#N/A</v>
      </c>
      <c r="AK421" s="102" t="e">
        <v>#N/A</v>
      </c>
      <c r="AL421" s="102" t="e">
        <v>#N/A</v>
      </c>
      <c r="AM421" s="102" t="e">
        <v>#N/A</v>
      </c>
      <c r="AN421" s="102" t="e">
        <v>#N/A</v>
      </c>
      <c r="AO421" s="102" t="e">
        <v>#N/A</v>
      </c>
      <c r="AP421" s="102" t="e">
        <v>#N/A</v>
      </c>
      <c r="AQ421" s="102" t="e">
        <v>#N/A</v>
      </c>
      <c r="AR421" s="102" t="e">
        <v>#N/A</v>
      </c>
      <c r="AS421" s="102" t="e">
        <v>#N/A</v>
      </c>
      <c r="AT421" s="102" t="e">
        <v>#N/A</v>
      </c>
      <c r="AU421" s="102" t="e">
        <v>#N/A</v>
      </c>
      <c r="AV421" s="102" t="e">
        <v>#N/A</v>
      </c>
      <c r="AW421" s="102" t="e">
        <v>#N/A</v>
      </c>
      <c r="AX421" s="102" t="e">
        <v>#N/A</v>
      </c>
      <c r="AY421" s="102" t="e">
        <v>#N/A</v>
      </c>
    </row>
    <row r="422" spans="1:51">
      <c r="A422" s="102" t="s">
        <v>477</v>
      </c>
      <c r="B422" s="102">
        <v>510</v>
      </c>
      <c r="C422" s="102">
        <v>510</v>
      </c>
      <c r="D422" s="102">
        <v>1.1000000000000001</v>
      </c>
      <c r="E422" s="102">
        <v>78921</v>
      </c>
      <c r="F422" s="102">
        <v>0</v>
      </c>
      <c r="G422" s="102">
        <v>225</v>
      </c>
      <c r="H422" s="102">
        <v>70</v>
      </c>
      <c r="I422" s="102">
        <v>20</v>
      </c>
      <c r="J422" s="102">
        <v>75.599999999999994</v>
      </c>
      <c r="K422" s="102">
        <v>26.7</v>
      </c>
      <c r="L422" s="102">
        <v>70.2</v>
      </c>
      <c r="M422" s="102">
        <v>65.5</v>
      </c>
      <c r="N422" s="102">
        <v>8.5</v>
      </c>
      <c r="O422" s="102">
        <v>100</v>
      </c>
      <c r="P422" s="102">
        <v>70</v>
      </c>
      <c r="Q422" s="102">
        <v>60</v>
      </c>
      <c r="R422" s="102">
        <v>90</v>
      </c>
      <c r="T422" s="102">
        <f t="shared" si="7"/>
        <v>0</v>
      </c>
      <c r="W422">
        <v>30721</v>
      </c>
      <c r="X422">
        <v>31800</v>
      </c>
      <c r="Y422">
        <v>29564</v>
      </c>
      <c r="Z422">
        <v>35080</v>
      </c>
      <c r="AA422">
        <v>25400</v>
      </c>
      <c r="AB422" s="102">
        <v>85</v>
      </c>
      <c r="AC422" s="102">
        <v>305</v>
      </c>
      <c r="AD422" s="102">
        <v>100</v>
      </c>
      <c r="AE422" s="102">
        <v>90</v>
      </c>
      <c r="AF422" s="102">
        <v>1.434003870740719</v>
      </c>
      <c r="AG422" s="102">
        <v>0</v>
      </c>
      <c r="AH422" s="102">
        <v>0</v>
      </c>
      <c r="AI422" s="102">
        <v>0</v>
      </c>
      <c r="AJ422" s="102">
        <v>2.5812069673332942</v>
      </c>
      <c r="AK422" s="102">
        <v>0.57360154829628762</v>
      </c>
      <c r="AL422" s="102">
        <v>2.0076054190370067</v>
      </c>
      <c r="AM422" s="102">
        <v>1.1472030965925752</v>
      </c>
      <c r="AN422" s="102">
        <v>0</v>
      </c>
      <c r="AO422" s="102">
        <v>1.720804644888863</v>
      </c>
      <c r="AP422" s="102">
        <v>0</v>
      </c>
      <c r="AQ422" s="102">
        <v>0</v>
      </c>
      <c r="AR422" s="102">
        <v>0</v>
      </c>
      <c r="AS422" s="102">
        <v>0</v>
      </c>
      <c r="AT422" s="102">
        <v>2.868007741481438</v>
      </c>
      <c r="AU422" s="102">
        <v>2.868007741481438</v>
      </c>
      <c r="AV422" s="102">
        <v>0</v>
      </c>
      <c r="AW422" s="102">
        <v>0.57360154829628762</v>
      </c>
      <c r="AX422" s="102">
        <v>0</v>
      </c>
      <c r="AY422" s="102">
        <v>1.720804644888863</v>
      </c>
    </row>
    <row r="423" spans="1:51">
      <c r="A423" s="102" t="s">
        <v>279</v>
      </c>
      <c r="B423" s="102">
        <v>1125</v>
      </c>
      <c r="C423" s="102">
        <v>1125</v>
      </c>
      <c r="D423" s="102">
        <v>2.1</v>
      </c>
      <c r="E423" s="102">
        <v>28226</v>
      </c>
      <c r="F423" s="102">
        <v>0</v>
      </c>
      <c r="G423" s="102">
        <v>325</v>
      </c>
      <c r="H423" s="102">
        <v>105</v>
      </c>
      <c r="I423" s="102">
        <v>140</v>
      </c>
      <c r="J423" s="102">
        <v>3.1</v>
      </c>
      <c r="K423" s="102">
        <v>0</v>
      </c>
      <c r="L423" s="102">
        <v>39.1</v>
      </c>
      <c r="M423" s="102">
        <v>30.4</v>
      </c>
      <c r="N423" s="102">
        <v>22.2</v>
      </c>
      <c r="O423" s="102">
        <v>135</v>
      </c>
      <c r="P423" s="102">
        <v>20</v>
      </c>
      <c r="Q423" s="102">
        <v>30</v>
      </c>
      <c r="R423" s="102">
        <v>30</v>
      </c>
      <c r="T423" s="102" t="str">
        <f t="shared" si="7"/>
        <v>Waywayseecappo First Nation</v>
      </c>
      <c r="W423">
        <v>16641</v>
      </c>
      <c r="X423">
        <v>16715</v>
      </c>
      <c r="Y423">
        <v>16559</v>
      </c>
      <c r="Z423">
        <v>3256</v>
      </c>
      <c r="AA423">
        <v>11728</v>
      </c>
      <c r="AB423" s="102">
        <v>440</v>
      </c>
      <c r="AC423" s="102">
        <v>650</v>
      </c>
      <c r="AD423" s="102">
        <v>160</v>
      </c>
      <c r="AE423" s="102">
        <v>35</v>
      </c>
      <c r="AF423" s="102">
        <v>0.6267128027681661</v>
      </c>
      <c r="AG423" s="102">
        <v>0</v>
      </c>
      <c r="AH423" s="102">
        <v>0</v>
      </c>
      <c r="AI423" s="102">
        <v>1.2534256055363322</v>
      </c>
      <c r="AJ423" s="102">
        <v>0</v>
      </c>
      <c r="AK423" s="102">
        <v>0</v>
      </c>
      <c r="AL423" s="102">
        <v>1.2534256055363322</v>
      </c>
      <c r="AM423" s="102">
        <v>0.94006920415224904</v>
      </c>
      <c r="AN423" s="102">
        <v>0</v>
      </c>
      <c r="AO423" s="102">
        <v>0</v>
      </c>
      <c r="AP423" s="102">
        <v>0</v>
      </c>
      <c r="AQ423" s="102">
        <v>0</v>
      </c>
      <c r="AR423" s="102">
        <v>0</v>
      </c>
      <c r="AS423" s="102">
        <v>0.94006920415224904</v>
      </c>
      <c r="AT423" s="102">
        <v>2.1934948096885813</v>
      </c>
      <c r="AU423" s="102">
        <v>2.1934948096885813</v>
      </c>
      <c r="AV423" s="102">
        <v>0.94006920415224904</v>
      </c>
      <c r="AW423" s="102">
        <v>1.5667820069204152</v>
      </c>
      <c r="AX423" s="102">
        <v>0.6267128027681661</v>
      </c>
      <c r="AY423" s="102">
        <v>2.8202076124567474</v>
      </c>
    </row>
    <row r="424" spans="1:51">
      <c r="A424" s="102" t="s">
        <v>478</v>
      </c>
      <c r="B424" s="102">
        <v>4165</v>
      </c>
      <c r="C424" s="102">
        <v>4130</v>
      </c>
      <c r="D424" s="102">
        <v>1.2</v>
      </c>
      <c r="E424" s="102">
        <v>86194</v>
      </c>
      <c r="F424" s="102">
        <v>8.5</v>
      </c>
      <c r="G424" s="102">
        <v>1440</v>
      </c>
      <c r="H424" s="102">
        <v>340</v>
      </c>
      <c r="I424" s="102">
        <v>75</v>
      </c>
      <c r="J424" s="102">
        <v>96.9</v>
      </c>
      <c r="K424" s="102">
        <v>3.5</v>
      </c>
      <c r="L424" s="102">
        <v>70.900000000000006</v>
      </c>
      <c r="M424" s="102">
        <v>69.8</v>
      </c>
      <c r="N424" s="102">
        <v>1.6</v>
      </c>
      <c r="O424" s="102">
        <v>990</v>
      </c>
      <c r="P424" s="102">
        <v>455</v>
      </c>
      <c r="Q424" s="102">
        <v>735</v>
      </c>
      <c r="R424" s="102">
        <v>560</v>
      </c>
      <c r="T424" s="102">
        <f t="shared" si="7"/>
        <v>0</v>
      </c>
      <c r="W424">
        <v>34268</v>
      </c>
      <c r="X424">
        <v>37383</v>
      </c>
      <c r="Y424">
        <v>30629</v>
      </c>
      <c r="Z424">
        <v>36634</v>
      </c>
      <c r="AA424">
        <v>21343</v>
      </c>
      <c r="AB424" s="102">
        <v>720</v>
      </c>
      <c r="AC424" s="102">
        <v>2905</v>
      </c>
      <c r="AD424" s="102">
        <v>1345</v>
      </c>
      <c r="AE424" s="102">
        <v>510</v>
      </c>
      <c r="AF424" s="102">
        <v>0.24272278631799876</v>
      </c>
      <c r="AG424" s="102">
        <v>0.17337341879857052</v>
      </c>
      <c r="AH424" s="102">
        <v>0.34674683759714103</v>
      </c>
      <c r="AI424" s="102">
        <v>1.8377582392648477</v>
      </c>
      <c r="AJ424" s="102">
        <v>1.3523126666288503</v>
      </c>
      <c r="AK424" s="102">
        <v>0.7628430427137104</v>
      </c>
      <c r="AL424" s="102">
        <v>1.7684088717454196</v>
      </c>
      <c r="AM424" s="102">
        <v>1.4216620341482784</v>
      </c>
      <c r="AN424" s="102">
        <v>0.48544557263599752</v>
      </c>
      <c r="AO424" s="102">
        <v>0.65881899143456812</v>
      </c>
      <c r="AP424" s="102">
        <v>0.13869873503885644</v>
      </c>
      <c r="AQ424" s="102">
        <v>0.62414430767485396</v>
      </c>
      <c r="AR424" s="102">
        <v>0</v>
      </c>
      <c r="AS424" s="102">
        <v>0.62414430767485396</v>
      </c>
      <c r="AT424" s="102">
        <v>1.3523126666288503</v>
      </c>
      <c r="AU424" s="102">
        <v>2.1498303931022749</v>
      </c>
      <c r="AV424" s="102">
        <v>0.3814215213568552</v>
      </c>
      <c r="AW424" s="102">
        <v>0.65881899143456812</v>
      </c>
      <c r="AX424" s="102">
        <v>0.5894696239151398</v>
      </c>
      <c r="AY424" s="102">
        <v>1.2136139315899936</v>
      </c>
    </row>
    <row r="425" spans="1:51">
      <c r="A425" s="102" t="s">
        <v>646</v>
      </c>
      <c r="B425" s="102">
        <v>1940</v>
      </c>
      <c r="C425" s="102">
        <v>1465</v>
      </c>
      <c r="D425" s="102">
        <v>1.2</v>
      </c>
      <c r="E425" s="102">
        <v>58798</v>
      </c>
      <c r="F425" s="102">
        <v>10.8</v>
      </c>
      <c r="G425" s="102">
        <v>555</v>
      </c>
      <c r="H425" s="102">
        <v>255</v>
      </c>
      <c r="I425" s="102">
        <v>30</v>
      </c>
      <c r="J425" s="102">
        <v>87.4</v>
      </c>
      <c r="K425" s="102">
        <v>11.7</v>
      </c>
      <c r="L425" s="102">
        <v>76.2</v>
      </c>
      <c r="M425" s="102">
        <v>75.900000000000006</v>
      </c>
      <c r="N425" s="102">
        <v>0.9</v>
      </c>
      <c r="O425" s="102">
        <v>285</v>
      </c>
      <c r="P425" s="102">
        <v>120</v>
      </c>
      <c r="Q425" s="102">
        <v>120</v>
      </c>
      <c r="R425" s="102">
        <v>150</v>
      </c>
      <c r="T425" s="102">
        <f t="shared" si="7"/>
        <v>0</v>
      </c>
      <c r="W425">
        <v>18257</v>
      </c>
      <c r="X425">
        <v>16184</v>
      </c>
      <c r="Y425">
        <v>20686</v>
      </c>
      <c r="Z425">
        <v>18046</v>
      </c>
      <c r="AA425">
        <v>18258</v>
      </c>
      <c r="AB425" s="102">
        <v>535</v>
      </c>
      <c r="AC425" s="102">
        <v>1130</v>
      </c>
      <c r="AD425" s="102">
        <v>450</v>
      </c>
      <c r="AE425" s="102">
        <v>275</v>
      </c>
      <c r="AF425" s="102">
        <v>9.2083057857890083</v>
      </c>
      <c r="AG425" s="102">
        <v>0</v>
      </c>
      <c r="AH425" s="102">
        <v>0</v>
      </c>
      <c r="AI425" s="102">
        <v>0.31481387301842761</v>
      </c>
      <c r="AJ425" s="102">
        <v>0.62962774603685523</v>
      </c>
      <c r="AK425" s="102">
        <v>0.47222080952764139</v>
      </c>
      <c r="AL425" s="102">
        <v>0.55092427778224828</v>
      </c>
      <c r="AM425" s="102">
        <v>0.62962774603685523</v>
      </c>
      <c r="AN425" s="102">
        <v>0</v>
      </c>
      <c r="AO425" s="102">
        <v>0.2361104047638207</v>
      </c>
      <c r="AP425" s="102">
        <v>0</v>
      </c>
      <c r="AQ425" s="102">
        <v>0.62962774603685523</v>
      </c>
      <c r="AR425" s="102">
        <v>0</v>
      </c>
      <c r="AS425" s="102">
        <v>0.15740693650921381</v>
      </c>
      <c r="AT425" s="102">
        <v>0.86573815080067595</v>
      </c>
      <c r="AU425" s="102">
        <v>1.8888832381105656</v>
      </c>
      <c r="AV425" s="102">
        <v>0</v>
      </c>
      <c r="AW425" s="102">
        <v>0.47222080952764139</v>
      </c>
      <c r="AX425" s="102">
        <v>0.78703468254606901</v>
      </c>
      <c r="AY425" s="102">
        <v>0.31481387301842761</v>
      </c>
    </row>
    <row r="426" spans="1:51">
      <c r="A426" s="102" t="s">
        <v>635</v>
      </c>
      <c r="B426" s="102">
        <v>1400</v>
      </c>
      <c r="C426" s="102">
        <v>1400</v>
      </c>
      <c r="D426" s="102">
        <v>1</v>
      </c>
      <c r="E426" s="102">
        <v>78126</v>
      </c>
      <c r="F426" s="102">
        <v>4.8</v>
      </c>
      <c r="G426" s="102">
        <v>520</v>
      </c>
      <c r="H426" s="102">
        <v>175</v>
      </c>
      <c r="I426" s="102">
        <v>40</v>
      </c>
      <c r="J426" s="102">
        <v>97.1</v>
      </c>
      <c r="K426" s="102">
        <v>2.9</v>
      </c>
      <c r="L426" s="102">
        <v>82.6</v>
      </c>
      <c r="M426" s="102">
        <v>82.1</v>
      </c>
      <c r="N426" s="102">
        <v>1.1000000000000001</v>
      </c>
      <c r="O426" s="102">
        <v>265</v>
      </c>
      <c r="P426" s="102">
        <v>105</v>
      </c>
      <c r="Q426" s="102">
        <v>255</v>
      </c>
      <c r="R426" s="102">
        <v>250</v>
      </c>
      <c r="T426" s="102">
        <f t="shared" si="7"/>
        <v>0</v>
      </c>
      <c r="W426">
        <v>31706</v>
      </c>
      <c r="X426">
        <v>36298</v>
      </c>
      <c r="Y426">
        <v>26997</v>
      </c>
      <c r="Z426">
        <v>34176</v>
      </c>
      <c r="AA426">
        <v>24747</v>
      </c>
      <c r="AB426" s="102">
        <v>275</v>
      </c>
      <c r="AC426" s="102">
        <v>990</v>
      </c>
      <c r="AD426" s="102">
        <v>430</v>
      </c>
      <c r="AE426" s="102">
        <v>125</v>
      </c>
      <c r="AF426" s="102">
        <v>2.6525195922566165</v>
      </c>
      <c r="AG426" s="102">
        <v>0</v>
      </c>
      <c r="AH426" s="102">
        <v>0.27439857850930516</v>
      </c>
      <c r="AI426" s="102">
        <v>1.2805266997100908</v>
      </c>
      <c r="AJ426" s="102">
        <v>1.1890605068736557</v>
      </c>
      <c r="AK426" s="102">
        <v>0.54879715701861032</v>
      </c>
      <c r="AL426" s="102">
        <v>2.5610533994201816</v>
      </c>
      <c r="AM426" s="102">
        <v>0.45733096418217528</v>
      </c>
      <c r="AN426" s="102">
        <v>0.18293238567287012</v>
      </c>
      <c r="AO426" s="102">
        <v>0.54879715701861032</v>
      </c>
      <c r="AP426" s="102">
        <v>0</v>
      </c>
      <c r="AQ426" s="102">
        <v>0.45733096418217528</v>
      </c>
      <c r="AR426" s="102">
        <v>0</v>
      </c>
      <c r="AS426" s="102">
        <v>0.45733096418217528</v>
      </c>
      <c r="AT426" s="102">
        <v>1.2805266997100908</v>
      </c>
      <c r="AU426" s="102">
        <v>2.0122562424015711</v>
      </c>
      <c r="AV426" s="102">
        <v>0.27439857850930516</v>
      </c>
      <c r="AW426" s="102">
        <v>0.6402633498550454</v>
      </c>
      <c r="AX426" s="102">
        <v>0.82319573552791547</v>
      </c>
      <c r="AY426" s="102">
        <v>1.0975943140372206</v>
      </c>
    </row>
    <row r="427" spans="1:51">
      <c r="A427" s="102" t="s">
        <v>479</v>
      </c>
      <c r="B427" s="102">
        <v>1460</v>
      </c>
      <c r="C427" s="102">
        <v>1360</v>
      </c>
      <c r="D427" s="102">
        <v>1.1000000000000001</v>
      </c>
      <c r="E427" s="102">
        <v>60882</v>
      </c>
      <c r="F427" s="102">
        <v>9</v>
      </c>
      <c r="G427" s="102">
        <v>550</v>
      </c>
      <c r="H427" s="102">
        <v>175</v>
      </c>
      <c r="I427" s="102">
        <v>85</v>
      </c>
      <c r="J427" s="102">
        <v>89.1</v>
      </c>
      <c r="K427" s="102">
        <v>11.8</v>
      </c>
      <c r="L427" s="102">
        <v>66.400000000000006</v>
      </c>
      <c r="M427" s="102">
        <v>64.3</v>
      </c>
      <c r="N427" s="102">
        <v>2.6</v>
      </c>
      <c r="O427" s="102">
        <v>270</v>
      </c>
      <c r="P427" s="102">
        <v>175</v>
      </c>
      <c r="Q427" s="102">
        <v>105</v>
      </c>
      <c r="R427" s="102">
        <v>80</v>
      </c>
      <c r="T427" s="102">
        <f t="shared" si="7"/>
        <v>0</v>
      </c>
      <c r="W427">
        <v>24530</v>
      </c>
      <c r="X427">
        <v>24879</v>
      </c>
      <c r="Y427">
        <v>24177</v>
      </c>
      <c r="Z427">
        <v>23287</v>
      </c>
      <c r="AA427">
        <v>17879</v>
      </c>
      <c r="AB427" s="102">
        <v>290</v>
      </c>
      <c r="AC427" s="102">
        <v>870</v>
      </c>
      <c r="AD427" s="102">
        <v>385</v>
      </c>
      <c r="AE427" s="102">
        <v>285</v>
      </c>
      <c r="AF427" s="102">
        <v>4.7726590364652646</v>
      </c>
      <c r="AG427" s="102">
        <v>0.7592866648922012</v>
      </c>
      <c r="AH427" s="102">
        <v>0.433878094224115</v>
      </c>
      <c r="AI427" s="102">
        <v>1.0846952355602875</v>
      </c>
      <c r="AJ427" s="102">
        <v>0.54234761778014373</v>
      </c>
      <c r="AK427" s="102">
        <v>0</v>
      </c>
      <c r="AL427" s="102">
        <v>0.433878094224115</v>
      </c>
      <c r="AM427" s="102">
        <v>1.0846952355602875</v>
      </c>
      <c r="AN427" s="102">
        <v>0</v>
      </c>
      <c r="AO427" s="102">
        <v>0</v>
      </c>
      <c r="AP427" s="102">
        <v>0.2169390471120575</v>
      </c>
      <c r="AQ427" s="102">
        <v>0.97622571200425878</v>
      </c>
      <c r="AR427" s="102">
        <v>0.2169390471120575</v>
      </c>
      <c r="AS427" s="102">
        <v>0.433878094224115</v>
      </c>
      <c r="AT427" s="102">
        <v>0.65081714133617252</v>
      </c>
      <c r="AU427" s="102">
        <v>1.6270428533404313</v>
      </c>
      <c r="AV427" s="102">
        <v>0</v>
      </c>
      <c r="AW427" s="102">
        <v>1.0846952355602875</v>
      </c>
      <c r="AX427" s="102">
        <v>1.0846952355602875</v>
      </c>
      <c r="AY427" s="102">
        <v>1.301634282672345</v>
      </c>
    </row>
    <row r="428" spans="1:51">
      <c r="A428" s="102" t="s">
        <v>626</v>
      </c>
      <c r="B428" s="102">
        <v>645</v>
      </c>
      <c r="C428" s="102">
        <v>560</v>
      </c>
      <c r="D428" s="102">
        <v>1</v>
      </c>
      <c r="E428" s="102">
        <v>55389</v>
      </c>
      <c r="F428" s="102">
        <v>11.4</v>
      </c>
      <c r="G428" s="102">
        <v>215</v>
      </c>
      <c r="H428" s="102">
        <v>95</v>
      </c>
      <c r="I428" s="102">
        <v>50</v>
      </c>
      <c r="J428" s="102">
        <v>95.3</v>
      </c>
      <c r="K428" s="102">
        <v>4.7</v>
      </c>
      <c r="L428" s="102">
        <v>69.2</v>
      </c>
      <c r="M428" s="102">
        <v>66.3</v>
      </c>
      <c r="N428" s="102">
        <v>4.2</v>
      </c>
      <c r="O428" s="102">
        <v>115</v>
      </c>
      <c r="P428" s="102">
        <v>70</v>
      </c>
      <c r="Q428" s="102">
        <v>75</v>
      </c>
      <c r="R428" s="102">
        <v>10</v>
      </c>
      <c r="T428" s="102">
        <f t="shared" si="7"/>
        <v>0</v>
      </c>
      <c r="W428">
        <v>24586</v>
      </c>
      <c r="X428">
        <v>31603</v>
      </c>
      <c r="Y428">
        <v>16247</v>
      </c>
      <c r="Z428">
        <v>33799</v>
      </c>
      <c r="AA428">
        <v>19053</v>
      </c>
      <c r="AB428" s="102">
        <v>120</v>
      </c>
      <c r="AC428" s="102">
        <v>440</v>
      </c>
      <c r="AD428" s="102">
        <v>200</v>
      </c>
      <c r="AE428" s="102">
        <v>75</v>
      </c>
      <c r="AF428" s="102">
        <v>8.4606228373702415</v>
      </c>
      <c r="AG428" s="102">
        <v>0.47003460207612452</v>
      </c>
      <c r="AH428" s="102">
        <v>0.47003460207612452</v>
      </c>
      <c r="AI428" s="102">
        <v>0.47003460207612452</v>
      </c>
      <c r="AJ428" s="102">
        <v>0</v>
      </c>
      <c r="AK428" s="102">
        <v>0</v>
      </c>
      <c r="AL428" s="102">
        <v>0.70505190311418686</v>
      </c>
      <c r="AM428" s="102">
        <v>1.1750865051903114</v>
      </c>
      <c r="AN428" s="102">
        <v>0</v>
      </c>
      <c r="AO428" s="102">
        <v>0</v>
      </c>
      <c r="AP428" s="102">
        <v>0.47003460207612452</v>
      </c>
      <c r="AQ428" s="102">
        <v>0</v>
      </c>
      <c r="AR428" s="102">
        <v>0</v>
      </c>
      <c r="AS428" s="102">
        <v>0</v>
      </c>
      <c r="AT428" s="102">
        <v>0</v>
      </c>
      <c r="AU428" s="102">
        <v>2.3501730103806229</v>
      </c>
      <c r="AV428" s="102">
        <v>0</v>
      </c>
      <c r="AW428" s="102">
        <v>0.47003460207612452</v>
      </c>
      <c r="AX428" s="102">
        <v>0.47003460207612452</v>
      </c>
      <c r="AY428" s="102">
        <v>0.47003460207612452</v>
      </c>
    </row>
    <row r="429" spans="1:51">
      <c r="A429" s="102" t="s">
        <v>621</v>
      </c>
      <c r="B429" s="102">
        <v>595</v>
      </c>
      <c r="C429" s="102">
        <v>595</v>
      </c>
      <c r="D429" s="102">
        <v>0.9</v>
      </c>
      <c r="E429" s="102">
        <v>47436</v>
      </c>
      <c r="F429" s="102">
        <v>10.3</v>
      </c>
      <c r="G429" s="102">
        <v>230</v>
      </c>
      <c r="H429" s="102">
        <v>80</v>
      </c>
      <c r="I429" s="102">
        <v>0</v>
      </c>
      <c r="J429" s="102">
        <v>89.1</v>
      </c>
      <c r="K429" s="102">
        <v>13</v>
      </c>
      <c r="L429" s="102">
        <v>74.7</v>
      </c>
      <c r="M429" s="102">
        <v>73.599999999999994</v>
      </c>
      <c r="N429" s="102">
        <v>0</v>
      </c>
      <c r="O429" s="102">
        <v>135</v>
      </c>
      <c r="P429" s="102">
        <v>15</v>
      </c>
      <c r="Q429" s="102">
        <v>90</v>
      </c>
      <c r="R429" s="102">
        <v>80</v>
      </c>
      <c r="T429" s="102">
        <f t="shared" si="7"/>
        <v>0</v>
      </c>
      <c r="W429">
        <v>18139</v>
      </c>
      <c r="X429">
        <v>16346</v>
      </c>
      <c r="Y429">
        <v>20186</v>
      </c>
      <c r="Z429">
        <v>20432</v>
      </c>
      <c r="AA429">
        <v>22716</v>
      </c>
      <c r="AB429" s="102">
        <v>140</v>
      </c>
      <c r="AC429" s="102">
        <v>375</v>
      </c>
      <c r="AD429" s="102">
        <v>220</v>
      </c>
      <c r="AE429" s="102">
        <v>65</v>
      </c>
      <c r="AF429" s="102">
        <v>8.2117809892122935</v>
      </c>
      <c r="AG429" s="102">
        <v>0</v>
      </c>
      <c r="AH429" s="102">
        <v>0</v>
      </c>
      <c r="AI429" s="102">
        <v>0.746525544473845</v>
      </c>
      <c r="AJ429" s="102">
        <v>0</v>
      </c>
      <c r="AK429" s="102">
        <v>0.4976836963158966</v>
      </c>
      <c r="AL429" s="102">
        <v>1.2442092407897416</v>
      </c>
      <c r="AM429" s="102">
        <v>0.746525544473845</v>
      </c>
      <c r="AN429" s="102">
        <v>0</v>
      </c>
      <c r="AO429" s="102">
        <v>0</v>
      </c>
      <c r="AP429" s="102">
        <v>0</v>
      </c>
      <c r="AQ429" s="102">
        <v>0.4976836963158966</v>
      </c>
      <c r="AR429" s="102">
        <v>0</v>
      </c>
      <c r="AS429" s="102">
        <v>0</v>
      </c>
      <c r="AT429" s="102">
        <v>0.746525544473845</v>
      </c>
      <c r="AU429" s="102">
        <v>1.9907347852635864</v>
      </c>
      <c r="AV429" s="102">
        <v>0</v>
      </c>
      <c r="AW429" s="102">
        <v>0</v>
      </c>
      <c r="AX429" s="102">
        <v>1.49305108894769</v>
      </c>
      <c r="AY429" s="102">
        <v>0.99536739263179319</v>
      </c>
    </row>
    <row r="430" spans="1:51">
      <c r="A430" s="102" t="s">
        <v>480</v>
      </c>
      <c r="B430" s="102">
        <v>8925</v>
      </c>
      <c r="C430" s="102">
        <v>8920</v>
      </c>
      <c r="D430" s="102">
        <v>1.3</v>
      </c>
      <c r="E430" s="102">
        <v>57681</v>
      </c>
      <c r="F430" s="102">
        <v>14.2</v>
      </c>
      <c r="G430" s="102">
        <v>3280</v>
      </c>
      <c r="H430" s="102">
        <v>790</v>
      </c>
      <c r="I430" s="102">
        <v>150</v>
      </c>
      <c r="J430" s="102">
        <v>74.099999999999994</v>
      </c>
      <c r="K430" s="102">
        <v>25.9</v>
      </c>
      <c r="L430" s="102">
        <v>64</v>
      </c>
      <c r="M430" s="102">
        <v>62.1</v>
      </c>
      <c r="N430" s="102">
        <v>3</v>
      </c>
      <c r="O430" s="102">
        <v>1405</v>
      </c>
      <c r="P430" s="102">
        <v>600</v>
      </c>
      <c r="Q430" s="102">
        <v>610</v>
      </c>
      <c r="R430" s="102">
        <v>630</v>
      </c>
      <c r="T430" s="102">
        <f t="shared" si="7"/>
        <v>0</v>
      </c>
      <c r="W430">
        <v>24175</v>
      </c>
      <c r="X430">
        <v>30095</v>
      </c>
      <c r="Y430">
        <v>17412</v>
      </c>
      <c r="Z430">
        <v>26339</v>
      </c>
      <c r="AA430">
        <v>15603</v>
      </c>
      <c r="AB430" s="102">
        <v>2000</v>
      </c>
      <c r="AC430" s="102">
        <v>5505</v>
      </c>
      <c r="AD430" s="102">
        <v>1890</v>
      </c>
      <c r="AE430" s="102">
        <v>1420</v>
      </c>
      <c r="AF430" s="102">
        <v>1.2223021706358814</v>
      </c>
      <c r="AG430" s="102">
        <v>3.8196942832371295E-2</v>
      </c>
      <c r="AH430" s="102">
        <v>3.8196942832371295E-2</v>
      </c>
      <c r="AI430" s="102">
        <v>1.0122189850578394</v>
      </c>
      <c r="AJ430" s="102">
        <v>4.010678997398986</v>
      </c>
      <c r="AK430" s="102">
        <v>0.64934802815031201</v>
      </c>
      <c r="AL430" s="102">
        <v>2.1008318557804211</v>
      </c>
      <c r="AM430" s="102">
        <v>0.85943121372835418</v>
      </c>
      <c r="AN430" s="102">
        <v>0.13368929991329956</v>
      </c>
      <c r="AO430" s="102">
        <v>0.30557554265897036</v>
      </c>
      <c r="AP430" s="102">
        <v>0.15278777132948518</v>
      </c>
      <c r="AQ430" s="102">
        <v>0.381969428323713</v>
      </c>
      <c r="AR430" s="102">
        <v>3.8196942832371295E-2</v>
      </c>
      <c r="AS430" s="102">
        <v>0.324674014075156</v>
      </c>
      <c r="AT430" s="102">
        <v>1.2223021706358814</v>
      </c>
      <c r="AU430" s="102">
        <v>1.9480440844509361</v>
      </c>
      <c r="AV430" s="102">
        <v>0.13368929991329956</v>
      </c>
      <c r="AW430" s="102">
        <v>1.0122189850578394</v>
      </c>
      <c r="AX430" s="102">
        <v>0.89762815656072548</v>
      </c>
      <c r="AY430" s="102">
        <v>0.3628709569075273</v>
      </c>
    </row>
    <row r="431" spans="1:51">
      <c r="A431" s="102" t="s">
        <v>481</v>
      </c>
      <c r="B431" s="102">
        <v>625700</v>
      </c>
      <c r="C431" s="102">
        <v>622430</v>
      </c>
      <c r="D431" s="102">
        <v>1.1000000000000001</v>
      </c>
      <c r="E431" s="102">
        <v>77734</v>
      </c>
      <c r="F431" s="102">
        <v>14.9</v>
      </c>
      <c r="G431" s="102">
        <v>261110</v>
      </c>
      <c r="H431" s="102">
        <v>76065</v>
      </c>
      <c r="I431" s="102">
        <v>22230</v>
      </c>
      <c r="J431" s="102">
        <v>65.099999999999994</v>
      </c>
      <c r="K431" s="102">
        <v>34.9</v>
      </c>
      <c r="L431" s="102">
        <v>68</v>
      </c>
      <c r="M431" s="102">
        <v>64.5</v>
      </c>
      <c r="N431" s="102">
        <v>5.2</v>
      </c>
      <c r="O431" s="102">
        <v>145345</v>
      </c>
      <c r="P431" s="102">
        <v>47275</v>
      </c>
      <c r="Q431" s="102">
        <v>81190</v>
      </c>
      <c r="R431" s="102">
        <v>121930</v>
      </c>
      <c r="T431" s="102">
        <f t="shared" si="7"/>
        <v>0</v>
      </c>
      <c r="W431">
        <v>33515</v>
      </c>
      <c r="X431">
        <v>39638</v>
      </c>
      <c r="Y431">
        <v>27173</v>
      </c>
      <c r="Z431">
        <v>31426</v>
      </c>
      <c r="AA431">
        <v>21884</v>
      </c>
      <c r="AB431" s="102">
        <v>110915</v>
      </c>
      <c r="AC431" s="102">
        <v>430530</v>
      </c>
      <c r="AD431" s="102">
        <v>165245</v>
      </c>
      <c r="AE431" s="102">
        <v>84235</v>
      </c>
      <c r="AF431" s="102">
        <v>9.1736906841158913E-2</v>
      </c>
      <c r="AG431" s="102">
        <v>2.3596369738670797E-2</v>
      </c>
      <c r="AH431" s="102">
        <v>0.17480575949260199</v>
      </c>
      <c r="AI431" s="102">
        <v>0.75532461092051317</v>
      </c>
      <c r="AJ431" s="102">
        <v>1.8674841193176601</v>
      </c>
      <c r="AK431" s="102">
        <v>0.70163083080088462</v>
      </c>
      <c r="AL431" s="102">
        <v>1.9105836109831913</v>
      </c>
      <c r="AM431" s="102">
        <v>0.97828622702264734</v>
      </c>
      <c r="AN431" s="102">
        <v>0.44784946646864982</v>
      </c>
      <c r="AO431" s="102">
        <v>0.81214852171976115</v>
      </c>
      <c r="AP431" s="102">
        <v>0.2740068241082384</v>
      </c>
      <c r="AQ431" s="102">
        <v>0.93494595607406838</v>
      </c>
      <c r="AR431" s="102">
        <v>2.1670135474289504E-2</v>
      </c>
      <c r="AS431" s="102">
        <v>0.74063707465460571</v>
      </c>
      <c r="AT431" s="102">
        <v>1.3006896870234659</v>
      </c>
      <c r="AU431" s="102">
        <v>2.1036885959874159</v>
      </c>
      <c r="AV431" s="102">
        <v>0.35418632536310962</v>
      </c>
      <c r="AW431" s="102">
        <v>1.1923390096520181</v>
      </c>
      <c r="AX431" s="102">
        <v>0.82442826515519185</v>
      </c>
      <c r="AY431" s="102">
        <v>1.1699465363285857</v>
      </c>
    </row>
    <row r="432" spans="1:51">
      <c r="A432" s="102" t="s">
        <v>482</v>
      </c>
      <c r="B432" s="102">
        <v>1030</v>
      </c>
      <c r="C432" s="102">
        <v>1015</v>
      </c>
      <c r="D432" s="102">
        <v>0.5</v>
      </c>
      <c r="E432" s="102">
        <v>59486</v>
      </c>
      <c r="F432" s="102">
        <v>6.1</v>
      </c>
      <c r="G432" s="102">
        <v>500</v>
      </c>
      <c r="H432" s="102">
        <v>155</v>
      </c>
      <c r="I432" s="102">
        <v>65</v>
      </c>
      <c r="J432" s="102">
        <v>88</v>
      </c>
      <c r="K432" s="102">
        <v>12</v>
      </c>
      <c r="L432" s="102">
        <v>55.7</v>
      </c>
      <c r="M432" s="102">
        <v>51.9</v>
      </c>
      <c r="N432" s="102">
        <v>6.9</v>
      </c>
      <c r="O432" s="102">
        <v>250</v>
      </c>
      <c r="P432" s="102">
        <v>170</v>
      </c>
      <c r="Q432" s="102">
        <v>110</v>
      </c>
      <c r="R432" s="102">
        <v>65</v>
      </c>
      <c r="T432" s="102">
        <f t="shared" si="7"/>
        <v>0</v>
      </c>
      <c r="W432">
        <v>27616</v>
      </c>
      <c r="X432">
        <v>33761</v>
      </c>
      <c r="Y432">
        <v>20495</v>
      </c>
      <c r="Z432">
        <v>28367</v>
      </c>
      <c r="AA432">
        <v>16714</v>
      </c>
      <c r="AB432" s="102">
        <v>105</v>
      </c>
      <c r="AC432" s="102">
        <v>640</v>
      </c>
      <c r="AD432" s="102">
        <v>415</v>
      </c>
      <c r="AE432" s="102">
        <v>260</v>
      </c>
      <c r="AF432" s="102">
        <v>0.33178913087726442</v>
      </c>
      <c r="AG432" s="102">
        <v>0</v>
      </c>
      <c r="AH432" s="102">
        <v>0</v>
      </c>
      <c r="AI432" s="102">
        <v>1.3271565235090577</v>
      </c>
      <c r="AJ432" s="102">
        <v>1.6589456543863219</v>
      </c>
      <c r="AK432" s="102">
        <v>0.82947282719316096</v>
      </c>
      <c r="AL432" s="102">
        <v>1.49305108894769</v>
      </c>
      <c r="AM432" s="102">
        <v>1.9907347852635864</v>
      </c>
      <c r="AN432" s="102">
        <v>0.33178913087726442</v>
      </c>
      <c r="AO432" s="102">
        <v>0</v>
      </c>
      <c r="AP432" s="102">
        <v>0.66357826175452883</v>
      </c>
      <c r="AQ432" s="102">
        <v>0</v>
      </c>
      <c r="AR432" s="102">
        <v>0</v>
      </c>
      <c r="AS432" s="102">
        <v>1.1612619580704255</v>
      </c>
      <c r="AT432" s="102">
        <v>0.66357826175452883</v>
      </c>
      <c r="AU432" s="102">
        <v>0.99536739263179319</v>
      </c>
      <c r="AV432" s="102">
        <v>0</v>
      </c>
      <c r="AW432" s="102">
        <v>2.8202076124567474</v>
      </c>
      <c r="AX432" s="102">
        <v>0.82947282719316096</v>
      </c>
      <c r="AY432" s="102">
        <v>1.1612619580704255</v>
      </c>
    </row>
    <row r="433" spans="1:51" s="103" customFormat="1">
      <c r="A433" s="103" t="s">
        <v>767</v>
      </c>
      <c r="B433" s="103">
        <v>638595</v>
      </c>
      <c r="C433" s="103">
        <v>635290</v>
      </c>
      <c r="D433" s="103">
        <v>1.1000000000000001</v>
      </c>
      <c r="E433" s="103">
        <v>78364</v>
      </c>
      <c r="F433" s="103">
        <v>14.7</v>
      </c>
      <c r="G433" s="103">
        <v>265480</v>
      </c>
      <c r="H433" s="103">
        <v>77100</v>
      </c>
      <c r="I433" s="103">
        <v>22415</v>
      </c>
      <c r="J433" s="103">
        <v>65.599999999999994</v>
      </c>
      <c r="K433" s="103">
        <v>34.4</v>
      </c>
      <c r="L433" s="103">
        <v>68.099999999999994</v>
      </c>
      <c r="M433" s="103">
        <v>64.5</v>
      </c>
      <c r="N433" s="103">
        <v>5.2</v>
      </c>
      <c r="O433" s="103">
        <v>148405</v>
      </c>
      <c r="P433" s="103">
        <v>48390</v>
      </c>
      <c r="Q433" s="103">
        <v>83105</v>
      </c>
      <c r="R433" s="103">
        <v>124545</v>
      </c>
      <c r="T433" s="103">
        <f t="shared" si="7"/>
        <v>0</v>
      </c>
      <c r="W433">
        <v>33692</v>
      </c>
      <c r="X433">
        <v>39863</v>
      </c>
      <c r="Y433">
        <v>27285</v>
      </c>
      <c r="Z433">
        <v>31615</v>
      </c>
      <c r="AA433">
        <v>21941</v>
      </c>
      <c r="AB433" s="103">
        <v>113335</v>
      </c>
      <c r="AC433" s="103">
        <v>439615</v>
      </c>
      <c r="AD433" s="103">
        <v>169585</v>
      </c>
      <c r="AE433" s="103">
        <v>85650</v>
      </c>
      <c r="AF433" s="102">
        <v>9.3006385227801164E-2</v>
      </c>
      <c r="AG433" s="102">
        <v>2.4139061814849153E-2</v>
      </c>
      <c r="AH433" s="102">
        <v>0.17772975904854624</v>
      </c>
      <c r="AI433" s="102">
        <v>0.7741065803565842</v>
      </c>
      <c r="AJ433" s="102">
        <v>1.8584711022746119</v>
      </c>
      <c r="AK433" s="102">
        <v>0.7061858868187243</v>
      </c>
      <c r="AL433" s="102">
        <v>1.9102990879359056</v>
      </c>
      <c r="AM433" s="102">
        <v>0.98212849540807845</v>
      </c>
      <c r="AN433" s="102">
        <v>0.44586267116839023</v>
      </c>
      <c r="AO433" s="102">
        <v>0.81173511789149611</v>
      </c>
      <c r="AP433" s="102">
        <v>0.27144611668266649</v>
      </c>
      <c r="AQ433" s="102">
        <v>0.93148379709064977</v>
      </c>
      <c r="AR433" s="102">
        <v>2.1772487127118847E-2</v>
      </c>
      <c r="AS433" s="102">
        <v>0.73789798763431047</v>
      </c>
      <c r="AT433" s="102">
        <v>1.301379420782897</v>
      </c>
      <c r="AU433" s="102">
        <v>2.1038848973922448</v>
      </c>
      <c r="AV433" s="102">
        <v>0.35356625834690825</v>
      </c>
      <c r="AW433" s="102">
        <v>1.1832873438651546</v>
      </c>
      <c r="AX433" s="102">
        <v>0.81978147182977912</v>
      </c>
      <c r="AY433" s="102">
        <v>1.1724011003015953</v>
      </c>
    </row>
    <row r="434" spans="1:51" s="103" customFormat="1">
      <c r="A434" s="103" t="s">
        <v>685</v>
      </c>
      <c r="B434" s="103">
        <v>595</v>
      </c>
      <c r="C434" s="103">
        <v>595</v>
      </c>
      <c r="D434" s="103">
        <v>1.2</v>
      </c>
      <c r="E434" s="103">
        <v>70180</v>
      </c>
      <c r="F434" s="103">
        <v>13.3</v>
      </c>
      <c r="G434" s="103">
        <v>290</v>
      </c>
      <c r="H434" s="103">
        <v>115</v>
      </c>
      <c r="I434" s="103">
        <v>35</v>
      </c>
      <c r="J434" s="103">
        <v>70.7</v>
      </c>
      <c r="K434" s="103">
        <v>29.3</v>
      </c>
      <c r="L434" s="103">
        <v>51</v>
      </c>
      <c r="M434" s="103">
        <v>39.799999999999997</v>
      </c>
      <c r="N434" s="103">
        <v>22</v>
      </c>
      <c r="O434" s="103">
        <v>65</v>
      </c>
      <c r="P434" s="103">
        <v>70</v>
      </c>
      <c r="Q434" s="103">
        <v>40</v>
      </c>
      <c r="R434" s="103">
        <v>45</v>
      </c>
      <c r="T434" s="103">
        <f t="shared" si="7"/>
        <v>0</v>
      </c>
      <c r="W434">
        <v>40793</v>
      </c>
      <c r="X434">
        <v>52483</v>
      </c>
      <c r="Y434">
        <v>24702</v>
      </c>
      <c r="Z434">
        <v>27607</v>
      </c>
      <c r="AA434">
        <v>15267</v>
      </c>
      <c r="AB434" s="103">
        <v>90</v>
      </c>
      <c r="AC434" s="103">
        <v>340</v>
      </c>
      <c r="AD434" s="103">
        <v>155</v>
      </c>
      <c r="AE434" s="103">
        <v>160</v>
      </c>
      <c r="AF434" s="102">
        <v>1.6921245674740486</v>
      </c>
      <c r="AG434" s="102">
        <v>2.7073993079584775</v>
      </c>
      <c r="AH434" s="102">
        <v>0.67684982698961937</v>
      </c>
      <c r="AI434" s="102">
        <v>1.3536996539792387</v>
      </c>
      <c r="AJ434" s="102">
        <v>0</v>
      </c>
      <c r="AK434" s="102">
        <v>0</v>
      </c>
      <c r="AL434" s="102">
        <v>1.0152747404844291</v>
      </c>
      <c r="AM434" s="102">
        <v>0.67684982698961937</v>
      </c>
      <c r="AN434" s="102">
        <v>0</v>
      </c>
      <c r="AO434" s="102">
        <v>0</v>
      </c>
      <c r="AP434" s="102">
        <v>0</v>
      </c>
      <c r="AQ434" s="102">
        <v>0</v>
      </c>
      <c r="AR434" s="102">
        <v>0</v>
      </c>
      <c r="AS434" s="102">
        <v>0</v>
      </c>
      <c r="AT434" s="102">
        <v>2.0305494809688582</v>
      </c>
      <c r="AU434" s="102">
        <v>4.7379487889273362</v>
      </c>
      <c r="AV434" s="102">
        <v>0.67684982698961937</v>
      </c>
      <c r="AW434" s="102">
        <v>1.0152747404844291</v>
      </c>
      <c r="AX434" s="102">
        <v>0.67684982698961937</v>
      </c>
      <c r="AY434" s="102">
        <v>0.67684982698961937</v>
      </c>
    </row>
    <row r="435" spans="1:51" s="103" customFormat="1">
      <c r="A435" s="103" t="s">
        <v>661</v>
      </c>
      <c r="B435" s="103">
        <v>3560</v>
      </c>
      <c r="C435" s="103">
        <v>3275</v>
      </c>
      <c r="D435" s="103">
        <v>1.1000000000000001</v>
      </c>
      <c r="E435" s="103">
        <v>65078</v>
      </c>
      <c r="F435" s="103">
        <v>7.7</v>
      </c>
      <c r="G435" s="103">
        <v>1220</v>
      </c>
      <c r="H435" s="103">
        <v>450</v>
      </c>
      <c r="I435" s="103">
        <v>130</v>
      </c>
      <c r="J435" s="103">
        <v>91.4</v>
      </c>
      <c r="K435" s="103">
        <v>9</v>
      </c>
      <c r="L435" s="103">
        <v>71.400000000000006</v>
      </c>
      <c r="M435" s="103">
        <v>69.099999999999994</v>
      </c>
      <c r="N435" s="103">
        <v>3.3</v>
      </c>
      <c r="O435" s="103">
        <v>770</v>
      </c>
      <c r="P435" s="103">
        <v>350</v>
      </c>
      <c r="Q435" s="103">
        <v>380</v>
      </c>
      <c r="R435" s="103">
        <v>330</v>
      </c>
      <c r="T435" s="103">
        <f t="shared" si="7"/>
        <v>0</v>
      </c>
      <c r="W435">
        <v>26789</v>
      </c>
      <c r="X435">
        <v>28075</v>
      </c>
      <c r="Y435">
        <v>25079</v>
      </c>
      <c r="Z435">
        <v>29171</v>
      </c>
      <c r="AA435">
        <v>20895</v>
      </c>
      <c r="AB435" s="103">
        <v>780</v>
      </c>
      <c r="AC435" s="103">
        <v>2370</v>
      </c>
      <c r="AD435" s="103">
        <v>1030</v>
      </c>
      <c r="AE435" s="103">
        <v>390</v>
      </c>
      <c r="AF435" s="102">
        <v>3.4950683761428709</v>
      </c>
      <c r="AG435" s="102">
        <v>0</v>
      </c>
      <c r="AH435" s="102">
        <v>8.5245570149826116E-2</v>
      </c>
      <c r="AI435" s="102">
        <v>1.4491746925470441</v>
      </c>
      <c r="AJ435" s="102">
        <v>1.9180253283710875</v>
      </c>
      <c r="AK435" s="102">
        <v>0.93770127164808725</v>
      </c>
      <c r="AL435" s="102">
        <v>0.89507848657317424</v>
      </c>
      <c r="AM435" s="102">
        <v>1.8327797582212617</v>
      </c>
      <c r="AN435" s="102">
        <v>0.34098228059930447</v>
      </c>
      <c r="AO435" s="102">
        <v>0.34098228059930447</v>
      </c>
      <c r="AP435" s="102">
        <v>0.12786835522473916</v>
      </c>
      <c r="AQ435" s="102">
        <v>0.42622785074913061</v>
      </c>
      <c r="AR435" s="102">
        <v>0</v>
      </c>
      <c r="AS435" s="102">
        <v>0.51147342089895664</v>
      </c>
      <c r="AT435" s="102">
        <v>1.1934379820975656</v>
      </c>
      <c r="AU435" s="102">
        <v>1.3639291223972179</v>
      </c>
      <c r="AV435" s="102">
        <v>0.17049114029965223</v>
      </c>
      <c r="AW435" s="102">
        <v>0.29835949552439139</v>
      </c>
      <c r="AX435" s="102">
        <v>0.76721013134843496</v>
      </c>
      <c r="AY435" s="102">
        <v>0.68196456119860893</v>
      </c>
    </row>
    <row r="436" spans="1:51" s="103" customFormat="1">
      <c r="A436" s="103" t="s">
        <v>631</v>
      </c>
      <c r="B436" s="103">
        <v>885</v>
      </c>
      <c r="C436" s="103">
        <v>885</v>
      </c>
      <c r="D436" s="103">
        <v>1</v>
      </c>
      <c r="E436" s="103">
        <v>57162</v>
      </c>
      <c r="F436" s="103">
        <v>7.4</v>
      </c>
      <c r="G436" s="103">
        <v>335</v>
      </c>
      <c r="H436" s="103">
        <v>110</v>
      </c>
      <c r="I436" s="103">
        <v>75</v>
      </c>
      <c r="J436" s="103">
        <v>89.6</v>
      </c>
      <c r="K436" s="103">
        <v>10.4</v>
      </c>
      <c r="L436" s="103">
        <v>81.400000000000006</v>
      </c>
      <c r="M436" s="103">
        <v>77.900000000000006</v>
      </c>
      <c r="N436" s="103">
        <v>2.5</v>
      </c>
      <c r="O436" s="103">
        <v>245</v>
      </c>
      <c r="P436" s="103">
        <v>80</v>
      </c>
      <c r="Q436" s="103">
        <v>85</v>
      </c>
      <c r="R436" s="103">
        <v>120</v>
      </c>
      <c r="T436" s="103">
        <f t="shared" si="7"/>
        <v>0</v>
      </c>
      <c r="W436">
        <v>20038</v>
      </c>
      <c r="X436">
        <v>21947</v>
      </c>
      <c r="Y436">
        <v>17645</v>
      </c>
      <c r="Z436">
        <v>25315</v>
      </c>
      <c r="AA436">
        <v>18631</v>
      </c>
      <c r="AB436" s="103">
        <v>160</v>
      </c>
      <c r="AC436" s="103">
        <v>595</v>
      </c>
      <c r="AD436" s="103">
        <v>275</v>
      </c>
      <c r="AE436" s="103">
        <v>110</v>
      </c>
      <c r="AF436" s="102">
        <v>7.1700193537035952</v>
      </c>
      <c r="AG436" s="102">
        <v>0.28680077414814381</v>
      </c>
      <c r="AH436" s="102">
        <v>0</v>
      </c>
      <c r="AI436" s="102">
        <v>0.43020116122221574</v>
      </c>
      <c r="AJ436" s="102">
        <v>1.2906034836666471</v>
      </c>
      <c r="AK436" s="102">
        <v>0.7170019353703595</v>
      </c>
      <c r="AL436" s="102">
        <v>2.4378065802592226</v>
      </c>
      <c r="AM436" s="102">
        <v>0.28680077414814381</v>
      </c>
      <c r="AN436" s="102">
        <v>0</v>
      </c>
      <c r="AO436" s="102">
        <v>0.28680077414814381</v>
      </c>
      <c r="AP436" s="102">
        <v>0</v>
      </c>
      <c r="AQ436" s="102">
        <v>0</v>
      </c>
      <c r="AR436" s="102">
        <v>0</v>
      </c>
      <c r="AS436" s="102">
        <v>0.28680077414814381</v>
      </c>
      <c r="AT436" s="102">
        <v>1.1472030965925752</v>
      </c>
      <c r="AU436" s="102">
        <v>1.5774042578147909</v>
      </c>
      <c r="AV436" s="102">
        <v>0</v>
      </c>
      <c r="AW436" s="102">
        <v>0.43020116122221574</v>
      </c>
      <c r="AX436" s="102">
        <v>0.43020116122221574</v>
      </c>
      <c r="AY436" s="102">
        <v>0.43020116122221574</v>
      </c>
    </row>
    <row r="437" spans="1:51" s="103" customFormat="1">
      <c r="A437" s="103" t="s">
        <v>591</v>
      </c>
      <c r="B437" s="103">
        <v>415</v>
      </c>
      <c r="C437" s="103">
        <v>415</v>
      </c>
      <c r="D437" s="103">
        <v>1.9</v>
      </c>
      <c r="E437" s="103">
        <v>38829</v>
      </c>
      <c r="F437" s="103">
        <v>0</v>
      </c>
      <c r="G437" s="103">
        <v>115</v>
      </c>
      <c r="H437" s="103">
        <v>40</v>
      </c>
      <c r="I437" s="103">
        <v>45</v>
      </c>
      <c r="J437" s="103">
        <v>0</v>
      </c>
      <c r="K437" s="103">
        <v>0</v>
      </c>
      <c r="L437" s="103">
        <v>64.8</v>
      </c>
      <c r="M437" s="103">
        <v>51.9</v>
      </c>
      <c r="N437" s="103">
        <v>17.100000000000001</v>
      </c>
      <c r="O437" s="103">
        <v>35</v>
      </c>
      <c r="P437" s="103">
        <v>15</v>
      </c>
      <c r="Q437" s="103">
        <v>30</v>
      </c>
      <c r="R437" s="103">
        <v>20</v>
      </c>
      <c r="T437" s="103" t="str">
        <f t="shared" si="7"/>
        <v>York Factory First Nation</v>
      </c>
      <c r="W437">
        <v>17333</v>
      </c>
      <c r="X437">
        <v>17451</v>
      </c>
      <c r="Y437">
        <v>17200</v>
      </c>
      <c r="Z437">
        <v>12032</v>
      </c>
      <c r="AA437">
        <v>12464</v>
      </c>
      <c r="AB437" s="103">
        <v>145</v>
      </c>
      <c r="AC437" s="103">
        <v>255</v>
      </c>
      <c r="AD437" s="103">
        <v>70</v>
      </c>
      <c r="AE437" s="103">
        <v>10</v>
      </c>
      <c r="AF437" s="102">
        <v>0</v>
      </c>
      <c r="AG437" s="102">
        <v>0</v>
      </c>
      <c r="AH437" s="102">
        <v>0.96692832427088482</v>
      </c>
      <c r="AI437" s="102">
        <v>1.9338566485417696</v>
      </c>
      <c r="AJ437" s="102">
        <v>0</v>
      </c>
      <c r="AK437" s="102">
        <v>0</v>
      </c>
      <c r="AL437" s="102">
        <v>0</v>
      </c>
      <c r="AM437" s="102">
        <v>0.96692832427088482</v>
      </c>
      <c r="AN437" s="102">
        <v>0</v>
      </c>
      <c r="AO437" s="102">
        <v>0</v>
      </c>
      <c r="AP437" s="102">
        <v>0</v>
      </c>
      <c r="AQ437" s="102">
        <v>0</v>
      </c>
      <c r="AR437" s="102">
        <v>0</v>
      </c>
      <c r="AS437" s="102">
        <v>0</v>
      </c>
      <c r="AT437" s="102">
        <v>2.9007849728126547</v>
      </c>
      <c r="AU437" s="102">
        <v>2.9007849728126547</v>
      </c>
      <c r="AV437" s="102">
        <v>0.96692832427088482</v>
      </c>
      <c r="AW437" s="102">
        <v>0</v>
      </c>
      <c r="AX437" s="102">
        <v>0.96692832427088482</v>
      </c>
      <c r="AY437" s="102">
        <v>2.9007849728126547</v>
      </c>
    </row>
    <row r="438" spans="1:51">
      <c r="A438" s="102" t="s">
        <v>593</v>
      </c>
    </row>
  </sheetData>
  <sortState ref="A366:CZ373">
    <sortCondition ref="A366"/>
  </sortState>
  <pageMargins left="0.7" right="0.7" top="0.75" bottom="0.75" header="0.3" footer="0.3"/>
  <cellWatches>
    <cellWatch r="AB2"/>
  </cellWatch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B4ACF938414D4EB8F3887976063F0E" ma:contentTypeVersion="1" ma:contentTypeDescription="Create a new document." ma:contentTypeScope="" ma:versionID="168828cedc41719131a896181901dcdc">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09290FB-3682-4836-8C94-50836FA8FA09}"/>
</file>

<file path=customXml/itemProps2.xml><?xml version="1.0" encoding="utf-8"?>
<ds:datastoreItem xmlns:ds="http://schemas.openxmlformats.org/officeDocument/2006/customXml" ds:itemID="{294F8330-4D04-4F9A-AD15-BC456E560BA3}"/>
</file>

<file path=customXml/itemProps3.xml><?xml version="1.0" encoding="utf-8"?>
<ds:datastoreItem xmlns:ds="http://schemas.openxmlformats.org/officeDocument/2006/customXml" ds:itemID="{E2A2766A-BD04-47B5-8F5C-35CF67BD37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9</vt:i4>
      </vt:variant>
      <vt:variant>
        <vt:lpstr>Charts</vt:lpstr>
      </vt:variant>
      <vt:variant>
        <vt:i4>1</vt:i4>
      </vt:variant>
      <vt:variant>
        <vt:lpstr>Named Ranges</vt:lpstr>
      </vt:variant>
      <vt:variant>
        <vt:i4>3</vt:i4>
      </vt:variant>
    </vt:vector>
  </HeadingPairs>
  <TitlesOfParts>
    <vt:vector size="13" baseType="lpstr">
      <vt:lpstr>Intro</vt:lpstr>
      <vt:lpstr>Assessment</vt:lpstr>
      <vt:lpstr>Logic Model</vt:lpstr>
      <vt:lpstr>Data_Summary</vt:lpstr>
      <vt:lpstr>Sheet1</vt:lpstr>
      <vt:lpstr>Sheet2</vt:lpstr>
      <vt:lpstr>c1996</vt:lpstr>
      <vt:lpstr>c2001</vt:lpstr>
      <vt:lpstr>c2006</vt:lpstr>
      <vt:lpstr>Results</vt:lpstr>
      <vt:lpstr>Assessment!Print_Area</vt:lpstr>
      <vt:lpstr>Data_Summary!Print_Area</vt:lpstr>
      <vt:lpstr>Intro!Print_Area</vt:lpstr>
    </vt:vector>
  </TitlesOfParts>
  <Company>Government of Manitoba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 Sanderson</dc:creator>
  <cp:lastModifiedBy>bprzednowe</cp:lastModifiedBy>
  <cp:lastPrinted>2011-08-24T13:41:45Z</cp:lastPrinted>
  <dcterms:created xsi:type="dcterms:W3CDTF">2010-11-18T16:11:51Z</dcterms:created>
  <dcterms:modified xsi:type="dcterms:W3CDTF">2012-11-07T19:51:43Z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0x010100D5B4ACF938414D4EB8F3887976063F0E</vt:lpwstr>
  </property>
  <property fmtid="{D5CDD505-2E9C-101B-9397-08002B2CF9AE}" pid="3" name="TemplateUrl">
    <vt:lpwstr/>
  </property>
  <property fmtid="{D5CDD505-2E9C-101B-9397-08002B2CF9AE}" pid="4" name="Order">
    <vt:r8>100</vt:r8>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