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P:\D03\Farm Management\1. Cost of Production\1.3. Livestock\COP Beef\2025\Spring 2025\"/>
    </mc:Choice>
  </mc:AlternateContent>
  <xr:revisionPtr revIDLastSave="0" documentId="13_ncr:1_{2D528FC5-5A95-4370-9B68-36AA668C6332}" xr6:coauthVersionLast="47" xr6:coauthVersionMax="47" xr10:uidLastSave="{00000000-0000-0000-0000-000000000000}"/>
  <workbookProtection workbookPassword="C6A6" lockStructure="1"/>
  <bookViews>
    <workbookView xWindow="28680" yWindow="-120" windowWidth="29040" windowHeight="15840" tabRatio="892" xr2:uid="{00000000-000D-0000-FFFF-FFFF00000000}"/>
  </bookViews>
  <sheets>
    <sheet name="Pasture Insurance" sheetId="17" r:id="rId1"/>
    <sheet name="Chart DATA (hide)" sheetId="18" state="hidden" r:id="rId2"/>
  </sheets>
  <definedNames>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F" localSheetId="0">#REF!</definedName>
    <definedName name="\F">#REF!</definedName>
    <definedName name="\H" localSheetId="0">#REF!</definedName>
    <definedName name="\H">#REF!</definedName>
    <definedName name="\I" localSheetId="0">#REF!</definedName>
    <definedName name="\I">#REF!</definedName>
    <definedName name="\K">#N/A</definedName>
    <definedName name="\L" localSheetId="0">#REF!</definedName>
    <definedName name="\L">#REF!</definedName>
    <definedName name="\N" localSheetId="0">#REF!</definedName>
    <definedName name="\N">#REF!</definedName>
    <definedName name="\O" localSheetId="0">#REF!</definedName>
    <definedName name="\O">#REF!</definedName>
    <definedName name="\P">#N/A</definedName>
    <definedName name="\R" localSheetId="0">#REF!</definedName>
    <definedName name="\R">#REF!</definedName>
    <definedName name="\S" localSheetId="0">#REF!</definedName>
    <definedName name="\S">#REF!</definedName>
    <definedName name="\T" localSheetId="0">#REF!</definedName>
    <definedName name="\T">#REF!</definedName>
    <definedName name="\U" localSheetId="0">#REF!</definedName>
    <definedName name="\U">#REF!</definedName>
    <definedName name="\W" localSheetId="0">#REF!</definedName>
    <definedName name="\W">#REF!</definedName>
    <definedName name="\X">#N/A</definedName>
    <definedName name="\Y" localSheetId="0">#REF!</definedName>
    <definedName name="\Y">#REF!</definedName>
    <definedName name="ALL">#N/A</definedName>
    <definedName name="Animal">'Pasture Insurance'!$C$91:$C$100</definedName>
    <definedName name="Bison">'Pasture Insurance'!$C$130:$C$132</definedName>
    <definedName name="Cows">'Pasture Insurance'!$C$106:$C$108</definedName>
    <definedName name="Deer">'Pasture Insurance'!$C$127:$C$129</definedName>
    <definedName name="Donkeys_and_Ponies">'Pasture Insurance'!$C$118:$C$120</definedName>
    <definedName name="Elk">'Pasture Insurance'!$C$124:$C$126</definedName>
    <definedName name="Goats">'Pasture Insurance'!$C$112:$C$114</definedName>
    <definedName name="Horses">'Pasture Insurance'!$C$115:$C$117</definedName>
    <definedName name="Llamas_and_Alpacas">'Pasture Insurance'!$C$121:$C$123</definedName>
    <definedName name="_xlnm.Print_Area" localSheetId="0">'Pasture Insurance'!$A$1:$J$86</definedName>
    <definedName name="Sheep">'Pasture Insurance'!$C$109:$C$111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0" i="18" l="1"/>
  <c r="F130" i="18"/>
  <c r="G126" i="18"/>
  <c r="G123" i="18" s="1"/>
  <c r="F126" i="18"/>
  <c r="F123" i="18" s="1"/>
  <c r="G118" i="18"/>
  <c r="F118" i="18"/>
  <c r="G25" i="17" l="1"/>
  <c r="G24" i="17"/>
  <c r="G23" i="17"/>
  <c r="G22" i="17"/>
  <c r="G21" i="17"/>
  <c r="G20" i="17"/>
  <c r="E45" i="17" l="1"/>
  <c r="B11" i="17"/>
  <c r="E11" i="17"/>
  <c r="I10" i="17"/>
  <c r="J3" i="17"/>
  <c r="H8" i="17"/>
  <c r="E26" i="17"/>
  <c r="A53" i="17" l="1"/>
  <c r="D29" i="18"/>
  <c r="D121" i="18"/>
  <c r="H131" i="18"/>
  <c r="H130" i="18"/>
  <c r="H125" i="18"/>
  <c r="H117" i="18"/>
  <c r="H116" i="18"/>
  <c r="H129" i="18"/>
  <c r="H127" i="18"/>
  <c r="H119" i="18"/>
  <c r="H126" i="18"/>
  <c r="H118" i="18"/>
  <c r="G26" i="17"/>
  <c r="E46" i="17" s="1"/>
  <c r="G45" i="17"/>
  <c r="B37" i="17" l="1"/>
  <c r="B29" i="17"/>
  <c r="E75" i="17"/>
  <c r="E76" i="17" s="1"/>
  <c r="E37" i="17"/>
  <c r="E38" i="17" s="1"/>
  <c r="B46" i="17"/>
  <c r="E29" i="17"/>
  <c r="E30" i="17" s="1"/>
  <c r="E47" i="17" l="1"/>
  <c r="E48" i="17" s="1"/>
  <c r="G32" i="18"/>
  <c r="G33" i="18" s="1"/>
  <c r="G34" i="18" s="1"/>
  <c r="G35" i="18" s="1"/>
  <c r="G36" i="18" s="1"/>
  <c r="G37" i="18" s="1"/>
  <c r="G38" i="18" s="1"/>
  <c r="G39" i="18" s="1"/>
  <c r="G40" i="18" s="1"/>
  <c r="G41" i="18" s="1"/>
  <c r="G42" i="18" s="1"/>
  <c r="G43" i="18" s="1"/>
  <c r="G44" i="18" s="1"/>
  <c r="G45" i="18" s="1"/>
  <c r="G46" i="18" s="1"/>
  <c r="G47" i="18" s="1"/>
  <c r="G48" i="18" s="1"/>
  <c r="G49" i="18" s="1"/>
  <c r="G50" i="18" s="1"/>
  <c r="G51" i="18" s="1"/>
  <c r="G52" i="18" s="1"/>
  <c r="G53" i="18" s="1"/>
  <c r="G54" i="18" s="1"/>
  <c r="G55" i="18" s="1"/>
  <c r="G56" i="18" s="1"/>
  <c r="G57" i="18" s="1"/>
  <c r="G58" i="18" s="1"/>
  <c r="G59" i="18" s="1"/>
  <c r="G60" i="18" s="1"/>
  <c r="G61" i="18" s="1"/>
  <c r="G62" i="18" s="1"/>
  <c r="G63" i="18" s="1"/>
  <c r="G64" i="18" s="1"/>
  <c r="G65" i="18" s="1"/>
  <c r="G66" i="18" s="1"/>
  <c r="G67" i="18" s="1"/>
  <c r="G68" i="18" s="1"/>
  <c r="G69" i="18" s="1"/>
  <c r="G70" i="18" s="1"/>
  <c r="G71" i="18" s="1"/>
  <c r="G72" i="18" s="1"/>
  <c r="G73" i="18" s="1"/>
  <c r="G74" i="18" s="1"/>
  <c r="G75" i="18" s="1"/>
  <c r="G76" i="18" s="1"/>
  <c r="G77" i="18" s="1"/>
  <c r="G78" i="18" s="1"/>
  <c r="G79" i="18" s="1"/>
  <c r="G80" i="18" s="1"/>
  <c r="G81" i="18" s="1"/>
  <c r="G82" i="18" s="1"/>
  <c r="G83" i="18" s="1"/>
  <c r="G84" i="18" s="1"/>
  <c r="G85" i="18" s="1"/>
  <c r="G86" i="18" s="1"/>
  <c r="G87" i="18" s="1"/>
  <c r="G88" i="18" s="1"/>
  <c r="G89" i="18" s="1"/>
  <c r="G90" i="18" s="1"/>
  <c r="G91" i="18" s="1"/>
  <c r="G92" i="18" s="1"/>
  <c r="G93" i="18" s="1"/>
  <c r="G94" i="18" s="1"/>
  <c r="G95" i="18" s="1"/>
  <c r="G96" i="18" s="1"/>
  <c r="G97" i="18" s="1"/>
  <c r="G98" i="18" s="1"/>
  <c r="G99" i="18" s="1"/>
  <c r="G100" i="18" s="1"/>
  <c r="G101" i="18" s="1"/>
  <c r="G102" i="18" s="1"/>
  <c r="G103" i="18" s="1"/>
  <c r="G104" i="18" s="1"/>
  <c r="G105" i="18" s="1"/>
  <c r="G106" i="18" s="1"/>
  <c r="G107" i="18" s="1"/>
  <c r="G108" i="18" s="1"/>
  <c r="G109" i="18" s="1"/>
  <c r="G110" i="18" s="1"/>
  <c r="G111" i="18" s="1"/>
  <c r="G112" i="18" s="1"/>
  <c r="G113" i="18" s="1"/>
  <c r="H113" i="18" s="1"/>
  <c r="B113" i="18"/>
  <c r="F64" i="18"/>
  <c r="F58" i="18"/>
  <c r="F54" i="18"/>
  <c r="F50" i="18"/>
  <c r="F48" i="18"/>
  <c r="F44" i="18"/>
  <c r="F40" i="18"/>
  <c r="F38" i="18"/>
  <c r="F34" i="18"/>
  <c r="F112" i="18"/>
  <c r="F110" i="18"/>
  <c r="F108" i="18"/>
  <c r="F106" i="18"/>
  <c r="F104" i="18"/>
  <c r="F102" i="18"/>
  <c r="F100" i="18"/>
  <c r="F98" i="18"/>
  <c r="F96" i="18"/>
  <c r="F94" i="18"/>
  <c r="F92" i="18"/>
  <c r="F90" i="18"/>
  <c r="F88" i="18"/>
  <c r="F86" i="18"/>
  <c r="F84" i="18"/>
  <c r="F82" i="18"/>
  <c r="F80" i="18"/>
  <c r="F78" i="18"/>
  <c r="F76" i="18"/>
  <c r="F74" i="18"/>
  <c r="F72" i="18"/>
  <c r="F70" i="18"/>
  <c r="F68" i="18"/>
  <c r="F66" i="18"/>
  <c r="F62" i="18"/>
  <c r="F60" i="18"/>
  <c r="F56" i="18"/>
  <c r="F52" i="18"/>
  <c r="F46" i="18"/>
  <c r="F42" i="18"/>
  <c r="F36" i="18"/>
  <c r="F32" i="18"/>
  <c r="B115" i="18"/>
  <c r="F113" i="18"/>
  <c r="F111" i="18"/>
  <c r="F109" i="18"/>
  <c r="F107" i="18"/>
  <c r="F105" i="18"/>
  <c r="F103" i="18"/>
  <c r="F101" i="18"/>
  <c r="F99" i="18"/>
  <c r="F97" i="18"/>
  <c r="F95" i="18"/>
  <c r="F93" i="18"/>
  <c r="F91" i="18"/>
  <c r="F89" i="18"/>
  <c r="F87" i="18"/>
  <c r="F85" i="18"/>
  <c r="F83" i="18"/>
  <c r="F81" i="18"/>
  <c r="F79" i="18"/>
  <c r="F77" i="18"/>
  <c r="F75" i="18"/>
  <c r="F73" i="18"/>
  <c r="F71" i="18"/>
  <c r="F69" i="18"/>
  <c r="F67" i="18"/>
  <c r="F65" i="18"/>
  <c r="F63" i="18"/>
  <c r="F61" i="18"/>
  <c r="F59" i="18"/>
  <c r="F57" i="18"/>
  <c r="F55" i="18"/>
  <c r="F53" i="18"/>
  <c r="F51" i="18"/>
  <c r="F49" i="18"/>
  <c r="F47" i="18"/>
  <c r="F45" i="18"/>
  <c r="F43" i="18"/>
  <c r="F41" i="18"/>
  <c r="F39" i="18"/>
  <c r="F37" i="18"/>
  <c r="F35" i="18"/>
  <c r="F33" i="18"/>
  <c r="B38" i="17"/>
  <c r="B30" i="17"/>
  <c r="J10" i="17"/>
  <c r="E31" i="17"/>
  <c r="B47" i="17"/>
  <c r="B31" i="17"/>
  <c r="E39" i="17"/>
  <c r="B40" i="17"/>
  <c r="B72" i="17"/>
  <c r="E40" i="17"/>
  <c r="B39" i="17"/>
  <c r="E71" i="17"/>
  <c r="B71" i="17" s="1"/>
  <c r="B48" i="17" l="1"/>
  <c r="H39" i="18"/>
  <c r="H53" i="18"/>
  <c r="H55" i="18"/>
  <c r="H77" i="18"/>
  <c r="H101" i="18"/>
  <c r="H44" i="18"/>
  <c r="H46" i="18"/>
  <c r="H68" i="18"/>
  <c r="B112" i="18"/>
  <c r="E113" i="18"/>
  <c r="H79" i="18"/>
  <c r="H57" i="18"/>
  <c r="H81" i="18"/>
  <c r="H105" i="18"/>
  <c r="H48" i="18"/>
  <c r="H72" i="18"/>
  <c r="H96" i="18"/>
  <c r="H70" i="18"/>
  <c r="H94" i="18"/>
  <c r="H35" i="18"/>
  <c r="H59" i="18"/>
  <c r="H83" i="18"/>
  <c r="H107" i="18"/>
  <c r="H50" i="18"/>
  <c r="H74" i="18"/>
  <c r="H98" i="18"/>
  <c r="H37" i="18"/>
  <c r="H61" i="18"/>
  <c r="H85" i="18"/>
  <c r="H109" i="18"/>
  <c r="H52" i="18"/>
  <c r="H76" i="18"/>
  <c r="H100" i="18"/>
  <c r="H54" i="18"/>
  <c r="H78" i="18"/>
  <c r="H102" i="18"/>
  <c r="H92" i="18"/>
  <c r="H103" i="18"/>
  <c r="H63" i="18"/>
  <c r="H87" i="18"/>
  <c r="H111" i="18"/>
  <c r="H41" i="18"/>
  <c r="H65" i="18"/>
  <c r="H89" i="18"/>
  <c r="H32" i="18"/>
  <c r="H56" i="18"/>
  <c r="H80" i="18"/>
  <c r="H104" i="18"/>
  <c r="H43" i="18"/>
  <c r="H67" i="18"/>
  <c r="H91" i="18"/>
  <c r="H34" i="18"/>
  <c r="H58" i="18"/>
  <c r="H82" i="18"/>
  <c r="H106" i="18"/>
  <c r="D113" i="18"/>
  <c r="H45" i="18"/>
  <c r="H69" i="18"/>
  <c r="H93" i="18"/>
  <c r="H36" i="18"/>
  <c r="H60" i="18"/>
  <c r="H84" i="18"/>
  <c r="H108" i="18"/>
  <c r="H47" i="18"/>
  <c r="H71" i="18"/>
  <c r="H95" i="18"/>
  <c r="H33" i="18"/>
  <c r="H38" i="18"/>
  <c r="H62" i="18"/>
  <c r="H86" i="18"/>
  <c r="H110" i="18"/>
  <c r="E126" i="18"/>
  <c r="E118" i="18"/>
  <c r="E125" i="18"/>
  <c r="E117" i="18"/>
  <c r="E130" i="18"/>
  <c r="E129" i="18"/>
  <c r="D122" i="18"/>
  <c r="H49" i="18"/>
  <c r="H73" i="18"/>
  <c r="H97" i="18"/>
  <c r="H40" i="18"/>
  <c r="H64" i="18"/>
  <c r="H88" i="18"/>
  <c r="H112" i="18"/>
  <c r="H51" i="18"/>
  <c r="H75" i="18"/>
  <c r="H99" i="18"/>
  <c r="H42" i="18"/>
  <c r="H66" i="18"/>
  <c r="H90" i="18"/>
  <c r="B41" i="17"/>
  <c r="E41" i="17"/>
  <c r="B32" i="17"/>
  <c r="E32" i="17"/>
  <c r="F38" i="17"/>
  <c r="E49" i="17"/>
  <c r="E50" i="17"/>
  <c r="H128" i="18" s="1"/>
  <c r="B49" i="17"/>
  <c r="B50" i="17"/>
  <c r="H124" i="18" l="1"/>
  <c r="H115" i="18"/>
  <c r="E112" i="18"/>
  <c r="B111" i="18"/>
  <c r="D112" i="18"/>
  <c r="E51" i="17"/>
  <c r="B51" i="17"/>
  <c r="E33" i="17"/>
  <c r="B33" i="17"/>
  <c r="B110" i="18" l="1"/>
  <c r="E111" i="18"/>
  <c r="D111" i="18"/>
  <c r="E110" i="18" l="1"/>
  <c r="B109" i="18"/>
  <c r="D110" i="18"/>
  <c r="B108" i="18" l="1"/>
  <c r="E109" i="18"/>
  <c r="D109" i="18"/>
  <c r="E108" i="18" l="1"/>
  <c r="B107" i="18"/>
  <c r="D108" i="18"/>
  <c r="B106" i="18" l="1"/>
  <c r="E107" i="18"/>
  <c r="D107" i="18"/>
  <c r="E106" i="18" l="1"/>
  <c r="B105" i="18"/>
  <c r="D106" i="18"/>
  <c r="B104" i="18" l="1"/>
  <c r="E105" i="18"/>
  <c r="D105" i="18"/>
  <c r="E104" i="18" l="1"/>
  <c r="B103" i="18"/>
  <c r="D104" i="18"/>
  <c r="B102" i="18" l="1"/>
  <c r="E103" i="18"/>
  <c r="D103" i="18"/>
  <c r="E102" i="18" l="1"/>
  <c r="B101" i="18"/>
  <c r="D102" i="18"/>
  <c r="B100" i="18" l="1"/>
  <c r="E101" i="18"/>
  <c r="D101" i="18"/>
  <c r="E100" i="18" l="1"/>
  <c r="B99" i="18"/>
  <c r="D100" i="18"/>
  <c r="B98" i="18" l="1"/>
  <c r="E99" i="18"/>
  <c r="D99" i="18"/>
  <c r="E98" i="18" l="1"/>
  <c r="B97" i="18"/>
  <c r="D98" i="18"/>
  <c r="B96" i="18" l="1"/>
  <c r="E97" i="18"/>
  <c r="D97" i="18"/>
  <c r="E96" i="18" l="1"/>
  <c r="B95" i="18"/>
  <c r="D96" i="18"/>
  <c r="B94" i="18" l="1"/>
  <c r="E95" i="18"/>
  <c r="D95" i="18"/>
  <c r="E94" i="18" l="1"/>
  <c r="B93" i="18"/>
  <c r="D94" i="18"/>
  <c r="B92" i="18" l="1"/>
  <c r="E93" i="18"/>
  <c r="D93" i="18"/>
  <c r="E92" i="18" l="1"/>
  <c r="B91" i="18"/>
  <c r="D92" i="18"/>
  <c r="B90" i="18" l="1"/>
  <c r="E91" i="18"/>
  <c r="D91" i="18"/>
  <c r="E90" i="18" l="1"/>
  <c r="B89" i="18"/>
  <c r="D90" i="18"/>
  <c r="B88" i="18" l="1"/>
  <c r="E89" i="18"/>
  <c r="D89" i="18"/>
  <c r="E88" i="18" l="1"/>
  <c r="B87" i="18"/>
  <c r="D88" i="18"/>
  <c r="B86" i="18" l="1"/>
  <c r="E87" i="18"/>
  <c r="D87" i="18"/>
  <c r="E86" i="18" l="1"/>
  <c r="B85" i="18"/>
  <c r="D86" i="18"/>
  <c r="B84" i="18" l="1"/>
  <c r="E85" i="18"/>
  <c r="D85" i="18"/>
  <c r="E84" i="18" l="1"/>
  <c r="B83" i="18"/>
  <c r="D84" i="18"/>
  <c r="B82" i="18" l="1"/>
  <c r="E83" i="18"/>
  <c r="D83" i="18"/>
  <c r="E82" i="18" l="1"/>
  <c r="B81" i="18"/>
  <c r="D82" i="18"/>
  <c r="B80" i="18" l="1"/>
  <c r="E81" i="18"/>
  <c r="D81" i="18"/>
  <c r="E80" i="18" l="1"/>
  <c r="B79" i="18"/>
  <c r="D80" i="18"/>
  <c r="B78" i="18" l="1"/>
  <c r="E79" i="18"/>
  <c r="D79" i="18"/>
  <c r="E78" i="18" l="1"/>
  <c r="B77" i="18"/>
  <c r="D78" i="18"/>
  <c r="B76" i="18" l="1"/>
  <c r="E77" i="18"/>
  <c r="D77" i="18"/>
  <c r="E76" i="18" l="1"/>
  <c r="B75" i="18"/>
  <c r="D76" i="18"/>
  <c r="B74" i="18" l="1"/>
  <c r="E75" i="18"/>
  <c r="D75" i="18"/>
  <c r="E74" i="18" l="1"/>
  <c r="B73" i="18"/>
  <c r="D74" i="18"/>
  <c r="B72" i="18" l="1"/>
  <c r="E73" i="18"/>
  <c r="D73" i="18"/>
  <c r="E72" i="18" l="1"/>
  <c r="B71" i="18"/>
  <c r="D72" i="18"/>
  <c r="B70" i="18" l="1"/>
  <c r="E71" i="18"/>
  <c r="D71" i="18"/>
  <c r="E70" i="18" l="1"/>
  <c r="B69" i="18"/>
  <c r="D70" i="18"/>
  <c r="B68" i="18" l="1"/>
  <c r="E69" i="18"/>
  <c r="D69" i="18"/>
  <c r="E68" i="18" l="1"/>
  <c r="B67" i="18"/>
  <c r="D68" i="18"/>
  <c r="B66" i="18" l="1"/>
  <c r="E67" i="18"/>
  <c r="D67" i="18"/>
  <c r="E66" i="18" l="1"/>
  <c r="B65" i="18"/>
  <c r="D66" i="18"/>
  <c r="B64" i="18" l="1"/>
  <c r="E65" i="18"/>
  <c r="D65" i="18"/>
  <c r="E64" i="18" l="1"/>
  <c r="B63" i="18"/>
  <c r="D64" i="18"/>
  <c r="B62" i="18" l="1"/>
  <c r="E63" i="18"/>
  <c r="D63" i="18"/>
  <c r="E62" i="18" l="1"/>
  <c r="B61" i="18"/>
  <c r="D62" i="18"/>
  <c r="B60" i="18" l="1"/>
  <c r="E61" i="18"/>
  <c r="D61" i="18"/>
  <c r="E60" i="18" l="1"/>
  <c r="B59" i="18"/>
  <c r="D60" i="18"/>
  <c r="B58" i="18" l="1"/>
  <c r="E59" i="18"/>
  <c r="D59" i="18"/>
  <c r="E58" i="18" l="1"/>
  <c r="B57" i="18"/>
  <c r="D58" i="18"/>
  <c r="B56" i="18" l="1"/>
  <c r="E57" i="18"/>
  <c r="D57" i="18"/>
  <c r="E56" i="18" l="1"/>
  <c r="B55" i="18"/>
  <c r="D56" i="18"/>
  <c r="B54" i="18" l="1"/>
  <c r="E55" i="18"/>
  <c r="D55" i="18"/>
  <c r="E54" i="18" l="1"/>
  <c r="B53" i="18"/>
  <c r="D54" i="18"/>
  <c r="B52" i="18" l="1"/>
  <c r="E53" i="18"/>
  <c r="D53" i="18"/>
  <c r="E52" i="18" l="1"/>
  <c r="B51" i="18"/>
  <c r="D52" i="18"/>
  <c r="B50" i="18" l="1"/>
  <c r="E51" i="18"/>
  <c r="D51" i="18"/>
  <c r="E50" i="18" l="1"/>
  <c r="B49" i="18"/>
  <c r="D50" i="18"/>
  <c r="B48" i="18" l="1"/>
  <c r="E49" i="18"/>
  <c r="D49" i="18"/>
  <c r="B47" i="18" l="1"/>
  <c r="E48" i="18"/>
  <c r="D48" i="18"/>
  <c r="B46" i="18" l="1"/>
  <c r="E47" i="18"/>
  <c r="D47" i="18"/>
  <c r="E46" i="18" l="1"/>
  <c r="B45" i="18"/>
  <c r="D46" i="18"/>
  <c r="B44" i="18" l="1"/>
  <c r="E45" i="18"/>
  <c r="D45" i="18"/>
  <c r="E44" i="18" l="1"/>
  <c r="B43" i="18"/>
  <c r="D44" i="18"/>
  <c r="B42" i="18" l="1"/>
  <c r="E43" i="18"/>
  <c r="D43" i="18"/>
  <c r="B41" i="18" l="1"/>
  <c r="E42" i="18"/>
  <c r="D42" i="18"/>
  <c r="B40" i="18" l="1"/>
  <c r="E41" i="18"/>
  <c r="D41" i="18"/>
  <c r="E40" i="18" l="1"/>
  <c r="B39" i="18"/>
  <c r="D40" i="18"/>
  <c r="B38" i="18" l="1"/>
  <c r="E39" i="18"/>
  <c r="D39" i="18"/>
  <c r="E38" i="18" l="1"/>
  <c r="B37" i="18"/>
  <c r="D38" i="18"/>
  <c r="B36" i="18" l="1"/>
  <c r="E37" i="18"/>
  <c r="D37" i="18"/>
  <c r="E36" i="18" l="1"/>
  <c r="B35" i="18"/>
  <c r="D36" i="18"/>
  <c r="B34" i="18" l="1"/>
  <c r="E35" i="18"/>
  <c r="D35" i="18"/>
  <c r="B33" i="18" l="1"/>
  <c r="E34" i="18"/>
  <c r="D34" i="18"/>
  <c r="B32" i="18" l="1"/>
  <c r="E33" i="18"/>
  <c r="D33" i="18"/>
  <c r="E32" i="18" l="1"/>
  <c r="D32"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Arnott, Roy (ARD)</author>
  </authors>
  <commentList>
    <comment ref="D8" authorId="0" shapeId="0" xr:uid="{00000000-0006-0000-0000-000001000000}">
      <text>
        <r>
          <rPr>
            <sz val="9"/>
            <color indexed="81"/>
            <rFont val="Tahoma"/>
            <family val="2"/>
          </rPr>
          <t xml:space="preserve">Coverage for Pasture Days Insurance is based on historic grazing period data obtained from Manitoba Community Pastures. New participants receive the historic grazing period (134 days) as their coverage, which is adjusted based on their actual experience for subsequent years. Producers in the program for more than 2 years should contact their MASC Service Center for help in calculating their actual expected grazing days. 
The grazing period includes the time livestock spent on actual pasture and does not include grazing hay fields or stubble fields. An individual 10-year average will be developed for future years coverage based on each producer’s individual annual grazing period and animal units on pasture.
Coverage begins when your cattle are put on pasture, but in any event, no sooner than </t>
        </r>
        <r>
          <rPr>
            <b/>
            <sz val="9"/>
            <color indexed="81"/>
            <rFont val="Tahoma"/>
            <family val="2"/>
          </rPr>
          <t>May 1.</t>
        </r>
      </text>
    </comment>
    <comment ref="D9" authorId="0" shapeId="0" xr:uid="{00000000-0006-0000-0000-000002000000}">
      <text>
        <r>
          <rPr>
            <sz val="9"/>
            <color indexed="81"/>
            <rFont val="Tahoma"/>
            <family val="2"/>
          </rPr>
          <t>The coverage level for Pasture Days Insurance is set at 90 per cent of normal AU Days, meaning a claim is paid if the actual grazing period is less than 90 per cent of the insured’s calculated AU Days.</t>
        </r>
      </text>
    </comment>
    <comment ref="D14" authorId="0" shapeId="0" xr:uid="{00000000-0006-0000-0000-000003000000}">
      <text>
        <r>
          <rPr>
            <sz val="9"/>
            <color indexed="81"/>
            <rFont val="Tahoma"/>
            <family val="2"/>
          </rPr>
          <t>Premium costs are shared 40 per cent by the producer, 36 per cent by the Government of Canada, and 24 per cent by the Province of Manitoba.</t>
        </r>
      </text>
    </comment>
    <comment ref="E26" authorId="0" shapeId="0" xr:uid="{00000000-0006-0000-0000-000004000000}">
      <text>
        <r>
          <rPr>
            <sz val="9"/>
            <color indexed="81"/>
            <rFont val="Tahoma"/>
            <family val="2"/>
          </rPr>
          <t>The livestock numbers, pasture acres, and the date livestock were placed on pasture must be reported on a Pasture Days Spring Declaration by June 30.</t>
        </r>
      </text>
    </comment>
    <comment ref="G26" authorId="0" shapeId="0" xr:uid="{00000000-0006-0000-0000-000005000000}">
      <text>
        <r>
          <rPr>
            <sz val="9"/>
            <color indexed="81"/>
            <rFont val="Tahoma"/>
            <family val="2"/>
          </rPr>
          <t xml:space="preserve"> MASC requires a minimum total of 30 'Animal Units' (AU) of eligible livestock types on pasture.</t>
        </r>
      </text>
    </comment>
    <comment ref="D44" authorId="0" shapeId="0" xr:uid="{00000000-0006-0000-0000-000006000000}">
      <text>
        <r>
          <rPr>
            <sz val="9"/>
            <color indexed="81"/>
            <rFont val="Tahoma"/>
            <family val="2"/>
          </rPr>
          <t>A producer must inform MASC immediately of any changes to pasture acres or livestock numbers that occur throughout the year, or if supplemental feed is provided to livestock on pasture. 
The livestock winter feeding date and date the livestock are removed from pasture must be reported on a Pasture Days Fall Declaration by November 30.</t>
        </r>
      </text>
    </comment>
    <comment ref="D48" authorId="0" shapeId="0" xr:uid="{00000000-0006-0000-0000-000007000000}">
      <text>
        <r>
          <rPr>
            <sz val="9"/>
            <color indexed="81"/>
            <rFont val="Tahoma"/>
            <family val="2"/>
          </rPr>
          <t>An indemnity is issued on a producer’s claim when the actual grazing period is less than 90 per cent of the derived Animal Unit Days (22,914 in example). The producer will be paid $2.00 per Animal Unit for every shortfall day.</t>
        </r>
      </text>
    </comment>
  </commentList>
</comments>
</file>

<file path=xl/sharedStrings.xml><?xml version="1.0" encoding="utf-8"?>
<sst xmlns="http://schemas.openxmlformats.org/spreadsheetml/2006/main" count="109" uniqueCount="87">
  <si>
    <t>Total</t>
  </si>
  <si>
    <t xml:space="preserve"> acres</t>
  </si>
  <si>
    <t xml:space="preserve">Total Animal Unit Months (AUM's) </t>
  </si>
  <si>
    <t xml:space="preserve">Total AUM's - Available Per Acre </t>
  </si>
  <si>
    <t>AUM Analysis</t>
  </si>
  <si>
    <t>***HIDE***</t>
  </si>
  <si>
    <t>Pasture Land</t>
  </si>
  <si>
    <t>(Select Animal Type)</t>
  </si>
  <si>
    <t>Number of Head</t>
  </si>
  <si>
    <t>Animal Unit (AU)</t>
  </si>
  <si>
    <t>Coverage</t>
  </si>
  <si>
    <t>days</t>
  </si>
  <si>
    <t>Historic grazing period or Individual 10-year average</t>
  </si>
  <si>
    <t>Coverage Level of of Normal AU days</t>
  </si>
  <si>
    <t>Dollar Coverage per Animal Unit for each AU day</t>
  </si>
  <si>
    <t>Animal Inventory</t>
  </si>
  <si>
    <t>Coverage Calculation</t>
  </si>
  <si>
    <t>AU Days</t>
  </si>
  <si>
    <t>Premium Calculation</t>
  </si>
  <si>
    <t>Data List</t>
  </si>
  <si>
    <t>Premium Rate</t>
  </si>
  <si>
    <t>Premium share (producer)</t>
  </si>
  <si>
    <t>Premium = Expected number of Grazing Days x Animal Units x coverage Level x Insurable Value x Premium Rate %</t>
  </si>
  <si>
    <t>months</t>
  </si>
  <si>
    <t xml:space="preserve">or </t>
  </si>
  <si>
    <t>Indemnity Calculation</t>
  </si>
  <si>
    <t xml:space="preserve">(coverage would last until </t>
  </si>
  <si>
    <t>Printed:</t>
  </si>
  <si>
    <r>
      <t xml:space="preserve">*** Enter/select changes to items in </t>
    </r>
    <r>
      <rPr>
        <b/>
        <sz val="10"/>
        <color indexed="12"/>
        <rFont val="Arial"/>
        <family val="2"/>
      </rPr>
      <t xml:space="preserve">BLUE </t>
    </r>
    <r>
      <rPr>
        <b/>
        <sz val="10"/>
        <rFont val="Arial"/>
        <family val="2"/>
      </rPr>
      <t>only ***</t>
    </r>
  </si>
  <si>
    <t xml:space="preserve">. . . . . . . . . . . . . . . . . . . . . . . . . . . . . . . . . . . . . . . . . . . . . . . . . . . . . . . . . . . . . . . . </t>
  </si>
  <si>
    <t>Pasture Days Insurance Calculator</t>
  </si>
  <si>
    <r>
      <t>Note:</t>
    </r>
    <r>
      <rPr>
        <sz val="10"/>
        <rFont val="Arial"/>
        <family val="2"/>
      </rPr>
      <t xml:space="preserve"> This budget is only a guide and is not intended to be an in-depth study of the pasture costs.  Interpretation and utilization of this information is the responsibility of the user. </t>
    </r>
  </si>
  <si>
    <t>Date livestock placed on pasture (enter M/DD)</t>
  </si>
  <si>
    <t>Date livestock removed from pasture (enter M/DD)</t>
  </si>
  <si>
    <t>Calculated actual days on pasture before removal</t>
  </si>
  <si>
    <t>Breakeven Analysis</t>
  </si>
  <si>
    <t>Pasture Insurance Indemnity</t>
  </si>
  <si>
    <t>Breakeven</t>
  </si>
  <si>
    <t>Indemnity</t>
  </si>
  <si>
    <t>Number of Pasture Days Covered by AgriInsurance</t>
  </si>
  <si>
    <t>Number of Pasture Days Uncovered by AgriInsurance</t>
  </si>
  <si>
    <t>Historic Grazing Days</t>
  </si>
  <si>
    <t>Pasture Days Covered by AgriInsurance</t>
  </si>
  <si>
    <t>or</t>
  </si>
  <si>
    <t>MASC Pasture Days Insurance Factsheet</t>
  </si>
  <si>
    <t>Rams, Bred Ewes, Ewe/Lamb pairs = 0.25 A.U.</t>
  </si>
  <si>
    <t>Open Ewes = 0.20 A.U.</t>
  </si>
  <si>
    <t>Weaned Lambs, Yearlings, Wethers = 0.15 A.U.</t>
  </si>
  <si>
    <t>Sheep</t>
  </si>
  <si>
    <t>Goats</t>
  </si>
  <si>
    <t>Bucks, Bred Does, Does with Kids = 0.20 A.U.</t>
  </si>
  <si>
    <t>Open Does = 0.10 A.U.</t>
  </si>
  <si>
    <t>Weaned Lambs, Yearlings, Wethers = 0.05 A.U.</t>
  </si>
  <si>
    <t>Horses</t>
  </si>
  <si>
    <t>Mature Stallions, Male Mules, Bred Mares, Mare/Foal Pairs = 1.5 A.U.</t>
  </si>
  <si>
    <t>Open Mares, Female Mules = 1.30 A.U.</t>
  </si>
  <si>
    <t>Weanling Colts or Fillies or Mules = 0.75 A.U.</t>
  </si>
  <si>
    <t>Cows</t>
  </si>
  <si>
    <t>Donkeys and Ponies</t>
  </si>
  <si>
    <t>Open Mares, Open Jennies = 0.50 A.U.</t>
  </si>
  <si>
    <t>Weanling Colts/Fillies, Geldings = 0.40 A.U.</t>
  </si>
  <si>
    <t>Mature Stallions, Jacks, Bred Mares, Bred Jennies, Mare/Foal Pairs, Jenny/Colt Pairs = 0.65 A.U.</t>
  </si>
  <si>
    <t>Llamas and Alpacas</t>
  </si>
  <si>
    <t>Studs, Bred Dams, Dam/Cria Pairs = 0.30 A.U.</t>
  </si>
  <si>
    <t>Open Girls = 0.25 A.U.</t>
  </si>
  <si>
    <t>Maiden Girls, Immature Stud, Geldings = 0.20 A.U.</t>
  </si>
  <si>
    <t>Elk</t>
  </si>
  <si>
    <t>Weaners, Yearling Calves, Steers or Heifers = 0.4 A.U.</t>
  </si>
  <si>
    <t>Deer</t>
  </si>
  <si>
    <t>Bucks, Bred Does, Doe/Fawn pairs = 0.25 A.U.</t>
  </si>
  <si>
    <t>Open Dowes = 0.20 A.U.</t>
  </si>
  <si>
    <t>Weaned Fawns, Yearlings, Havier = 0.15 A.U.</t>
  </si>
  <si>
    <t>Bison</t>
  </si>
  <si>
    <t>Bulls, Bred Cow or Cow/Calf pair = 1.30 A.U.</t>
  </si>
  <si>
    <t>Open Cows = 1.0 A.U.</t>
  </si>
  <si>
    <t>Yearling Calves, Steers or Heifers = 0.6 A.U.</t>
  </si>
  <si>
    <t>Yearling Calves, Steers and Heifers = 0.6 A.U.</t>
  </si>
  <si>
    <t>Open Cows = 0.6 A.U.</t>
  </si>
  <si>
    <t>Bulls, Bred Cows, Cow/Calf pairs = 1.3 A.U.</t>
  </si>
  <si>
    <t>Bulls, Bred Cows, Cow/Calf pairs = 0.75 A.U.</t>
  </si>
  <si>
    <t>Animal'</t>
  </si>
  <si>
    <t>Donkeys_and_ Ponies</t>
  </si>
  <si>
    <t>Llamas_and_Alpacas</t>
  </si>
  <si>
    <t>Step #1</t>
  </si>
  <si>
    <t>Step #2 -  Select Category</t>
  </si>
  <si>
    <t>MASC Pasture Days Insurance Calculator</t>
  </si>
  <si>
    <t>February,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</si>
</sst>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_(&quot;$&quot;* \(#,##0.00\);_(&quot;$&quot;* &quot;-&quot;??_);_(@_)"/>
    <numFmt numFmtId="165" formatCode="&quot;$&quot;#,##0.00"/>
    <numFmt numFmtId="166" formatCode="&quot;$&quot;#,##0"/>
    <numFmt numFmtId="167" formatCode="&quot;$&quot;#,##0.0000"/>
    <numFmt numFmtId="168" formatCode="[$-1009]mmmm\ d;@"/>
  </numFmts>
  <fonts count="31" x14ac:knownFonts="1">
    <font>
      <sz val="10"/>
      <name val="Arial"/>
    </font>
    <font>
      <sz val="10"/>
      <name val="Arial"/>
      <family val="2"/>
    </font>
    <font>
      <sz val="12"/>
      <name val="Arial"/>
      <family val="2"/>
    </font>
    <font>
      <sz val="12"/>
      <name val="Arial"/>
      <family val="2"/>
    </font>
    <font>
      <b/>
      <sz val="12"/>
      <name val="Arial"/>
      <family val="2"/>
    </font>
    <font>
      <b/>
      <u/>
      <sz val="12"/>
      <name val="Arial"/>
      <family val="2"/>
    </font>
    <font>
      <sz val="14"/>
      <name val="Arial"/>
      <family val="2"/>
    </font>
    <font>
      <sz val="8"/>
      <name val="Arial"/>
      <family val="2"/>
    </font>
    <font>
      <b/>
      <sz val="14"/>
      <name val="Arial"/>
      <family val="2"/>
    </font>
    <font>
      <sz val="22"/>
      <name val="Arial"/>
      <family val="2"/>
    </font>
    <font>
      <b/>
      <sz val="10"/>
      <color indexed="12"/>
      <name val="Arial"/>
      <family val="2"/>
    </font>
    <font>
      <sz val="10"/>
      <name val="Arial"/>
      <family val="2"/>
    </font>
    <font>
      <b/>
      <sz val="10"/>
      <name val="Arial"/>
      <family val="2"/>
    </font>
    <font>
      <sz val="10"/>
      <name val="Arial"/>
      <family val="2"/>
    </font>
    <font>
      <b/>
      <sz val="11"/>
      <name val="Arial"/>
      <family val="2"/>
    </font>
    <font>
      <sz val="9"/>
      <color indexed="81"/>
      <name val="Tahoma"/>
      <family val="2"/>
    </font>
    <font>
      <sz val="10"/>
      <name val="Arial"/>
      <family val="2"/>
    </font>
    <font>
      <u/>
      <sz val="10"/>
      <name val="Arial"/>
      <family val="2"/>
    </font>
    <font>
      <sz val="12"/>
      <name val="Calibri"/>
      <family val="2"/>
    </font>
    <font>
      <b/>
      <sz val="9"/>
      <color indexed="81"/>
      <name val="Tahoma"/>
      <family val="2"/>
    </font>
    <font>
      <sz val="26"/>
      <color indexed="10"/>
      <name val="Times New Roman"/>
      <family val="1"/>
    </font>
    <font>
      <i/>
      <sz val="8"/>
      <name val="Arial"/>
      <family val="2"/>
    </font>
    <font>
      <u/>
      <sz val="11"/>
      <color theme="10"/>
      <name val="Calibri"/>
      <family val="2"/>
    </font>
    <font>
      <b/>
      <sz val="12"/>
      <color rgb="FF0000FF"/>
      <name val="Arial"/>
      <family val="2"/>
    </font>
    <font>
      <b/>
      <sz val="12"/>
      <color theme="3" tint="0.39997558519241921"/>
      <name val="Arial"/>
      <family val="2"/>
    </font>
    <font>
      <b/>
      <sz val="14"/>
      <color theme="1"/>
      <name val="Arial"/>
      <family val="2"/>
    </font>
    <font>
      <sz val="11"/>
      <color theme="1"/>
      <name val="Arial"/>
      <family val="2"/>
    </font>
    <font>
      <sz val="8"/>
      <color theme="1"/>
      <name val="Arial"/>
      <family val="2"/>
    </font>
    <font>
      <b/>
      <sz val="14"/>
      <color rgb="FF008000"/>
      <name val="Calibri"/>
      <family val="2"/>
      <scheme val="minor"/>
    </font>
    <font>
      <b/>
      <sz val="11"/>
      <color rgb="FF0000FF"/>
      <name val="Arial"/>
      <family val="2"/>
    </font>
    <font>
      <u/>
      <sz val="10"/>
      <color theme="10"/>
      <name val="Arial"/>
      <family val="2"/>
    </font>
  </fonts>
  <fills count="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s>
  <borders count="12">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rgb="FF0000FF"/>
      </left>
      <right style="medium">
        <color rgb="FF0000FF"/>
      </right>
      <top style="medium">
        <color rgb="FF0000FF"/>
      </top>
      <bottom style="medium">
        <color rgb="FF0000FF"/>
      </bottom>
      <diagonal/>
    </border>
  </borders>
  <cellStyleXfs count="11">
    <xf numFmtId="0" fontId="0" fillId="0" borderId="0"/>
    <xf numFmtId="164" fontId="1" fillId="0" borderId="0" applyFont="0" applyFill="0" applyBorder="0" applyAlignment="0" applyProtection="0"/>
    <xf numFmtId="0" fontId="22" fillId="0" borderId="0" applyNumberFormat="0" applyFill="0" applyBorder="0" applyAlignment="0" applyProtection="0">
      <alignment vertical="top"/>
      <protection locked="0"/>
    </xf>
    <xf numFmtId="0" fontId="13" fillId="0" borderId="0">
      <alignment vertical="top"/>
    </xf>
    <xf numFmtId="0" fontId="11" fillId="0" borderId="0">
      <alignment vertical="top"/>
    </xf>
    <xf numFmtId="0" fontId="2" fillId="0" borderId="0">
      <alignment vertical="top"/>
    </xf>
    <xf numFmtId="0" fontId="2" fillId="0" borderId="0">
      <alignment vertical="top"/>
    </xf>
    <xf numFmtId="0" fontId="11" fillId="0" borderId="0"/>
    <xf numFmtId="0" fontId="16" fillId="0" borderId="0">
      <alignment vertical="top"/>
    </xf>
    <xf numFmtId="9" fontId="1" fillId="0" borderId="0" applyFont="0" applyFill="0" applyBorder="0" applyAlignment="0" applyProtection="0"/>
    <xf numFmtId="0" fontId="30" fillId="0" borderId="0" applyNumberFormat="0" applyFill="0" applyBorder="0" applyAlignment="0" applyProtection="0"/>
  </cellStyleXfs>
  <cellXfs count="76">
    <xf numFmtId="0" fontId="0" fillId="0" borderId="0" xfId="0"/>
    <xf numFmtId="0" fontId="2" fillId="0" borderId="0" xfId="0" applyFont="1"/>
    <xf numFmtId="0" fontId="4" fillId="0" borderId="0" xfId="0" applyFont="1"/>
    <xf numFmtId="165" fontId="4" fillId="0" borderId="0" xfId="0" applyNumberFormat="1" applyFont="1"/>
    <xf numFmtId="0" fontId="4" fillId="0" borderId="0" xfId="0" applyFont="1" applyAlignment="1">
      <alignment horizontal="center"/>
    </xf>
    <xf numFmtId="0" fontId="2" fillId="0" borderId="0" xfId="0" applyFont="1" applyAlignment="1">
      <alignment horizontal="center"/>
    </xf>
    <xf numFmtId="0" fontId="0" fillId="0" borderId="1" xfId="0" applyBorder="1"/>
    <xf numFmtId="0" fontId="5" fillId="0" borderId="0" xfId="0" applyFont="1"/>
    <xf numFmtId="0" fontId="2" fillId="0" borderId="0" xfId="0" applyFont="1" applyAlignment="1">
      <alignment horizontal="left"/>
    </xf>
    <xf numFmtId="3" fontId="4" fillId="0" borderId="0" xfId="0" applyNumberFormat="1" applyFont="1"/>
    <xf numFmtId="1" fontId="4" fillId="0" borderId="0" xfId="0" applyNumberFormat="1" applyFont="1"/>
    <xf numFmtId="2" fontId="4" fillId="0" borderId="0" xfId="0" applyNumberFormat="1" applyFont="1"/>
    <xf numFmtId="0" fontId="11" fillId="0" borderId="0" xfId="0" applyFont="1"/>
    <xf numFmtId="0" fontId="2" fillId="2" borderId="0" xfId="0" applyFont="1" applyFill="1"/>
    <xf numFmtId="0" fontId="24" fillId="0" borderId="0" xfId="0" applyFont="1"/>
    <xf numFmtId="0" fontId="2" fillId="2" borderId="5" xfId="0" applyFont="1" applyFill="1" applyBorder="1"/>
    <xf numFmtId="0" fontId="2" fillId="2" borderId="6" xfId="0" applyFont="1" applyFill="1" applyBorder="1"/>
    <xf numFmtId="0" fontId="2" fillId="2" borderId="10" xfId="0" applyFont="1" applyFill="1" applyBorder="1"/>
    <xf numFmtId="0" fontId="2" fillId="2" borderId="9" xfId="0" applyFont="1" applyFill="1" applyBorder="1"/>
    <xf numFmtId="0" fontId="2" fillId="2" borderId="7" xfId="0" applyFont="1" applyFill="1" applyBorder="1"/>
    <xf numFmtId="0" fontId="2" fillId="2" borderId="8" xfId="0" applyFont="1" applyFill="1" applyBorder="1"/>
    <xf numFmtId="0" fontId="23" fillId="0" borderId="0" xfId="0" applyFont="1"/>
    <xf numFmtId="3" fontId="2" fillId="0" borderId="0" xfId="0" applyNumberFormat="1" applyFont="1"/>
    <xf numFmtId="3" fontId="2" fillId="0" borderId="1" xfId="0" applyNumberFormat="1" applyFont="1" applyBorder="1"/>
    <xf numFmtId="0" fontId="4" fillId="0" borderId="0" xfId="0" applyFont="1" applyAlignment="1">
      <alignment horizontal="right"/>
    </xf>
    <xf numFmtId="167" fontId="4" fillId="0" borderId="0" xfId="0" applyNumberFormat="1" applyFont="1"/>
    <xf numFmtId="0" fontId="18" fillId="0" borderId="0" xfId="0" applyFont="1"/>
    <xf numFmtId="16" fontId="2" fillId="0" borderId="0" xfId="0" applyNumberFormat="1" applyFont="1"/>
    <xf numFmtId="168" fontId="2" fillId="0" borderId="0" xfId="0" applyNumberFormat="1" applyFont="1"/>
    <xf numFmtId="0" fontId="20" fillId="0" borderId="0" xfId="0" applyFont="1" applyAlignment="1">
      <alignment vertical="center"/>
    </xf>
    <xf numFmtId="0" fontId="0" fillId="0" borderId="0" xfId="0" applyAlignment="1">
      <alignment vertical="center"/>
    </xf>
    <xf numFmtId="0" fontId="9" fillId="0" borderId="0" xfId="0" applyFont="1" applyAlignment="1">
      <alignment vertical="center"/>
    </xf>
    <xf numFmtId="0" fontId="21" fillId="0" borderId="0" xfId="0" applyFont="1" applyAlignment="1">
      <alignment vertical="center"/>
    </xf>
    <xf numFmtId="0" fontId="25" fillId="0" borderId="0" xfId="0" applyFont="1"/>
    <xf numFmtId="0" fontId="26" fillId="0" borderId="0" xfId="0" applyFont="1" applyAlignment="1">
      <alignment horizontal="center"/>
    </xf>
    <xf numFmtId="0" fontId="27" fillId="0" borderId="0" xfId="0" applyFont="1" applyAlignment="1">
      <alignment horizontal="right"/>
    </xf>
    <xf numFmtId="14" fontId="7" fillId="0" borderId="0" xfId="0" applyNumberFormat="1" applyFont="1"/>
    <xf numFmtId="14" fontId="7" fillId="0" borderId="0" xfId="0" applyNumberFormat="1" applyFont="1" applyAlignment="1">
      <alignment horizontal="right"/>
    </xf>
    <xf numFmtId="0" fontId="12" fillId="0" borderId="0" xfId="0" applyFont="1" applyAlignment="1">
      <alignment vertical="center"/>
    </xf>
    <xf numFmtId="0" fontId="28" fillId="0" borderId="0" xfId="0" applyFont="1" applyAlignment="1">
      <alignment wrapText="1"/>
    </xf>
    <xf numFmtId="3" fontId="12" fillId="0" borderId="0" xfId="0" applyNumberFormat="1" applyFont="1" applyAlignment="1">
      <alignment vertical="top" wrapText="1"/>
    </xf>
    <xf numFmtId="3" fontId="6" fillId="0" borderId="0" xfId="0" applyNumberFormat="1" applyFont="1"/>
    <xf numFmtId="0" fontId="12" fillId="0" borderId="1" xfId="0" applyFont="1" applyBorder="1"/>
    <xf numFmtId="3" fontId="23" fillId="0" borderId="0" xfId="0" applyNumberFormat="1" applyFont="1" applyProtection="1">
      <protection locked="0"/>
    </xf>
    <xf numFmtId="168" fontId="23" fillId="0" borderId="0" xfId="9" applyNumberFormat="1" applyFont="1" applyProtection="1">
      <protection locked="0"/>
    </xf>
    <xf numFmtId="0" fontId="23" fillId="0" borderId="0" xfId="0" applyFont="1" applyProtection="1">
      <protection locked="0"/>
    </xf>
    <xf numFmtId="3" fontId="23" fillId="0" borderId="1" xfId="0" applyNumberFormat="1" applyFont="1" applyBorder="1" applyProtection="1">
      <protection locked="0"/>
    </xf>
    <xf numFmtId="0" fontId="2" fillId="0" borderId="0" xfId="0" applyFont="1" applyAlignment="1">
      <alignment horizontal="right"/>
    </xf>
    <xf numFmtId="165" fontId="4" fillId="0" borderId="0" xfId="1" applyNumberFormat="1" applyFont="1" applyProtection="1"/>
    <xf numFmtId="10" fontId="4" fillId="0" borderId="0" xfId="9" applyNumberFormat="1" applyFont="1" applyProtection="1"/>
    <xf numFmtId="9" fontId="4" fillId="0" borderId="0" xfId="9" applyFont="1" applyProtection="1"/>
    <xf numFmtId="0" fontId="3" fillId="0" borderId="0" xfId="0" applyFont="1"/>
    <xf numFmtId="10" fontId="2" fillId="0" borderId="0" xfId="9" applyNumberFormat="1" applyFont="1"/>
    <xf numFmtId="9" fontId="4" fillId="0" borderId="0" xfId="9" applyFont="1" applyProtection="1">
      <protection locked="0"/>
    </xf>
    <xf numFmtId="3" fontId="2" fillId="0" borderId="0" xfId="0" applyNumberFormat="1" applyFont="1" applyAlignment="1">
      <alignment horizontal="left"/>
    </xf>
    <xf numFmtId="168" fontId="4" fillId="0" borderId="0" xfId="0" applyNumberFormat="1" applyFont="1"/>
    <xf numFmtId="3" fontId="4" fillId="0" borderId="0" xfId="0" applyNumberFormat="1" applyFont="1" applyProtection="1">
      <protection locked="0"/>
    </xf>
    <xf numFmtId="166" fontId="0" fillId="0" borderId="0" xfId="0" applyNumberFormat="1"/>
    <xf numFmtId="168" fontId="0" fillId="0" borderId="0" xfId="0" applyNumberFormat="1"/>
    <xf numFmtId="166" fontId="0" fillId="0" borderId="0" xfId="0" applyNumberFormat="1" applyAlignment="1">
      <alignment vertical="center"/>
    </xf>
    <xf numFmtId="3" fontId="0" fillId="0" borderId="0" xfId="0" applyNumberFormat="1"/>
    <xf numFmtId="165" fontId="0" fillId="0" borderId="0" xfId="0" applyNumberFormat="1"/>
    <xf numFmtId="0" fontId="0" fillId="2" borderId="0" xfId="0" applyFill="1"/>
    <xf numFmtId="3" fontId="0" fillId="2" borderId="0" xfId="0" applyNumberFormat="1" applyFill="1"/>
    <xf numFmtId="165" fontId="0" fillId="2" borderId="0" xfId="0" applyNumberFormat="1" applyFill="1"/>
    <xf numFmtId="0" fontId="11" fillId="2" borderId="0" xfId="0" applyFont="1" applyFill="1"/>
    <xf numFmtId="0" fontId="29" fillId="3" borderId="11" xfId="0" applyFont="1" applyFill="1" applyBorder="1" applyProtection="1">
      <protection locked="0"/>
    </xf>
    <xf numFmtId="0" fontId="17" fillId="0" borderId="0" xfId="0" applyFont="1" applyAlignment="1">
      <alignment horizontal="center" vertical="center"/>
    </xf>
    <xf numFmtId="0" fontId="2" fillId="2" borderId="0" xfId="0" quotePrefix="1" applyFont="1" applyFill="1"/>
    <xf numFmtId="0" fontId="2" fillId="0" borderId="5" xfId="0" applyFont="1" applyBorder="1"/>
    <xf numFmtId="0" fontId="14" fillId="0" borderId="0" xfId="0" applyFont="1"/>
    <xf numFmtId="3" fontId="12" fillId="0" borderId="0" xfId="0" applyNumberFormat="1" applyFont="1" applyAlignment="1">
      <alignment horizontal="left" vertical="top" wrapText="1"/>
    </xf>
    <xf numFmtId="0" fontId="8" fillId="0" borderId="2" xfId="0" applyFont="1" applyBorder="1" applyAlignment="1">
      <alignment horizontal="center"/>
    </xf>
    <xf numFmtId="0" fontId="8" fillId="0" borderId="3" xfId="0" applyFont="1" applyBorder="1" applyAlignment="1">
      <alignment horizontal="center"/>
    </xf>
    <xf numFmtId="0" fontId="8" fillId="0" borderId="4" xfId="0" applyFont="1" applyBorder="1" applyAlignment="1">
      <alignment horizontal="center"/>
    </xf>
    <xf numFmtId="0" fontId="30" fillId="0" borderId="0" xfId="10" applyAlignment="1">
      <alignment horizontal="center" vertical="center"/>
    </xf>
  </cellXfs>
  <cellStyles count="11">
    <cellStyle name="Currency" xfId="1" builtinId="4"/>
    <cellStyle name="Hyperlink" xfId="10" builtinId="8"/>
    <cellStyle name="Hyperlink 2" xfId="2" xr:uid="{00000000-0005-0000-0000-000002000000}"/>
    <cellStyle name="Normal" xfId="0" builtinId="0"/>
    <cellStyle name="Normal 2" xfId="3" xr:uid="{00000000-0005-0000-0000-000004000000}"/>
    <cellStyle name="Normal 2 2" xfId="4" xr:uid="{00000000-0005-0000-0000-000005000000}"/>
    <cellStyle name="Normal 3" xfId="5" xr:uid="{00000000-0005-0000-0000-000006000000}"/>
    <cellStyle name="Normal 4" xfId="6" xr:uid="{00000000-0005-0000-0000-000007000000}"/>
    <cellStyle name="Normal 5" xfId="7" xr:uid="{00000000-0005-0000-0000-000008000000}"/>
    <cellStyle name="Normal 6" xfId="8" xr:uid="{00000000-0005-0000-0000-000009000000}"/>
    <cellStyle name="Percent" xfId="9"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DATA (hide)'!$H$115</c:f>
          <c:strCache>
            <c:ptCount val="1"/>
            <c:pt idx="0">
              <c:v>Indemnity = $8,379 or $57/head</c:v>
            </c:pt>
          </c:strCache>
        </c:strRef>
      </c:tx>
      <c:layout>
        <c:manualLayout>
          <c:xMode val="edge"/>
          <c:yMode val="edge"/>
          <c:x val="0.23427597779785725"/>
          <c:y val="3.0045960412153721E-2"/>
        </c:manualLayout>
      </c:layout>
      <c:overlay val="0"/>
      <c:txPr>
        <a:bodyPr/>
        <a:lstStyle/>
        <a:p>
          <a:pPr algn="ctr">
            <a:defRPr sz="1600" b="1" i="0" u="none" strike="noStrike" baseline="0">
              <a:solidFill>
                <a:sysClr val="windowText" lastClr="000000"/>
              </a:solidFill>
              <a:latin typeface="Calibri"/>
              <a:ea typeface="Calibri"/>
              <a:cs typeface="Calibri"/>
            </a:defRPr>
          </a:pPr>
          <a:endParaRPr lang="en-US"/>
        </a:p>
      </c:txPr>
    </c:title>
    <c:autoTitleDeleted val="0"/>
    <c:plotArea>
      <c:layout>
        <c:manualLayout>
          <c:layoutTarget val="inner"/>
          <c:xMode val="edge"/>
          <c:yMode val="edge"/>
          <c:x val="0.17941559323005926"/>
          <c:y val="0.16439569507959978"/>
          <c:w val="0.72574797929215273"/>
          <c:h val="0.58976079955071115"/>
        </c:manualLayout>
      </c:layout>
      <c:barChart>
        <c:barDir val="col"/>
        <c:grouping val="clustered"/>
        <c:varyColors val="0"/>
        <c:ser>
          <c:idx val="3"/>
          <c:order val="0"/>
          <c:tx>
            <c:strRef>
              <c:f>'Chart DATA (hide)'!$F$116</c:f>
              <c:strCache>
                <c:ptCount val="1"/>
                <c:pt idx="0">
                  <c:v>Historic Grazing Days</c:v>
                </c:pt>
              </c:strCache>
            </c:strRef>
          </c:tx>
          <c:spPr>
            <a:solidFill>
              <a:schemeClr val="bg1">
                <a:lumMod val="65000"/>
              </a:schemeClr>
            </a:solidFill>
            <a:ln>
              <a:solidFill>
                <a:schemeClr val="bg1">
                  <a:lumMod val="50000"/>
                </a:schemeClr>
              </a:solidFill>
            </a:ln>
          </c:spPr>
          <c:invertIfNegative val="0"/>
          <c:dPt>
            <c:idx val="1"/>
            <c:invertIfNegative val="0"/>
            <c:bubble3D val="0"/>
            <c:spPr>
              <a:solidFill>
                <a:schemeClr val="bg1">
                  <a:lumMod val="65000"/>
                </a:schemeClr>
              </a:solidFill>
              <a:ln>
                <a:solidFill>
                  <a:schemeClr val="bg1">
                    <a:lumMod val="50000"/>
                  </a:schemeClr>
                </a:solidFill>
              </a:ln>
            </c:spPr>
            <c:extLst>
              <c:ext xmlns:c16="http://schemas.microsoft.com/office/drawing/2014/chart" uri="{C3380CC4-5D6E-409C-BE32-E72D297353CC}">
                <c16:uniqueId val="{00000001-B06A-438C-9C5B-BBDD50D70D46}"/>
              </c:ext>
            </c:extLst>
          </c:dPt>
          <c:dLbls>
            <c:spPr>
              <a:noFill/>
              <a:ln>
                <a:noFill/>
              </a:ln>
              <a:effectLst/>
            </c:spPr>
            <c:txPr>
              <a:bodyPr wrap="square" lIns="38100" tIns="19050" rIns="38100" bIns="19050" anchor="ctr">
                <a:spAutoFit/>
              </a:bodyPr>
              <a:lstStyle/>
              <a:p>
                <a:pPr>
                  <a:defRPr sz="1200" b="1"/>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'Chart DATA (hide)'!$D$125:$D$127</c:f>
              <c:numCache>
                <c:formatCode>General</c:formatCode>
                <c:ptCount val="3"/>
              </c:numCache>
            </c:numRef>
          </c:cat>
          <c:val>
            <c:numRef>
              <c:f>'Chart DATA (hide)'!$F$117:$F$119</c:f>
              <c:numCache>
                <c:formatCode>#,##0</c:formatCode>
                <c:ptCount val="3"/>
                <c:pt idx="1">
                  <c:v>134</c:v>
                </c:pt>
              </c:numCache>
            </c:numRef>
          </c:val>
          <c:extLst>
            <c:ext xmlns:c16="http://schemas.microsoft.com/office/drawing/2014/chart" uri="{C3380CC4-5D6E-409C-BE32-E72D297353CC}">
              <c16:uniqueId val="{00000000-46BF-4B60-9298-68ADD6041D26}"/>
            </c:ext>
          </c:extLst>
        </c:ser>
        <c:ser>
          <c:idx val="4"/>
          <c:order val="1"/>
          <c:tx>
            <c:strRef>
              <c:f>'Chart DATA (hide)'!$G$116</c:f>
              <c:strCache>
                <c:ptCount val="1"/>
                <c:pt idx="0">
                  <c:v>Pasture Days Covered by AgriInsurance</c:v>
                </c:pt>
              </c:strCache>
            </c:strRef>
          </c:tx>
          <c:spPr>
            <a:solidFill>
              <a:schemeClr val="bg1">
                <a:lumMod val="95000"/>
              </a:schemeClr>
            </a:solidFill>
            <a:ln>
              <a:solidFill>
                <a:schemeClr val="bg1">
                  <a:lumMod val="50000"/>
                </a:schemeClr>
              </a:solidFill>
            </a:ln>
          </c:spPr>
          <c:invertIfNegative val="0"/>
          <c:dPt>
            <c:idx val="1"/>
            <c:invertIfNegative val="0"/>
            <c:bubble3D val="0"/>
            <c:extLst>
              <c:ext xmlns:c16="http://schemas.microsoft.com/office/drawing/2014/chart" uri="{C3380CC4-5D6E-409C-BE32-E72D297353CC}">
                <c16:uniqueId val="{00000000-B06A-438C-9C5B-BBDD50D70D46}"/>
              </c:ext>
            </c:extLst>
          </c:dPt>
          <c:dLbls>
            <c:spPr>
              <a:noFill/>
              <a:ln w="25400">
                <a:noFill/>
              </a:ln>
            </c:spPr>
            <c:txPr>
              <a:bodyPr wrap="square" lIns="38100" tIns="19050" rIns="38100" bIns="19050" anchor="ctr">
                <a:spAutoFit/>
              </a:bodyPr>
              <a:lstStyle/>
              <a:p>
                <a:pPr>
                  <a:defRPr sz="1200" b="1" i="0" u="none" strike="noStrike" baseline="0">
                    <a:solidFill>
                      <a:srgbClr val="000000"/>
                    </a:solidFill>
                    <a:latin typeface="Calibri"/>
                    <a:ea typeface="Calibri"/>
                    <a:cs typeface="Calibri"/>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'Chart DATA (hide)'!$D$125:$D$127</c:f>
              <c:numCache>
                <c:formatCode>General</c:formatCode>
                <c:ptCount val="3"/>
              </c:numCache>
            </c:numRef>
          </c:cat>
          <c:val>
            <c:numRef>
              <c:f>'Chart DATA (hide)'!$G$117:$G$119</c:f>
              <c:numCache>
                <c:formatCode>#,##0</c:formatCode>
                <c:ptCount val="3"/>
                <c:pt idx="1">
                  <c:v>121</c:v>
                </c:pt>
              </c:numCache>
            </c:numRef>
          </c:val>
          <c:extLst>
            <c:ext xmlns:c16="http://schemas.microsoft.com/office/drawing/2014/chart" uri="{C3380CC4-5D6E-409C-BE32-E72D297353CC}">
              <c16:uniqueId val="{00000001-46BF-4B60-9298-68ADD6041D26}"/>
            </c:ext>
          </c:extLst>
        </c:ser>
        <c:dLbls>
          <c:showLegendKey val="0"/>
          <c:showVal val="0"/>
          <c:showCatName val="0"/>
          <c:showSerName val="0"/>
          <c:showPercent val="0"/>
          <c:showBubbleSize val="0"/>
        </c:dLbls>
        <c:gapWidth val="150"/>
        <c:axId val="518672864"/>
        <c:axId val="1"/>
      </c:barChart>
      <c:lineChart>
        <c:grouping val="standard"/>
        <c:varyColors val="0"/>
        <c:ser>
          <c:idx val="0"/>
          <c:order val="2"/>
          <c:tx>
            <c:strRef>
              <c:f>'Chart DATA (hide)'!$H$116</c:f>
              <c:strCache>
                <c:ptCount val="1"/>
                <c:pt idx="0">
                  <c:v>101 Actual Grazing Days </c:v>
                </c:pt>
              </c:strCache>
            </c:strRef>
          </c:tx>
          <c:spPr>
            <a:ln w="44450">
              <a:solidFill>
                <a:schemeClr val="tx1"/>
              </a:solidFill>
            </a:ln>
          </c:spPr>
          <c:marker>
            <c:symbol val="none"/>
          </c:marker>
          <c:dLbls>
            <c:dLbl>
              <c:idx val="0"/>
              <c:layout>
                <c:manualLayout>
                  <c:x val="-0.10327903811234786"/>
                  <c:y val="6.1480992295317921E-2"/>
                </c:manualLayout>
              </c:layout>
              <c:spPr>
                <a:noFill/>
                <a:ln>
                  <a:noFill/>
                </a:ln>
                <a:effectLst/>
              </c:spPr>
              <c:txPr>
                <a:bodyPr wrap="square" lIns="38100" tIns="19050" rIns="38100" bIns="19050" anchor="ctr">
                  <a:noAutofit/>
                </a:bodyPr>
                <a:lstStyle/>
                <a:p>
                  <a:pPr>
                    <a:defRPr sz="1400" b="1"/>
                  </a:pPr>
                  <a:endParaRPr lang="en-US"/>
                </a:p>
              </c:txPr>
              <c:dLblPos val="r"/>
              <c:showLegendKey val="0"/>
              <c:showVal val="0"/>
              <c:showCatName val="0"/>
              <c:showSerName val="1"/>
              <c:showPercent val="0"/>
              <c:showBubbleSize val="0"/>
              <c:separator> </c:separator>
              <c:extLst>
                <c:ext xmlns:c15="http://schemas.microsoft.com/office/drawing/2012/chart" uri="{CE6537A1-D6FC-4f65-9D91-7224C49458BB}">
                  <c15:layout>
                    <c:manualLayout>
                      <c:w val="0.70727653698786241"/>
                      <c:h val="9.2356955380577421E-2"/>
                    </c:manualLayout>
                  </c15:layout>
                </c:ext>
                <c:ext xmlns:c16="http://schemas.microsoft.com/office/drawing/2014/chart" uri="{C3380CC4-5D6E-409C-BE32-E72D297353CC}">
                  <c16:uniqueId val="{00000002-46BF-4B60-9298-68ADD6041D26}"/>
                </c:ext>
              </c:extLst>
            </c:dLbl>
            <c:dLbl>
              <c:idx val="1"/>
              <c:delete val="1"/>
              <c:extLst>
                <c:ext xmlns:c15="http://schemas.microsoft.com/office/drawing/2012/chart" uri="{CE6537A1-D6FC-4f65-9D91-7224C49458BB}"/>
                <c:ext xmlns:c16="http://schemas.microsoft.com/office/drawing/2014/chart" uri="{C3380CC4-5D6E-409C-BE32-E72D297353CC}">
                  <c16:uniqueId val="{00000003-46BF-4B60-9298-68ADD6041D26}"/>
                </c:ext>
              </c:extLst>
            </c:dLbl>
            <c:dLbl>
              <c:idx val="2"/>
              <c:delete val="1"/>
              <c:extLst>
                <c:ext xmlns:c15="http://schemas.microsoft.com/office/drawing/2012/chart" uri="{CE6537A1-D6FC-4f65-9D91-7224C49458BB}"/>
                <c:ext xmlns:c16="http://schemas.microsoft.com/office/drawing/2014/chart" uri="{C3380CC4-5D6E-409C-BE32-E72D297353CC}">
                  <c16:uniqueId val="{00000004-46BF-4B60-9298-68ADD6041D26}"/>
                </c:ext>
              </c:extLst>
            </c:dLbl>
            <c:spPr>
              <a:noFill/>
              <a:ln>
                <a:noFill/>
              </a:ln>
              <a:effectLst/>
            </c:spPr>
            <c:txPr>
              <a:bodyPr wrap="square" lIns="38100" tIns="19050" rIns="38100" bIns="19050" anchor="ctr">
                <a:spAutoFit/>
              </a:bodyPr>
              <a:lstStyle/>
              <a:p>
                <a:pPr>
                  <a:defRPr sz="1400"/>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1"/>
              </c:ext>
            </c:extLst>
          </c:dLbls>
          <c:val>
            <c:numRef>
              <c:f>'Chart DATA (hide)'!$H$117:$H$119</c:f>
              <c:numCache>
                <c:formatCode>#,##0</c:formatCode>
                <c:ptCount val="3"/>
                <c:pt idx="0">
                  <c:v>101</c:v>
                </c:pt>
                <c:pt idx="1">
                  <c:v>101</c:v>
                </c:pt>
                <c:pt idx="2">
                  <c:v>101</c:v>
                </c:pt>
              </c:numCache>
            </c:numRef>
          </c:val>
          <c:smooth val="0"/>
          <c:extLst>
            <c:ext xmlns:c16="http://schemas.microsoft.com/office/drawing/2014/chart" uri="{C3380CC4-5D6E-409C-BE32-E72D297353CC}">
              <c16:uniqueId val="{00000005-46BF-4B60-9298-68ADD6041D26}"/>
            </c:ext>
          </c:extLst>
        </c:ser>
        <c:dLbls>
          <c:showLegendKey val="0"/>
          <c:showVal val="0"/>
          <c:showCatName val="0"/>
          <c:showSerName val="0"/>
          <c:showPercent val="0"/>
          <c:showBubbleSize val="0"/>
        </c:dLbls>
        <c:marker val="1"/>
        <c:smooth val="0"/>
        <c:axId val="518672864"/>
        <c:axId val="1"/>
      </c:lineChart>
      <c:catAx>
        <c:axId val="518672864"/>
        <c:scaling>
          <c:orientation val="minMax"/>
        </c:scaling>
        <c:delete val="0"/>
        <c:axPos val="b"/>
        <c:numFmt formatCode="General" sourceLinked="1"/>
        <c:majorTickMark val="cross"/>
        <c:minorTickMark val="none"/>
        <c:tickLblPos val="low"/>
        <c:txPr>
          <a:bodyPr rot="0" vert="horz"/>
          <a:lstStyle/>
          <a:p>
            <a:pPr>
              <a:defRPr sz="14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in val="0"/>
        </c:scaling>
        <c:delete val="0"/>
        <c:axPos val="l"/>
        <c:majorGridlines/>
        <c:title>
          <c:tx>
            <c:rich>
              <a:bodyPr/>
              <a:lstStyle/>
              <a:p>
                <a:pPr>
                  <a:defRPr sz="1200" b="1" i="0" u="none" strike="noStrike" baseline="0">
                    <a:solidFill>
                      <a:srgbClr val="000000"/>
                    </a:solidFill>
                    <a:latin typeface="Calibri"/>
                    <a:ea typeface="Calibri"/>
                    <a:cs typeface="Calibri"/>
                  </a:defRPr>
                </a:pPr>
                <a:r>
                  <a:rPr lang="en-US" sz="1200"/>
                  <a:t>Days on Pasture</a:t>
                </a:r>
              </a:p>
            </c:rich>
          </c:tx>
          <c:layout>
            <c:manualLayout>
              <c:xMode val="edge"/>
              <c:yMode val="edge"/>
              <c:x val="3.5786179244006788E-2"/>
              <c:y val="0.29996985860638392"/>
            </c:manualLayout>
          </c:layout>
          <c:overlay val="0"/>
        </c:title>
        <c:numFmt formatCode="General" sourceLinked="1"/>
        <c:majorTickMark val="in"/>
        <c:minorTickMark val="none"/>
        <c:tickLblPos val="nextTo"/>
        <c:txPr>
          <a:bodyPr rot="0" vert="horz"/>
          <a:lstStyle/>
          <a:p>
            <a:pPr>
              <a:defRPr sz="1100" b="1" i="0" u="none" strike="noStrike" baseline="0">
                <a:solidFill>
                  <a:srgbClr val="000000"/>
                </a:solidFill>
                <a:latin typeface="Calibri"/>
                <a:ea typeface="Calibri"/>
                <a:cs typeface="Calibri"/>
              </a:defRPr>
            </a:pPr>
            <a:endParaRPr lang="en-US"/>
          </a:p>
        </c:txPr>
        <c:crossAx val="518672864"/>
        <c:crosses val="autoZero"/>
        <c:crossBetween val="between"/>
        <c:majorUnit val="25"/>
      </c:valAx>
      <c:spPr>
        <a:noFill/>
        <a:ln>
          <a:solidFill>
            <a:schemeClr val="tx1"/>
          </a:solidFill>
        </a:ln>
      </c:spPr>
    </c:plotArea>
    <c:legend>
      <c:legendPos val="b"/>
      <c:legendEntry>
        <c:idx val="2"/>
        <c:delete val="1"/>
      </c:legendEntry>
      <c:layout>
        <c:manualLayout>
          <c:xMode val="edge"/>
          <c:yMode val="edge"/>
          <c:x val="3.1612836238316455E-2"/>
          <c:y val="0.81120792215383564"/>
          <c:w val="0.88324143900437324"/>
          <c:h val="0.15326109856609793"/>
        </c:manualLayout>
      </c:layout>
      <c:overlay val="0"/>
      <c:txPr>
        <a:bodyPr/>
        <a:lstStyle/>
        <a:p>
          <a:pPr>
            <a:defRPr sz="1200" b="0" i="0" u="none" strike="noStrike" baseline="0">
              <a:solidFill>
                <a:srgbClr val="000000"/>
              </a:solidFill>
              <a:latin typeface="Calibri"/>
              <a:ea typeface="Calibri"/>
              <a:cs typeface="Calibri"/>
            </a:defRPr>
          </a:pPr>
          <a:endParaRPr lang="en-US"/>
        </a:p>
      </c:txPr>
    </c:legend>
    <c:plotVisOnly val="1"/>
    <c:dispBlanksAs val="gap"/>
    <c:showDLblsOverMax val="0"/>
  </c:chart>
  <c:spPr>
    <a:ln>
      <a:solidFill>
        <a:schemeClr val="tx1"/>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78" l="0.70000000000000062" r="0.70000000000000062" t="0.75000000000000078"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a:t>Indemnity Based on Days on Pasture</a:t>
            </a:r>
          </a:p>
        </c:rich>
      </c:tx>
      <c:overlay val="0"/>
    </c:title>
    <c:autoTitleDeleted val="0"/>
    <c:plotArea>
      <c:layout>
        <c:manualLayout>
          <c:layoutTarget val="inner"/>
          <c:xMode val="edge"/>
          <c:yMode val="edge"/>
          <c:x val="0.1835212775992853"/>
          <c:y val="0.18452991452991452"/>
          <c:w val="0.78547097046273029"/>
          <c:h val="0.5545864459250287"/>
        </c:manualLayout>
      </c:layout>
      <c:lineChart>
        <c:grouping val="standard"/>
        <c:varyColors val="0"/>
        <c:ser>
          <c:idx val="0"/>
          <c:order val="0"/>
          <c:tx>
            <c:strRef>
              <c:f>'Chart DATA (hide)'!$D$31</c:f>
              <c:strCache>
                <c:ptCount val="1"/>
                <c:pt idx="0">
                  <c:v>Pasture Insurance Indemnity</c:v>
                </c:pt>
              </c:strCache>
            </c:strRef>
          </c:tx>
          <c:spPr>
            <a:ln w="28575" cap="rnd">
              <a:solidFill>
                <a:schemeClr val="tx1"/>
              </a:solidFill>
              <a:round/>
            </a:ln>
            <a:effectLst/>
          </c:spPr>
          <c:marker>
            <c:symbol val="none"/>
          </c:marker>
          <c:cat>
            <c:numRef>
              <c:f>'Chart DATA (hide)'!$G$32:$G$113</c:f>
              <c:numCache>
                <c:formatCode>General</c:formatCode>
                <c:ptCount val="82"/>
                <c:pt idx="0">
                  <c:v>121</c:v>
                </c:pt>
                <c:pt idx="1">
                  <c:v>120</c:v>
                </c:pt>
                <c:pt idx="2">
                  <c:v>119</c:v>
                </c:pt>
                <c:pt idx="3">
                  <c:v>118</c:v>
                </c:pt>
                <c:pt idx="4">
                  <c:v>117</c:v>
                </c:pt>
                <c:pt idx="5">
                  <c:v>116</c:v>
                </c:pt>
                <c:pt idx="6">
                  <c:v>115</c:v>
                </c:pt>
                <c:pt idx="7">
                  <c:v>114</c:v>
                </c:pt>
                <c:pt idx="8">
                  <c:v>113</c:v>
                </c:pt>
                <c:pt idx="9">
                  <c:v>112</c:v>
                </c:pt>
                <c:pt idx="10">
                  <c:v>111</c:v>
                </c:pt>
                <c:pt idx="11">
                  <c:v>110</c:v>
                </c:pt>
                <c:pt idx="12">
                  <c:v>109</c:v>
                </c:pt>
                <c:pt idx="13">
                  <c:v>108</c:v>
                </c:pt>
                <c:pt idx="14">
                  <c:v>107</c:v>
                </c:pt>
                <c:pt idx="15">
                  <c:v>106</c:v>
                </c:pt>
                <c:pt idx="16">
                  <c:v>105</c:v>
                </c:pt>
                <c:pt idx="17">
                  <c:v>104</c:v>
                </c:pt>
                <c:pt idx="18">
                  <c:v>103</c:v>
                </c:pt>
                <c:pt idx="19">
                  <c:v>102</c:v>
                </c:pt>
                <c:pt idx="20">
                  <c:v>101</c:v>
                </c:pt>
                <c:pt idx="21">
                  <c:v>100</c:v>
                </c:pt>
                <c:pt idx="22">
                  <c:v>99</c:v>
                </c:pt>
                <c:pt idx="23">
                  <c:v>98</c:v>
                </c:pt>
                <c:pt idx="24">
                  <c:v>97</c:v>
                </c:pt>
                <c:pt idx="25">
                  <c:v>96</c:v>
                </c:pt>
                <c:pt idx="26">
                  <c:v>95</c:v>
                </c:pt>
                <c:pt idx="27">
                  <c:v>94</c:v>
                </c:pt>
                <c:pt idx="28">
                  <c:v>93</c:v>
                </c:pt>
                <c:pt idx="29">
                  <c:v>92</c:v>
                </c:pt>
                <c:pt idx="30">
                  <c:v>91</c:v>
                </c:pt>
                <c:pt idx="31">
                  <c:v>90</c:v>
                </c:pt>
                <c:pt idx="32">
                  <c:v>89</c:v>
                </c:pt>
                <c:pt idx="33">
                  <c:v>88</c:v>
                </c:pt>
                <c:pt idx="34">
                  <c:v>87</c:v>
                </c:pt>
                <c:pt idx="35">
                  <c:v>86</c:v>
                </c:pt>
                <c:pt idx="36">
                  <c:v>85</c:v>
                </c:pt>
                <c:pt idx="37">
                  <c:v>84</c:v>
                </c:pt>
                <c:pt idx="38">
                  <c:v>83</c:v>
                </c:pt>
                <c:pt idx="39">
                  <c:v>82</c:v>
                </c:pt>
                <c:pt idx="40">
                  <c:v>81</c:v>
                </c:pt>
                <c:pt idx="41">
                  <c:v>80</c:v>
                </c:pt>
                <c:pt idx="42">
                  <c:v>79</c:v>
                </c:pt>
                <c:pt idx="43">
                  <c:v>78</c:v>
                </c:pt>
                <c:pt idx="44">
                  <c:v>77</c:v>
                </c:pt>
                <c:pt idx="45">
                  <c:v>76</c:v>
                </c:pt>
                <c:pt idx="46">
                  <c:v>75</c:v>
                </c:pt>
                <c:pt idx="47">
                  <c:v>74</c:v>
                </c:pt>
                <c:pt idx="48">
                  <c:v>73</c:v>
                </c:pt>
                <c:pt idx="49">
                  <c:v>72</c:v>
                </c:pt>
                <c:pt idx="50">
                  <c:v>71</c:v>
                </c:pt>
                <c:pt idx="51">
                  <c:v>70</c:v>
                </c:pt>
                <c:pt idx="52">
                  <c:v>69</c:v>
                </c:pt>
                <c:pt idx="53">
                  <c:v>68</c:v>
                </c:pt>
                <c:pt idx="54">
                  <c:v>67</c:v>
                </c:pt>
                <c:pt idx="55">
                  <c:v>66</c:v>
                </c:pt>
                <c:pt idx="56">
                  <c:v>65</c:v>
                </c:pt>
                <c:pt idx="57">
                  <c:v>64</c:v>
                </c:pt>
                <c:pt idx="58">
                  <c:v>63</c:v>
                </c:pt>
                <c:pt idx="59">
                  <c:v>62</c:v>
                </c:pt>
                <c:pt idx="60">
                  <c:v>61</c:v>
                </c:pt>
                <c:pt idx="61">
                  <c:v>60</c:v>
                </c:pt>
                <c:pt idx="62">
                  <c:v>59</c:v>
                </c:pt>
                <c:pt idx="63">
                  <c:v>58</c:v>
                </c:pt>
                <c:pt idx="64">
                  <c:v>57</c:v>
                </c:pt>
                <c:pt idx="65">
                  <c:v>56</c:v>
                </c:pt>
                <c:pt idx="66">
                  <c:v>55</c:v>
                </c:pt>
                <c:pt idx="67">
                  <c:v>54</c:v>
                </c:pt>
                <c:pt idx="68">
                  <c:v>53</c:v>
                </c:pt>
                <c:pt idx="69">
                  <c:v>52</c:v>
                </c:pt>
                <c:pt idx="70">
                  <c:v>51</c:v>
                </c:pt>
                <c:pt idx="71">
                  <c:v>50</c:v>
                </c:pt>
                <c:pt idx="72">
                  <c:v>49</c:v>
                </c:pt>
                <c:pt idx="73">
                  <c:v>48</c:v>
                </c:pt>
                <c:pt idx="74">
                  <c:v>47</c:v>
                </c:pt>
                <c:pt idx="75">
                  <c:v>46</c:v>
                </c:pt>
                <c:pt idx="76">
                  <c:v>45</c:v>
                </c:pt>
                <c:pt idx="77">
                  <c:v>44</c:v>
                </c:pt>
                <c:pt idx="78">
                  <c:v>43</c:v>
                </c:pt>
                <c:pt idx="79">
                  <c:v>42</c:v>
                </c:pt>
                <c:pt idx="80">
                  <c:v>41</c:v>
                </c:pt>
                <c:pt idx="81">
                  <c:v>40</c:v>
                </c:pt>
              </c:numCache>
            </c:numRef>
          </c:cat>
          <c:val>
            <c:numRef>
              <c:f>'Chart DATA (hide)'!$H$32:$H$113</c:f>
              <c:numCache>
                <c:formatCode>"$"#,##0</c:formatCode>
                <c:ptCount val="82"/>
                <c:pt idx="0">
                  <c:v>0</c:v>
                </c:pt>
                <c:pt idx="1">
                  <c:v>256.5</c:v>
                </c:pt>
                <c:pt idx="2">
                  <c:v>684</c:v>
                </c:pt>
                <c:pt idx="3">
                  <c:v>1111.5</c:v>
                </c:pt>
                <c:pt idx="4">
                  <c:v>1539</c:v>
                </c:pt>
                <c:pt idx="5">
                  <c:v>1966.5</c:v>
                </c:pt>
                <c:pt idx="6">
                  <c:v>2394</c:v>
                </c:pt>
                <c:pt idx="7">
                  <c:v>2821.5</c:v>
                </c:pt>
                <c:pt idx="8">
                  <c:v>3249</c:v>
                </c:pt>
                <c:pt idx="9">
                  <c:v>3676.5</c:v>
                </c:pt>
                <c:pt idx="10">
                  <c:v>4104</c:v>
                </c:pt>
                <c:pt idx="11">
                  <c:v>4531.5</c:v>
                </c:pt>
                <c:pt idx="12">
                  <c:v>4959</c:v>
                </c:pt>
                <c:pt idx="13">
                  <c:v>5386.5</c:v>
                </c:pt>
                <c:pt idx="14">
                  <c:v>5814</c:v>
                </c:pt>
                <c:pt idx="15">
                  <c:v>6241.5</c:v>
                </c:pt>
                <c:pt idx="16">
                  <c:v>6669</c:v>
                </c:pt>
                <c:pt idx="17">
                  <c:v>7096.5</c:v>
                </c:pt>
                <c:pt idx="18">
                  <c:v>7524</c:v>
                </c:pt>
                <c:pt idx="19">
                  <c:v>7951.5</c:v>
                </c:pt>
                <c:pt idx="20">
                  <c:v>8379</c:v>
                </c:pt>
                <c:pt idx="21">
                  <c:v>8806.5</c:v>
                </c:pt>
                <c:pt idx="22">
                  <c:v>9234</c:v>
                </c:pt>
                <c:pt idx="23">
                  <c:v>9661.5</c:v>
                </c:pt>
                <c:pt idx="24">
                  <c:v>10089</c:v>
                </c:pt>
                <c:pt idx="25">
                  <c:v>10516.5</c:v>
                </c:pt>
                <c:pt idx="26">
                  <c:v>10944</c:v>
                </c:pt>
                <c:pt idx="27">
                  <c:v>11371.5</c:v>
                </c:pt>
                <c:pt idx="28">
                  <c:v>11799</c:v>
                </c:pt>
                <c:pt idx="29">
                  <c:v>12226.5</c:v>
                </c:pt>
                <c:pt idx="30">
                  <c:v>12654</c:v>
                </c:pt>
                <c:pt idx="31">
                  <c:v>13081.5</c:v>
                </c:pt>
                <c:pt idx="32">
                  <c:v>13509</c:v>
                </c:pt>
                <c:pt idx="33">
                  <c:v>13936.5</c:v>
                </c:pt>
                <c:pt idx="34">
                  <c:v>14364</c:v>
                </c:pt>
                <c:pt idx="35">
                  <c:v>14791.5</c:v>
                </c:pt>
                <c:pt idx="36">
                  <c:v>15219</c:v>
                </c:pt>
                <c:pt idx="37">
                  <c:v>15646.5</c:v>
                </c:pt>
                <c:pt idx="38">
                  <c:v>16074</c:v>
                </c:pt>
                <c:pt idx="39">
                  <c:v>16501.5</c:v>
                </c:pt>
                <c:pt idx="40">
                  <c:v>16929</c:v>
                </c:pt>
                <c:pt idx="41">
                  <c:v>17356.5</c:v>
                </c:pt>
                <c:pt idx="42">
                  <c:v>17784</c:v>
                </c:pt>
                <c:pt idx="43">
                  <c:v>18211.5</c:v>
                </c:pt>
                <c:pt idx="44">
                  <c:v>18639</c:v>
                </c:pt>
                <c:pt idx="45">
                  <c:v>19066.5</c:v>
                </c:pt>
                <c:pt idx="46">
                  <c:v>19494</c:v>
                </c:pt>
                <c:pt idx="47">
                  <c:v>19921.5</c:v>
                </c:pt>
                <c:pt idx="48">
                  <c:v>20349</c:v>
                </c:pt>
                <c:pt idx="49">
                  <c:v>20776.5</c:v>
                </c:pt>
                <c:pt idx="50">
                  <c:v>21204</c:v>
                </c:pt>
                <c:pt idx="51">
                  <c:v>21631.5</c:v>
                </c:pt>
                <c:pt idx="52">
                  <c:v>22059</c:v>
                </c:pt>
                <c:pt idx="53">
                  <c:v>22486.5</c:v>
                </c:pt>
                <c:pt idx="54">
                  <c:v>22914</c:v>
                </c:pt>
                <c:pt idx="55">
                  <c:v>23341.5</c:v>
                </c:pt>
                <c:pt idx="56">
                  <c:v>23769</c:v>
                </c:pt>
                <c:pt idx="57">
                  <c:v>24196.5</c:v>
                </c:pt>
                <c:pt idx="58">
                  <c:v>24624</c:v>
                </c:pt>
                <c:pt idx="59">
                  <c:v>25051.5</c:v>
                </c:pt>
                <c:pt idx="60">
                  <c:v>25479</c:v>
                </c:pt>
                <c:pt idx="61">
                  <c:v>25906.5</c:v>
                </c:pt>
                <c:pt idx="62">
                  <c:v>26334</c:v>
                </c:pt>
                <c:pt idx="63">
                  <c:v>26761.5</c:v>
                </c:pt>
                <c:pt idx="64">
                  <c:v>27189</c:v>
                </c:pt>
                <c:pt idx="65">
                  <c:v>27616.5</c:v>
                </c:pt>
                <c:pt idx="66">
                  <c:v>28044</c:v>
                </c:pt>
                <c:pt idx="67">
                  <c:v>28471.5</c:v>
                </c:pt>
                <c:pt idx="68">
                  <c:v>28899</c:v>
                </c:pt>
                <c:pt idx="69">
                  <c:v>29326.5</c:v>
                </c:pt>
                <c:pt idx="70">
                  <c:v>29754</c:v>
                </c:pt>
                <c:pt idx="71">
                  <c:v>30181.5</c:v>
                </c:pt>
                <c:pt idx="72">
                  <c:v>30609</c:v>
                </c:pt>
                <c:pt idx="73">
                  <c:v>31036.5</c:v>
                </c:pt>
                <c:pt idx="74">
                  <c:v>31464</c:v>
                </c:pt>
                <c:pt idx="75">
                  <c:v>31891.5</c:v>
                </c:pt>
                <c:pt idx="76">
                  <c:v>32319</c:v>
                </c:pt>
                <c:pt idx="77">
                  <c:v>32746.5</c:v>
                </c:pt>
                <c:pt idx="78">
                  <c:v>33174</c:v>
                </c:pt>
                <c:pt idx="79">
                  <c:v>33601.5</c:v>
                </c:pt>
                <c:pt idx="80">
                  <c:v>34029</c:v>
                </c:pt>
                <c:pt idx="81">
                  <c:v>34456.5</c:v>
                </c:pt>
              </c:numCache>
            </c:numRef>
          </c:val>
          <c:smooth val="0"/>
          <c:extLst>
            <c:ext xmlns:c16="http://schemas.microsoft.com/office/drawing/2014/chart" uri="{C3380CC4-5D6E-409C-BE32-E72D297353CC}">
              <c16:uniqueId val="{00000000-355A-47B4-9507-9D80C535FC83}"/>
            </c:ext>
          </c:extLst>
        </c:ser>
        <c:ser>
          <c:idx val="1"/>
          <c:order val="1"/>
          <c:tx>
            <c:strRef>
              <c:f>'Chart DATA (hide)'!$F$31</c:f>
              <c:strCache>
                <c:ptCount val="1"/>
                <c:pt idx="0">
                  <c:v>Breakeven</c:v>
                </c:pt>
              </c:strCache>
            </c:strRef>
          </c:tx>
          <c:spPr>
            <a:ln w="28575" cap="rnd">
              <a:solidFill>
                <a:schemeClr val="tx1"/>
              </a:solidFill>
              <a:prstDash val="dash"/>
              <a:round/>
            </a:ln>
            <a:effectLst/>
          </c:spPr>
          <c:marker>
            <c:symbol val="none"/>
          </c:marker>
          <c:cat>
            <c:numRef>
              <c:f>'Chart DATA (hide)'!$G$32:$G$113</c:f>
              <c:numCache>
                <c:formatCode>General</c:formatCode>
                <c:ptCount val="82"/>
                <c:pt idx="0">
                  <c:v>121</c:v>
                </c:pt>
                <c:pt idx="1">
                  <c:v>120</c:v>
                </c:pt>
                <c:pt idx="2">
                  <c:v>119</c:v>
                </c:pt>
                <c:pt idx="3">
                  <c:v>118</c:v>
                </c:pt>
                <c:pt idx="4">
                  <c:v>117</c:v>
                </c:pt>
                <c:pt idx="5">
                  <c:v>116</c:v>
                </c:pt>
                <c:pt idx="6">
                  <c:v>115</c:v>
                </c:pt>
                <c:pt idx="7">
                  <c:v>114</c:v>
                </c:pt>
                <c:pt idx="8">
                  <c:v>113</c:v>
                </c:pt>
                <c:pt idx="9">
                  <c:v>112</c:v>
                </c:pt>
                <c:pt idx="10">
                  <c:v>111</c:v>
                </c:pt>
                <c:pt idx="11">
                  <c:v>110</c:v>
                </c:pt>
                <c:pt idx="12">
                  <c:v>109</c:v>
                </c:pt>
                <c:pt idx="13">
                  <c:v>108</c:v>
                </c:pt>
                <c:pt idx="14">
                  <c:v>107</c:v>
                </c:pt>
                <c:pt idx="15">
                  <c:v>106</c:v>
                </c:pt>
                <c:pt idx="16">
                  <c:v>105</c:v>
                </c:pt>
                <c:pt idx="17">
                  <c:v>104</c:v>
                </c:pt>
                <c:pt idx="18">
                  <c:v>103</c:v>
                </c:pt>
                <c:pt idx="19">
                  <c:v>102</c:v>
                </c:pt>
                <c:pt idx="20">
                  <c:v>101</c:v>
                </c:pt>
                <c:pt idx="21">
                  <c:v>100</c:v>
                </c:pt>
                <c:pt idx="22">
                  <c:v>99</c:v>
                </c:pt>
                <c:pt idx="23">
                  <c:v>98</c:v>
                </c:pt>
                <c:pt idx="24">
                  <c:v>97</c:v>
                </c:pt>
                <c:pt idx="25">
                  <c:v>96</c:v>
                </c:pt>
                <c:pt idx="26">
                  <c:v>95</c:v>
                </c:pt>
                <c:pt idx="27">
                  <c:v>94</c:v>
                </c:pt>
                <c:pt idx="28">
                  <c:v>93</c:v>
                </c:pt>
                <c:pt idx="29">
                  <c:v>92</c:v>
                </c:pt>
                <c:pt idx="30">
                  <c:v>91</c:v>
                </c:pt>
                <c:pt idx="31">
                  <c:v>90</c:v>
                </c:pt>
                <c:pt idx="32">
                  <c:v>89</c:v>
                </c:pt>
                <c:pt idx="33">
                  <c:v>88</c:v>
                </c:pt>
                <c:pt idx="34">
                  <c:v>87</c:v>
                </c:pt>
                <c:pt idx="35">
                  <c:v>86</c:v>
                </c:pt>
                <c:pt idx="36">
                  <c:v>85</c:v>
                </c:pt>
                <c:pt idx="37">
                  <c:v>84</c:v>
                </c:pt>
                <c:pt idx="38">
                  <c:v>83</c:v>
                </c:pt>
                <c:pt idx="39">
                  <c:v>82</c:v>
                </c:pt>
                <c:pt idx="40">
                  <c:v>81</c:v>
                </c:pt>
                <c:pt idx="41">
                  <c:v>80</c:v>
                </c:pt>
                <c:pt idx="42">
                  <c:v>79</c:v>
                </c:pt>
                <c:pt idx="43">
                  <c:v>78</c:v>
                </c:pt>
                <c:pt idx="44">
                  <c:v>77</c:v>
                </c:pt>
                <c:pt idx="45">
                  <c:v>76</c:v>
                </c:pt>
                <c:pt idx="46">
                  <c:v>75</c:v>
                </c:pt>
                <c:pt idx="47">
                  <c:v>74</c:v>
                </c:pt>
                <c:pt idx="48">
                  <c:v>73</c:v>
                </c:pt>
                <c:pt idx="49">
                  <c:v>72</c:v>
                </c:pt>
                <c:pt idx="50">
                  <c:v>71</c:v>
                </c:pt>
                <c:pt idx="51">
                  <c:v>70</c:v>
                </c:pt>
                <c:pt idx="52">
                  <c:v>69</c:v>
                </c:pt>
                <c:pt idx="53">
                  <c:v>68</c:v>
                </c:pt>
                <c:pt idx="54">
                  <c:v>67</c:v>
                </c:pt>
                <c:pt idx="55">
                  <c:v>66</c:v>
                </c:pt>
                <c:pt idx="56">
                  <c:v>65</c:v>
                </c:pt>
                <c:pt idx="57">
                  <c:v>64</c:v>
                </c:pt>
                <c:pt idx="58">
                  <c:v>63</c:v>
                </c:pt>
                <c:pt idx="59">
                  <c:v>62</c:v>
                </c:pt>
                <c:pt idx="60">
                  <c:v>61</c:v>
                </c:pt>
                <c:pt idx="61">
                  <c:v>60</c:v>
                </c:pt>
                <c:pt idx="62">
                  <c:v>59</c:v>
                </c:pt>
                <c:pt idx="63">
                  <c:v>58</c:v>
                </c:pt>
                <c:pt idx="64">
                  <c:v>57</c:v>
                </c:pt>
                <c:pt idx="65">
                  <c:v>56</c:v>
                </c:pt>
                <c:pt idx="66">
                  <c:v>55</c:v>
                </c:pt>
                <c:pt idx="67">
                  <c:v>54</c:v>
                </c:pt>
                <c:pt idx="68">
                  <c:v>53</c:v>
                </c:pt>
                <c:pt idx="69">
                  <c:v>52</c:v>
                </c:pt>
                <c:pt idx="70">
                  <c:v>51</c:v>
                </c:pt>
                <c:pt idx="71">
                  <c:v>50</c:v>
                </c:pt>
                <c:pt idx="72">
                  <c:v>49</c:v>
                </c:pt>
                <c:pt idx="73">
                  <c:v>48</c:v>
                </c:pt>
                <c:pt idx="74">
                  <c:v>47</c:v>
                </c:pt>
                <c:pt idx="75">
                  <c:v>46</c:v>
                </c:pt>
                <c:pt idx="76">
                  <c:v>45</c:v>
                </c:pt>
                <c:pt idx="77">
                  <c:v>44</c:v>
                </c:pt>
                <c:pt idx="78">
                  <c:v>43</c:v>
                </c:pt>
                <c:pt idx="79">
                  <c:v>42</c:v>
                </c:pt>
                <c:pt idx="80">
                  <c:v>41</c:v>
                </c:pt>
                <c:pt idx="81">
                  <c:v>40</c:v>
                </c:pt>
              </c:numCache>
            </c:numRef>
          </c:cat>
          <c:val>
            <c:numRef>
              <c:f>'Chart DATA (hide)'!$F$32:$F$113</c:f>
              <c:numCache>
                <c:formatCode>"$"#,##0</c:formatCode>
                <c:ptCount val="82"/>
                <c:pt idx="0">
                  <c:v>969.26220000000001</c:v>
                </c:pt>
                <c:pt idx="1">
                  <c:v>969.26220000000001</c:v>
                </c:pt>
                <c:pt idx="2">
                  <c:v>969.26220000000001</c:v>
                </c:pt>
                <c:pt idx="3">
                  <c:v>969.26220000000001</c:v>
                </c:pt>
                <c:pt idx="4">
                  <c:v>969.26220000000001</c:v>
                </c:pt>
                <c:pt idx="5">
                  <c:v>969.26220000000001</c:v>
                </c:pt>
                <c:pt idx="6">
                  <c:v>969.26220000000001</c:v>
                </c:pt>
                <c:pt idx="7">
                  <c:v>969.26220000000001</c:v>
                </c:pt>
                <c:pt idx="8">
                  <c:v>969.26220000000001</c:v>
                </c:pt>
                <c:pt idx="9">
                  <c:v>969.26220000000001</c:v>
                </c:pt>
                <c:pt idx="10">
                  <c:v>969.26220000000001</c:v>
                </c:pt>
                <c:pt idx="11">
                  <c:v>969.26220000000001</c:v>
                </c:pt>
                <c:pt idx="12">
                  <c:v>969.26220000000001</c:v>
                </c:pt>
                <c:pt idx="13">
                  <c:v>969.26220000000001</c:v>
                </c:pt>
                <c:pt idx="14">
                  <c:v>969.26220000000001</c:v>
                </c:pt>
                <c:pt idx="15">
                  <c:v>969.26220000000001</c:v>
                </c:pt>
                <c:pt idx="16">
                  <c:v>969.26220000000001</c:v>
                </c:pt>
                <c:pt idx="17">
                  <c:v>969.26220000000001</c:v>
                </c:pt>
                <c:pt idx="18">
                  <c:v>969.26220000000001</c:v>
                </c:pt>
                <c:pt idx="19">
                  <c:v>969.26220000000001</c:v>
                </c:pt>
                <c:pt idx="20">
                  <c:v>969.26220000000001</c:v>
                </c:pt>
                <c:pt idx="21">
                  <c:v>969.26220000000001</c:v>
                </c:pt>
                <c:pt idx="22">
                  <c:v>969.26220000000001</c:v>
                </c:pt>
                <c:pt idx="23">
                  <c:v>969.26220000000001</c:v>
                </c:pt>
                <c:pt idx="24">
                  <c:v>969.26220000000001</c:v>
                </c:pt>
                <c:pt idx="25">
                  <c:v>969.26220000000001</c:v>
                </c:pt>
                <c:pt idx="26">
                  <c:v>969.26220000000001</c:v>
                </c:pt>
                <c:pt idx="27">
                  <c:v>969.26220000000001</c:v>
                </c:pt>
                <c:pt idx="28">
                  <c:v>969.26220000000001</c:v>
                </c:pt>
                <c:pt idx="29">
                  <c:v>969.26220000000001</c:v>
                </c:pt>
                <c:pt idx="30">
                  <c:v>969.26220000000001</c:v>
                </c:pt>
                <c:pt idx="31">
                  <c:v>969.26220000000001</c:v>
                </c:pt>
                <c:pt idx="32">
                  <c:v>969.26220000000001</c:v>
                </c:pt>
                <c:pt idx="33">
                  <c:v>969.26220000000001</c:v>
                </c:pt>
                <c:pt idx="34">
                  <c:v>969.26220000000001</c:v>
                </c:pt>
                <c:pt idx="35">
                  <c:v>969.26220000000001</c:v>
                </c:pt>
                <c:pt idx="36">
                  <c:v>969.26220000000001</c:v>
                </c:pt>
                <c:pt idx="37">
                  <c:v>969.26220000000001</c:v>
                </c:pt>
                <c:pt idx="38">
                  <c:v>969.26220000000001</c:v>
                </c:pt>
                <c:pt idx="39">
                  <c:v>969.26220000000001</c:v>
                </c:pt>
                <c:pt idx="40">
                  <c:v>969.26220000000001</c:v>
                </c:pt>
                <c:pt idx="41">
                  <c:v>969.26220000000001</c:v>
                </c:pt>
                <c:pt idx="42">
                  <c:v>969.26220000000001</c:v>
                </c:pt>
                <c:pt idx="43">
                  <c:v>969.26220000000001</c:v>
                </c:pt>
                <c:pt idx="44">
                  <c:v>969.26220000000001</c:v>
                </c:pt>
                <c:pt idx="45">
                  <c:v>969.26220000000001</c:v>
                </c:pt>
                <c:pt idx="46">
                  <c:v>969.26220000000001</c:v>
                </c:pt>
                <c:pt idx="47">
                  <c:v>969.26220000000001</c:v>
                </c:pt>
                <c:pt idx="48">
                  <c:v>969.26220000000001</c:v>
                </c:pt>
                <c:pt idx="49">
                  <c:v>969.26220000000001</c:v>
                </c:pt>
                <c:pt idx="50">
                  <c:v>969.26220000000001</c:v>
                </c:pt>
                <c:pt idx="51">
                  <c:v>969.26220000000001</c:v>
                </c:pt>
                <c:pt idx="52">
                  <c:v>969.26220000000001</c:v>
                </c:pt>
                <c:pt idx="53">
                  <c:v>969.26220000000001</c:v>
                </c:pt>
                <c:pt idx="54">
                  <c:v>969.26220000000001</c:v>
                </c:pt>
                <c:pt idx="55">
                  <c:v>969.26220000000001</c:v>
                </c:pt>
                <c:pt idx="56">
                  <c:v>969.26220000000001</c:v>
                </c:pt>
                <c:pt idx="57">
                  <c:v>969.26220000000001</c:v>
                </c:pt>
                <c:pt idx="58">
                  <c:v>969.26220000000001</c:v>
                </c:pt>
                <c:pt idx="59">
                  <c:v>969.26220000000001</c:v>
                </c:pt>
                <c:pt idx="60">
                  <c:v>969.26220000000001</c:v>
                </c:pt>
                <c:pt idx="61">
                  <c:v>969.26220000000001</c:v>
                </c:pt>
                <c:pt idx="62">
                  <c:v>969.26220000000001</c:v>
                </c:pt>
                <c:pt idx="63">
                  <c:v>969.26220000000001</c:v>
                </c:pt>
                <c:pt idx="64">
                  <c:v>969.26220000000001</c:v>
                </c:pt>
                <c:pt idx="65">
                  <c:v>969.26220000000001</c:v>
                </c:pt>
                <c:pt idx="66">
                  <c:v>969.26220000000001</c:v>
                </c:pt>
                <c:pt idx="67">
                  <c:v>969.26220000000001</c:v>
                </c:pt>
                <c:pt idx="68">
                  <c:v>969.26220000000001</c:v>
                </c:pt>
                <c:pt idx="69">
                  <c:v>969.26220000000001</c:v>
                </c:pt>
                <c:pt idx="70">
                  <c:v>969.26220000000001</c:v>
                </c:pt>
                <c:pt idx="71">
                  <c:v>969.26220000000001</c:v>
                </c:pt>
                <c:pt idx="72">
                  <c:v>969.26220000000001</c:v>
                </c:pt>
                <c:pt idx="73">
                  <c:v>969.26220000000001</c:v>
                </c:pt>
                <c:pt idx="74">
                  <c:v>969.26220000000001</c:v>
                </c:pt>
                <c:pt idx="75">
                  <c:v>969.26220000000001</c:v>
                </c:pt>
                <c:pt idx="76">
                  <c:v>969.26220000000001</c:v>
                </c:pt>
                <c:pt idx="77">
                  <c:v>969.26220000000001</c:v>
                </c:pt>
                <c:pt idx="78">
                  <c:v>969.26220000000001</c:v>
                </c:pt>
                <c:pt idx="79">
                  <c:v>969.26220000000001</c:v>
                </c:pt>
                <c:pt idx="80">
                  <c:v>969.26220000000001</c:v>
                </c:pt>
                <c:pt idx="81">
                  <c:v>969.26220000000001</c:v>
                </c:pt>
              </c:numCache>
            </c:numRef>
          </c:val>
          <c:smooth val="0"/>
          <c:extLst>
            <c:ext xmlns:c16="http://schemas.microsoft.com/office/drawing/2014/chart" uri="{C3380CC4-5D6E-409C-BE32-E72D297353CC}">
              <c16:uniqueId val="{00000001-355A-47B4-9507-9D80C535FC83}"/>
            </c:ext>
          </c:extLst>
        </c:ser>
        <c:dLbls>
          <c:showLegendKey val="0"/>
          <c:showVal val="0"/>
          <c:showCatName val="0"/>
          <c:showSerName val="0"/>
          <c:showPercent val="0"/>
          <c:showBubbleSize val="0"/>
        </c:dLbls>
        <c:smooth val="0"/>
        <c:axId val="207576360"/>
        <c:axId val="1"/>
      </c:lineChart>
      <c:catAx>
        <c:axId val="207576360"/>
        <c:scaling>
          <c:orientation val="minMax"/>
        </c:scaling>
        <c:delete val="0"/>
        <c:axPos val="b"/>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CA" sz="1200" b="1"/>
                  <a:t>Days on Pasture</a:t>
                </a:r>
              </a:p>
            </c:rich>
          </c:tx>
          <c:overlay val="0"/>
          <c:spPr>
            <a:noFill/>
            <a:ln>
              <a:noFill/>
            </a:ln>
            <a:effectLst/>
          </c:sp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tickMarkSkip val="2"/>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out"/>
        <c:minorTickMark val="out"/>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207576360"/>
        <c:crosses val="autoZero"/>
        <c:crossBetween val="between"/>
      </c:valAx>
      <c:spPr>
        <a:noFill/>
        <a:ln w="12700">
          <a:solidFill>
            <a:schemeClr val="tx1"/>
          </a:solidFill>
        </a:ln>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DATA (hide)'!$D$29</c:f>
          <c:strCache>
            <c:ptCount val="1"/>
            <c:pt idx="0">
              <c:v>Pasture Insurance Indemnity (based on 146 Head @ 134 days historic grazing period)</c:v>
            </c:pt>
          </c:strCache>
        </c:strRef>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'Chart DATA (hide)'!$D$31</c:f>
              <c:strCache>
                <c:ptCount val="1"/>
                <c:pt idx="0">
                  <c:v>Pasture Insurance Indemnity</c:v>
                </c:pt>
              </c:strCache>
            </c:strRef>
          </c:tx>
          <c:spPr>
            <a:ln w="28575" cap="rnd">
              <a:solidFill>
                <a:schemeClr val="accent1"/>
              </a:solidFill>
              <a:round/>
            </a:ln>
            <a:effectLst/>
          </c:spPr>
          <c:marker>
            <c:symbol val="none"/>
          </c:marker>
          <c:cat>
            <c:numRef>
              <c:f>'Chart DATA (hide)'!$G$32:$G$113</c:f>
              <c:numCache>
                <c:formatCode>General</c:formatCode>
                <c:ptCount val="82"/>
                <c:pt idx="0">
                  <c:v>121</c:v>
                </c:pt>
                <c:pt idx="1">
                  <c:v>120</c:v>
                </c:pt>
                <c:pt idx="2">
                  <c:v>119</c:v>
                </c:pt>
                <c:pt idx="3">
                  <c:v>118</c:v>
                </c:pt>
                <c:pt idx="4">
                  <c:v>117</c:v>
                </c:pt>
                <c:pt idx="5">
                  <c:v>116</c:v>
                </c:pt>
                <c:pt idx="6">
                  <c:v>115</c:v>
                </c:pt>
                <c:pt idx="7">
                  <c:v>114</c:v>
                </c:pt>
                <c:pt idx="8">
                  <c:v>113</c:v>
                </c:pt>
                <c:pt idx="9">
                  <c:v>112</c:v>
                </c:pt>
                <c:pt idx="10">
                  <c:v>111</c:v>
                </c:pt>
                <c:pt idx="11">
                  <c:v>110</c:v>
                </c:pt>
                <c:pt idx="12">
                  <c:v>109</c:v>
                </c:pt>
                <c:pt idx="13">
                  <c:v>108</c:v>
                </c:pt>
                <c:pt idx="14">
                  <c:v>107</c:v>
                </c:pt>
                <c:pt idx="15">
                  <c:v>106</c:v>
                </c:pt>
                <c:pt idx="16">
                  <c:v>105</c:v>
                </c:pt>
                <c:pt idx="17">
                  <c:v>104</c:v>
                </c:pt>
                <c:pt idx="18">
                  <c:v>103</c:v>
                </c:pt>
                <c:pt idx="19">
                  <c:v>102</c:v>
                </c:pt>
                <c:pt idx="20">
                  <c:v>101</c:v>
                </c:pt>
                <c:pt idx="21">
                  <c:v>100</c:v>
                </c:pt>
                <c:pt idx="22">
                  <c:v>99</c:v>
                </c:pt>
                <c:pt idx="23">
                  <c:v>98</c:v>
                </c:pt>
                <c:pt idx="24">
                  <c:v>97</c:v>
                </c:pt>
                <c:pt idx="25">
                  <c:v>96</c:v>
                </c:pt>
                <c:pt idx="26">
                  <c:v>95</c:v>
                </c:pt>
                <c:pt idx="27">
                  <c:v>94</c:v>
                </c:pt>
                <c:pt idx="28">
                  <c:v>93</c:v>
                </c:pt>
                <c:pt idx="29">
                  <c:v>92</c:v>
                </c:pt>
                <c:pt idx="30">
                  <c:v>91</c:v>
                </c:pt>
                <c:pt idx="31">
                  <c:v>90</c:v>
                </c:pt>
                <c:pt idx="32">
                  <c:v>89</c:v>
                </c:pt>
                <c:pt idx="33">
                  <c:v>88</c:v>
                </c:pt>
                <c:pt idx="34">
                  <c:v>87</c:v>
                </c:pt>
                <c:pt idx="35">
                  <c:v>86</c:v>
                </c:pt>
                <c:pt idx="36">
                  <c:v>85</c:v>
                </c:pt>
                <c:pt idx="37">
                  <c:v>84</c:v>
                </c:pt>
                <c:pt idx="38">
                  <c:v>83</c:v>
                </c:pt>
                <c:pt idx="39">
                  <c:v>82</c:v>
                </c:pt>
                <c:pt idx="40">
                  <c:v>81</c:v>
                </c:pt>
                <c:pt idx="41">
                  <c:v>80</c:v>
                </c:pt>
                <c:pt idx="42">
                  <c:v>79</c:v>
                </c:pt>
                <c:pt idx="43">
                  <c:v>78</c:v>
                </c:pt>
                <c:pt idx="44">
                  <c:v>77</c:v>
                </c:pt>
                <c:pt idx="45">
                  <c:v>76</c:v>
                </c:pt>
                <c:pt idx="46">
                  <c:v>75</c:v>
                </c:pt>
                <c:pt idx="47">
                  <c:v>74</c:v>
                </c:pt>
                <c:pt idx="48">
                  <c:v>73</c:v>
                </c:pt>
                <c:pt idx="49">
                  <c:v>72</c:v>
                </c:pt>
                <c:pt idx="50">
                  <c:v>71</c:v>
                </c:pt>
                <c:pt idx="51">
                  <c:v>70</c:v>
                </c:pt>
                <c:pt idx="52">
                  <c:v>69</c:v>
                </c:pt>
                <c:pt idx="53">
                  <c:v>68</c:v>
                </c:pt>
                <c:pt idx="54">
                  <c:v>67</c:v>
                </c:pt>
                <c:pt idx="55">
                  <c:v>66</c:v>
                </c:pt>
                <c:pt idx="56">
                  <c:v>65</c:v>
                </c:pt>
                <c:pt idx="57">
                  <c:v>64</c:v>
                </c:pt>
                <c:pt idx="58">
                  <c:v>63</c:v>
                </c:pt>
                <c:pt idx="59">
                  <c:v>62</c:v>
                </c:pt>
                <c:pt idx="60">
                  <c:v>61</c:v>
                </c:pt>
                <c:pt idx="61">
                  <c:v>60</c:v>
                </c:pt>
                <c:pt idx="62">
                  <c:v>59</c:v>
                </c:pt>
                <c:pt idx="63">
                  <c:v>58</c:v>
                </c:pt>
                <c:pt idx="64">
                  <c:v>57</c:v>
                </c:pt>
                <c:pt idx="65">
                  <c:v>56</c:v>
                </c:pt>
                <c:pt idx="66">
                  <c:v>55</c:v>
                </c:pt>
                <c:pt idx="67">
                  <c:v>54</c:v>
                </c:pt>
                <c:pt idx="68">
                  <c:v>53</c:v>
                </c:pt>
                <c:pt idx="69">
                  <c:v>52</c:v>
                </c:pt>
                <c:pt idx="70">
                  <c:v>51</c:v>
                </c:pt>
                <c:pt idx="71">
                  <c:v>50</c:v>
                </c:pt>
                <c:pt idx="72">
                  <c:v>49</c:v>
                </c:pt>
                <c:pt idx="73">
                  <c:v>48</c:v>
                </c:pt>
                <c:pt idx="74">
                  <c:v>47</c:v>
                </c:pt>
                <c:pt idx="75">
                  <c:v>46</c:v>
                </c:pt>
                <c:pt idx="76">
                  <c:v>45</c:v>
                </c:pt>
                <c:pt idx="77">
                  <c:v>44</c:v>
                </c:pt>
                <c:pt idx="78">
                  <c:v>43</c:v>
                </c:pt>
                <c:pt idx="79">
                  <c:v>42</c:v>
                </c:pt>
                <c:pt idx="80">
                  <c:v>41</c:v>
                </c:pt>
                <c:pt idx="81">
                  <c:v>40</c:v>
                </c:pt>
              </c:numCache>
            </c:numRef>
          </c:cat>
          <c:val>
            <c:numRef>
              <c:f>'Chart DATA (hide)'!$H$32:$H$113</c:f>
              <c:numCache>
                <c:formatCode>"$"#,##0</c:formatCode>
                <c:ptCount val="82"/>
                <c:pt idx="0">
                  <c:v>0</c:v>
                </c:pt>
                <c:pt idx="1">
                  <c:v>256.5</c:v>
                </c:pt>
                <c:pt idx="2">
                  <c:v>684</c:v>
                </c:pt>
                <c:pt idx="3">
                  <c:v>1111.5</c:v>
                </c:pt>
                <c:pt idx="4">
                  <c:v>1539</c:v>
                </c:pt>
                <c:pt idx="5">
                  <c:v>1966.5</c:v>
                </c:pt>
                <c:pt idx="6">
                  <c:v>2394</c:v>
                </c:pt>
                <c:pt idx="7">
                  <c:v>2821.5</c:v>
                </c:pt>
                <c:pt idx="8">
                  <c:v>3249</c:v>
                </c:pt>
                <c:pt idx="9">
                  <c:v>3676.5</c:v>
                </c:pt>
                <c:pt idx="10">
                  <c:v>4104</c:v>
                </c:pt>
                <c:pt idx="11">
                  <c:v>4531.5</c:v>
                </c:pt>
                <c:pt idx="12">
                  <c:v>4959</c:v>
                </c:pt>
                <c:pt idx="13">
                  <c:v>5386.5</c:v>
                </c:pt>
                <c:pt idx="14">
                  <c:v>5814</c:v>
                </c:pt>
                <c:pt idx="15">
                  <c:v>6241.5</c:v>
                </c:pt>
                <c:pt idx="16">
                  <c:v>6669</c:v>
                </c:pt>
                <c:pt idx="17">
                  <c:v>7096.5</c:v>
                </c:pt>
                <c:pt idx="18">
                  <c:v>7524</c:v>
                </c:pt>
                <c:pt idx="19">
                  <c:v>7951.5</c:v>
                </c:pt>
                <c:pt idx="20">
                  <c:v>8379</c:v>
                </c:pt>
                <c:pt idx="21">
                  <c:v>8806.5</c:v>
                </c:pt>
                <c:pt idx="22">
                  <c:v>9234</c:v>
                </c:pt>
                <c:pt idx="23">
                  <c:v>9661.5</c:v>
                </c:pt>
                <c:pt idx="24">
                  <c:v>10089</c:v>
                </c:pt>
                <c:pt idx="25">
                  <c:v>10516.5</c:v>
                </c:pt>
                <c:pt idx="26">
                  <c:v>10944</c:v>
                </c:pt>
                <c:pt idx="27">
                  <c:v>11371.5</c:v>
                </c:pt>
                <c:pt idx="28">
                  <c:v>11799</c:v>
                </c:pt>
                <c:pt idx="29">
                  <c:v>12226.5</c:v>
                </c:pt>
                <c:pt idx="30">
                  <c:v>12654</c:v>
                </c:pt>
                <c:pt idx="31">
                  <c:v>13081.5</c:v>
                </c:pt>
                <c:pt idx="32">
                  <c:v>13509</c:v>
                </c:pt>
                <c:pt idx="33">
                  <c:v>13936.5</c:v>
                </c:pt>
                <c:pt idx="34">
                  <c:v>14364</c:v>
                </c:pt>
                <c:pt idx="35">
                  <c:v>14791.5</c:v>
                </c:pt>
                <c:pt idx="36">
                  <c:v>15219</c:v>
                </c:pt>
                <c:pt idx="37">
                  <c:v>15646.5</c:v>
                </c:pt>
                <c:pt idx="38">
                  <c:v>16074</c:v>
                </c:pt>
                <c:pt idx="39">
                  <c:v>16501.5</c:v>
                </c:pt>
                <c:pt idx="40">
                  <c:v>16929</c:v>
                </c:pt>
                <c:pt idx="41">
                  <c:v>17356.5</c:v>
                </c:pt>
                <c:pt idx="42">
                  <c:v>17784</c:v>
                </c:pt>
                <c:pt idx="43">
                  <c:v>18211.5</c:v>
                </c:pt>
                <c:pt idx="44">
                  <c:v>18639</c:v>
                </c:pt>
                <c:pt idx="45">
                  <c:v>19066.5</c:v>
                </c:pt>
                <c:pt idx="46">
                  <c:v>19494</c:v>
                </c:pt>
                <c:pt idx="47">
                  <c:v>19921.5</c:v>
                </c:pt>
                <c:pt idx="48">
                  <c:v>20349</c:v>
                </c:pt>
                <c:pt idx="49">
                  <c:v>20776.5</c:v>
                </c:pt>
                <c:pt idx="50">
                  <c:v>21204</c:v>
                </c:pt>
                <c:pt idx="51">
                  <c:v>21631.5</c:v>
                </c:pt>
                <c:pt idx="52">
                  <c:v>22059</c:v>
                </c:pt>
                <c:pt idx="53">
                  <c:v>22486.5</c:v>
                </c:pt>
                <c:pt idx="54">
                  <c:v>22914</c:v>
                </c:pt>
                <c:pt idx="55">
                  <c:v>23341.5</c:v>
                </c:pt>
                <c:pt idx="56">
                  <c:v>23769</c:v>
                </c:pt>
                <c:pt idx="57">
                  <c:v>24196.5</c:v>
                </c:pt>
                <c:pt idx="58">
                  <c:v>24624</c:v>
                </c:pt>
                <c:pt idx="59">
                  <c:v>25051.5</c:v>
                </c:pt>
                <c:pt idx="60">
                  <c:v>25479</c:v>
                </c:pt>
                <c:pt idx="61">
                  <c:v>25906.5</c:v>
                </c:pt>
                <c:pt idx="62">
                  <c:v>26334</c:v>
                </c:pt>
                <c:pt idx="63">
                  <c:v>26761.5</c:v>
                </c:pt>
                <c:pt idx="64">
                  <c:v>27189</c:v>
                </c:pt>
                <c:pt idx="65">
                  <c:v>27616.5</c:v>
                </c:pt>
                <c:pt idx="66">
                  <c:v>28044</c:v>
                </c:pt>
                <c:pt idx="67">
                  <c:v>28471.5</c:v>
                </c:pt>
                <c:pt idx="68">
                  <c:v>28899</c:v>
                </c:pt>
                <c:pt idx="69">
                  <c:v>29326.5</c:v>
                </c:pt>
                <c:pt idx="70">
                  <c:v>29754</c:v>
                </c:pt>
                <c:pt idx="71">
                  <c:v>30181.5</c:v>
                </c:pt>
                <c:pt idx="72">
                  <c:v>30609</c:v>
                </c:pt>
                <c:pt idx="73">
                  <c:v>31036.5</c:v>
                </c:pt>
                <c:pt idx="74">
                  <c:v>31464</c:v>
                </c:pt>
                <c:pt idx="75">
                  <c:v>31891.5</c:v>
                </c:pt>
                <c:pt idx="76">
                  <c:v>32319</c:v>
                </c:pt>
                <c:pt idx="77">
                  <c:v>32746.5</c:v>
                </c:pt>
                <c:pt idx="78">
                  <c:v>33174</c:v>
                </c:pt>
                <c:pt idx="79">
                  <c:v>33601.5</c:v>
                </c:pt>
                <c:pt idx="80">
                  <c:v>34029</c:v>
                </c:pt>
                <c:pt idx="81">
                  <c:v>34456.5</c:v>
                </c:pt>
              </c:numCache>
            </c:numRef>
          </c:val>
          <c:smooth val="0"/>
          <c:extLst>
            <c:ext xmlns:c16="http://schemas.microsoft.com/office/drawing/2014/chart" uri="{C3380CC4-5D6E-409C-BE32-E72D297353CC}">
              <c16:uniqueId val="{00000000-8F19-40B3-A93B-77DE506BA8BE}"/>
            </c:ext>
          </c:extLst>
        </c:ser>
        <c:ser>
          <c:idx val="1"/>
          <c:order val="1"/>
          <c:tx>
            <c:strRef>
              <c:f>'Chart DATA (hide)'!$F$31</c:f>
              <c:strCache>
                <c:ptCount val="1"/>
                <c:pt idx="0">
                  <c:v>Breakeven</c:v>
                </c:pt>
              </c:strCache>
            </c:strRef>
          </c:tx>
          <c:spPr>
            <a:ln w="28575" cap="rnd">
              <a:solidFill>
                <a:schemeClr val="accent2"/>
              </a:solidFill>
              <a:round/>
            </a:ln>
            <a:effectLst/>
          </c:spPr>
          <c:marker>
            <c:symbol val="none"/>
          </c:marker>
          <c:cat>
            <c:numRef>
              <c:f>'Chart DATA (hide)'!$G$32:$G$113</c:f>
              <c:numCache>
                <c:formatCode>General</c:formatCode>
                <c:ptCount val="82"/>
                <c:pt idx="0">
                  <c:v>121</c:v>
                </c:pt>
                <c:pt idx="1">
                  <c:v>120</c:v>
                </c:pt>
                <c:pt idx="2">
                  <c:v>119</c:v>
                </c:pt>
                <c:pt idx="3">
                  <c:v>118</c:v>
                </c:pt>
                <c:pt idx="4">
                  <c:v>117</c:v>
                </c:pt>
                <c:pt idx="5">
                  <c:v>116</c:v>
                </c:pt>
                <c:pt idx="6">
                  <c:v>115</c:v>
                </c:pt>
                <c:pt idx="7">
                  <c:v>114</c:v>
                </c:pt>
                <c:pt idx="8">
                  <c:v>113</c:v>
                </c:pt>
                <c:pt idx="9">
                  <c:v>112</c:v>
                </c:pt>
                <c:pt idx="10">
                  <c:v>111</c:v>
                </c:pt>
                <c:pt idx="11">
                  <c:v>110</c:v>
                </c:pt>
                <c:pt idx="12">
                  <c:v>109</c:v>
                </c:pt>
                <c:pt idx="13">
                  <c:v>108</c:v>
                </c:pt>
                <c:pt idx="14">
                  <c:v>107</c:v>
                </c:pt>
                <c:pt idx="15">
                  <c:v>106</c:v>
                </c:pt>
                <c:pt idx="16">
                  <c:v>105</c:v>
                </c:pt>
                <c:pt idx="17">
                  <c:v>104</c:v>
                </c:pt>
                <c:pt idx="18">
                  <c:v>103</c:v>
                </c:pt>
                <c:pt idx="19">
                  <c:v>102</c:v>
                </c:pt>
                <c:pt idx="20">
                  <c:v>101</c:v>
                </c:pt>
                <c:pt idx="21">
                  <c:v>100</c:v>
                </c:pt>
                <c:pt idx="22">
                  <c:v>99</c:v>
                </c:pt>
                <c:pt idx="23">
                  <c:v>98</c:v>
                </c:pt>
                <c:pt idx="24">
                  <c:v>97</c:v>
                </c:pt>
                <c:pt idx="25">
                  <c:v>96</c:v>
                </c:pt>
                <c:pt idx="26">
                  <c:v>95</c:v>
                </c:pt>
                <c:pt idx="27">
                  <c:v>94</c:v>
                </c:pt>
                <c:pt idx="28">
                  <c:v>93</c:v>
                </c:pt>
                <c:pt idx="29">
                  <c:v>92</c:v>
                </c:pt>
                <c:pt idx="30">
                  <c:v>91</c:v>
                </c:pt>
                <c:pt idx="31">
                  <c:v>90</c:v>
                </c:pt>
                <c:pt idx="32">
                  <c:v>89</c:v>
                </c:pt>
                <c:pt idx="33">
                  <c:v>88</c:v>
                </c:pt>
                <c:pt idx="34">
                  <c:v>87</c:v>
                </c:pt>
                <c:pt idx="35">
                  <c:v>86</c:v>
                </c:pt>
                <c:pt idx="36">
                  <c:v>85</c:v>
                </c:pt>
                <c:pt idx="37">
                  <c:v>84</c:v>
                </c:pt>
                <c:pt idx="38">
                  <c:v>83</c:v>
                </c:pt>
                <c:pt idx="39">
                  <c:v>82</c:v>
                </c:pt>
                <c:pt idx="40">
                  <c:v>81</c:v>
                </c:pt>
                <c:pt idx="41">
                  <c:v>80</c:v>
                </c:pt>
                <c:pt idx="42">
                  <c:v>79</c:v>
                </c:pt>
                <c:pt idx="43">
                  <c:v>78</c:v>
                </c:pt>
                <c:pt idx="44">
                  <c:v>77</c:v>
                </c:pt>
                <c:pt idx="45">
                  <c:v>76</c:v>
                </c:pt>
                <c:pt idx="46">
                  <c:v>75</c:v>
                </c:pt>
                <c:pt idx="47">
                  <c:v>74</c:v>
                </c:pt>
                <c:pt idx="48">
                  <c:v>73</c:v>
                </c:pt>
                <c:pt idx="49">
                  <c:v>72</c:v>
                </c:pt>
                <c:pt idx="50">
                  <c:v>71</c:v>
                </c:pt>
                <c:pt idx="51">
                  <c:v>70</c:v>
                </c:pt>
                <c:pt idx="52">
                  <c:v>69</c:v>
                </c:pt>
                <c:pt idx="53">
                  <c:v>68</c:v>
                </c:pt>
                <c:pt idx="54">
                  <c:v>67</c:v>
                </c:pt>
                <c:pt idx="55">
                  <c:v>66</c:v>
                </c:pt>
                <c:pt idx="56">
                  <c:v>65</c:v>
                </c:pt>
                <c:pt idx="57">
                  <c:v>64</c:v>
                </c:pt>
                <c:pt idx="58">
                  <c:v>63</c:v>
                </c:pt>
                <c:pt idx="59">
                  <c:v>62</c:v>
                </c:pt>
                <c:pt idx="60">
                  <c:v>61</c:v>
                </c:pt>
                <c:pt idx="61">
                  <c:v>60</c:v>
                </c:pt>
                <c:pt idx="62">
                  <c:v>59</c:v>
                </c:pt>
                <c:pt idx="63">
                  <c:v>58</c:v>
                </c:pt>
                <c:pt idx="64">
                  <c:v>57</c:v>
                </c:pt>
                <c:pt idx="65">
                  <c:v>56</c:v>
                </c:pt>
                <c:pt idx="66">
                  <c:v>55</c:v>
                </c:pt>
                <c:pt idx="67">
                  <c:v>54</c:v>
                </c:pt>
                <c:pt idx="68">
                  <c:v>53</c:v>
                </c:pt>
                <c:pt idx="69">
                  <c:v>52</c:v>
                </c:pt>
                <c:pt idx="70">
                  <c:v>51</c:v>
                </c:pt>
                <c:pt idx="71">
                  <c:v>50</c:v>
                </c:pt>
                <c:pt idx="72">
                  <c:v>49</c:v>
                </c:pt>
                <c:pt idx="73">
                  <c:v>48</c:v>
                </c:pt>
                <c:pt idx="74">
                  <c:v>47</c:v>
                </c:pt>
                <c:pt idx="75">
                  <c:v>46</c:v>
                </c:pt>
                <c:pt idx="76">
                  <c:v>45</c:v>
                </c:pt>
                <c:pt idx="77">
                  <c:v>44</c:v>
                </c:pt>
                <c:pt idx="78">
                  <c:v>43</c:v>
                </c:pt>
                <c:pt idx="79">
                  <c:v>42</c:v>
                </c:pt>
                <c:pt idx="80">
                  <c:v>41</c:v>
                </c:pt>
                <c:pt idx="81">
                  <c:v>40</c:v>
                </c:pt>
              </c:numCache>
            </c:numRef>
          </c:cat>
          <c:val>
            <c:numRef>
              <c:f>'Chart DATA (hide)'!$F$32:$F$113</c:f>
              <c:numCache>
                <c:formatCode>"$"#,##0</c:formatCode>
                <c:ptCount val="82"/>
                <c:pt idx="0">
                  <c:v>969.26220000000001</c:v>
                </c:pt>
                <c:pt idx="1">
                  <c:v>969.26220000000001</c:v>
                </c:pt>
                <c:pt idx="2">
                  <c:v>969.26220000000001</c:v>
                </c:pt>
                <c:pt idx="3">
                  <c:v>969.26220000000001</c:v>
                </c:pt>
                <c:pt idx="4">
                  <c:v>969.26220000000001</c:v>
                </c:pt>
                <c:pt idx="5">
                  <c:v>969.26220000000001</c:v>
                </c:pt>
                <c:pt idx="6">
                  <c:v>969.26220000000001</c:v>
                </c:pt>
                <c:pt idx="7">
                  <c:v>969.26220000000001</c:v>
                </c:pt>
                <c:pt idx="8">
                  <c:v>969.26220000000001</c:v>
                </c:pt>
                <c:pt idx="9">
                  <c:v>969.26220000000001</c:v>
                </c:pt>
                <c:pt idx="10">
                  <c:v>969.26220000000001</c:v>
                </c:pt>
                <c:pt idx="11">
                  <c:v>969.26220000000001</c:v>
                </c:pt>
                <c:pt idx="12">
                  <c:v>969.26220000000001</c:v>
                </c:pt>
                <c:pt idx="13">
                  <c:v>969.26220000000001</c:v>
                </c:pt>
                <c:pt idx="14">
                  <c:v>969.26220000000001</c:v>
                </c:pt>
                <c:pt idx="15">
                  <c:v>969.26220000000001</c:v>
                </c:pt>
                <c:pt idx="16">
                  <c:v>969.26220000000001</c:v>
                </c:pt>
                <c:pt idx="17">
                  <c:v>969.26220000000001</c:v>
                </c:pt>
                <c:pt idx="18">
                  <c:v>969.26220000000001</c:v>
                </c:pt>
                <c:pt idx="19">
                  <c:v>969.26220000000001</c:v>
                </c:pt>
                <c:pt idx="20">
                  <c:v>969.26220000000001</c:v>
                </c:pt>
                <c:pt idx="21">
                  <c:v>969.26220000000001</c:v>
                </c:pt>
                <c:pt idx="22">
                  <c:v>969.26220000000001</c:v>
                </c:pt>
                <c:pt idx="23">
                  <c:v>969.26220000000001</c:v>
                </c:pt>
                <c:pt idx="24">
                  <c:v>969.26220000000001</c:v>
                </c:pt>
                <c:pt idx="25">
                  <c:v>969.26220000000001</c:v>
                </c:pt>
                <c:pt idx="26">
                  <c:v>969.26220000000001</c:v>
                </c:pt>
                <c:pt idx="27">
                  <c:v>969.26220000000001</c:v>
                </c:pt>
                <c:pt idx="28">
                  <c:v>969.26220000000001</c:v>
                </c:pt>
                <c:pt idx="29">
                  <c:v>969.26220000000001</c:v>
                </c:pt>
                <c:pt idx="30">
                  <c:v>969.26220000000001</c:v>
                </c:pt>
                <c:pt idx="31">
                  <c:v>969.26220000000001</c:v>
                </c:pt>
                <c:pt idx="32">
                  <c:v>969.26220000000001</c:v>
                </c:pt>
                <c:pt idx="33">
                  <c:v>969.26220000000001</c:v>
                </c:pt>
                <c:pt idx="34">
                  <c:v>969.26220000000001</c:v>
                </c:pt>
                <c:pt idx="35">
                  <c:v>969.26220000000001</c:v>
                </c:pt>
                <c:pt idx="36">
                  <c:v>969.26220000000001</c:v>
                </c:pt>
                <c:pt idx="37">
                  <c:v>969.26220000000001</c:v>
                </c:pt>
                <c:pt idx="38">
                  <c:v>969.26220000000001</c:v>
                </c:pt>
                <c:pt idx="39">
                  <c:v>969.26220000000001</c:v>
                </c:pt>
                <c:pt idx="40">
                  <c:v>969.26220000000001</c:v>
                </c:pt>
                <c:pt idx="41">
                  <c:v>969.26220000000001</c:v>
                </c:pt>
                <c:pt idx="42">
                  <c:v>969.26220000000001</c:v>
                </c:pt>
                <c:pt idx="43">
                  <c:v>969.26220000000001</c:v>
                </c:pt>
                <c:pt idx="44">
                  <c:v>969.26220000000001</c:v>
                </c:pt>
                <c:pt idx="45">
                  <c:v>969.26220000000001</c:v>
                </c:pt>
                <c:pt idx="46">
                  <c:v>969.26220000000001</c:v>
                </c:pt>
                <c:pt idx="47">
                  <c:v>969.26220000000001</c:v>
                </c:pt>
                <c:pt idx="48">
                  <c:v>969.26220000000001</c:v>
                </c:pt>
                <c:pt idx="49">
                  <c:v>969.26220000000001</c:v>
                </c:pt>
                <c:pt idx="50">
                  <c:v>969.26220000000001</c:v>
                </c:pt>
                <c:pt idx="51">
                  <c:v>969.26220000000001</c:v>
                </c:pt>
                <c:pt idx="52">
                  <c:v>969.26220000000001</c:v>
                </c:pt>
                <c:pt idx="53">
                  <c:v>969.26220000000001</c:v>
                </c:pt>
                <c:pt idx="54">
                  <c:v>969.26220000000001</c:v>
                </c:pt>
                <c:pt idx="55">
                  <c:v>969.26220000000001</c:v>
                </c:pt>
                <c:pt idx="56">
                  <c:v>969.26220000000001</c:v>
                </c:pt>
                <c:pt idx="57">
                  <c:v>969.26220000000001</c:v>
                </c:pt>
                <c:pt idx="58">
                  <c:v>969.26220000000001</c:v>
                </c:pt>
                <c:pt idx="59">
                  <c:v>969.26220000000001</c:v>
                </c:pt>
                <c:pt idx="60">
                  <c:v>969.26220000000001</c:v>
                </c:pt>
                <c:pt idx="61">
                  <c:v>969.26220000000001</c:v>
                </c:pt>
                <c:pt idx="62">
                  <c:v>969.26220000000001</c:v>
                </c:pt>
                <c:pt idx="63">
                  <c:v>969.26220000000001</c:v>
                </c:pt>
                <c:pt idx="64">
                  <c:v>969.26220000000001</c:v>
                </c:pt>
                <c:pt idx="65">
                  <c:v>969.26220000000001</c:v>
                </c:pt>
                <c:pt idx="66">
                  <c:v>969.26220000000001</c:v>
                </c:pt>
                <c:pt idx="67">
                  <c:v>969.26220000000001</c:v>
                </c:pt>
                <c:pt idx="68">
                  <c:v>969.26220000000001</c:v>
                </c:pt>
                <c:pt idx="69">
                  <c:v>969.26220000000001</c:v>
                </c:pt>
                <c:pt idx="70">
                  <c:v>969.26220000000001</c:v>
                </c:pt>
                <c:pt idx="71">
                  <c:v>969.26220000000001</c:v>
                </c:pt>
                <c:pt idx="72">
                  <c:v>969.26220000000001</c:v>
                </c:pt>
                <c:pt idx="73">
                  <c:v>969.26220000000001</c:v>
                </c:pt>
                <c:pt idx="74">
                  <c:v>969.26220000000001</c:v>
                </c:pt>
                <c:pt idx="75">
                  <c:v>969.26220000000001</c:v>
                </c:pt>
                <c:pt idx="76">
                  <c:v>969.26220000000001</c:v>
                </c:pt>
                <c:pt idx="77">
                  <c:v>969.26220000000001</c:v>
                </c:pt>
                <c:pt idx="78">
                  <c:v>969.26220000000001</c:v>
                </c:pt>
                <c:pt idx="79">
                  <c:v>969.26220000000001</c:v>
                </c:pt>
                <c:pt idx="80">
                  <c:v>969.26220000000001</c:v>
                </c:pt>
                <c:pt idx="81">
                  <c:v>969.26220000000001</c:v>
                </c:pt>
              </c:numCache>
            </c:numRef>
          </c:val>
          <c:smooth val="0"/>
          <c:extLst>
            <c:ext xmlns:c16="http://schemas.microsoft.com/office/drawing/2014/chart" uri="{C3380CC4-5D6E-409C-BE32-E72D297353CC}">
              <c16:uniqueId val="{00000001-8F19-40B3-A93B-77DE506BA8BE}"/>
            </c:ext>
          </c:extLst>
        </c:ser>
        <c:dLbls>
          <c:showLegendKey val="0"/>
          <c:showVal val="0"/>
          <c:showCatName val="0"/>
          <c:showSerName val="0"/>
          <c:showPercent val="0"/>
          <c:showBubbleSize val="0"/>
        </c:dLbls>
        <c:smooth val="0"/>
        <c:axId val="207576360"/>
        <c:axId val="1"/>
      </c:lineChart>
      <c:catAx>
        <c:axId val="207576360"/>
        <c:scaling>
          <c:orientation val="minMax"/>
        </c:scaling>
        <c:delete val="0"/>
        <c:axPos val="b"/>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CA" sz="1200" b="1"/>
                  <a:t>Days on Pasture</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CA" sz="1200" b="1"/>
                  <a:t>$ Indemnity</a:t>
                </a:r>
              </a:p>
            </c:rich>
          </c:tx>
          <c:overlay val="0"/>
          <c:spPr>
            <a:noFill/>
            <a:ln>
              <a:noFill/>
            </a:ln>
            <a:effectLst/>
          </c:spPr>
        </c:title>
        <c:numFmt formatCode="&quot;$&quot;#,##0" sourceLinked="1"/>
        <c:majorTickMark val="out"/>
        <c:minorTickMark val="out"/>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76360"/>
        <c:crosses val="autoZero"/>
        <c:crossBetween val="between"/>
      </c:valAx>
      <c:spPr>
        <a:noFill/>
        <a:ln w="25400">
          <a:noFill/>
        </a:ln>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https://www.gov.mb.ca/agriculture/farm-management/farm-business-management-contacts.html" TargetMode="External"/><Relationship Id="rId1" Type="http://schemas.openxmlformats.org/officeDocument/2006/relationships/image" Target="../media/image1.jpeg"/><Relationship Id="rId5" Type="http://schemas.openxmlformats.org/officeDocument/2006/relationships/chart" Target="../charts/chart2.xml"/><Relationship Id="rId4"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8</xdr:col>
      <xdr:colOff>342900</xdr:colOff>
      <xdr:row>0</xdr:row>
      <xdr:rowOff>180975</xdr:rowOff>
    </xdr:from>
    <xdr:to>
      <xdr:col>9</xdr:col>
      <xdr:colOff>749300</xdr:colOff>
      <xdr:row>1</xdr:row>
      <xdr:rowOff>134620</xdr:rowOff>
    </xdr:to>
    <xdr:pic>
      <xdr:nvPicPr>
        <xdr:cNvPr id="613470" name="Picture 2" descr="GovMB_Logo_blk10.jpg">
          <a:extLst>
            <a:ext uri="{FF2B5EF4-FFF2-40B4-BE49-F238E27FC236}">
              <a16:creationId xmlns:a16="http://schemas.microsoft.com/office/drawing/2014/main" id="{00000000-0008-0000-0000-00005E5C09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43825" y="180975"/>
          <a:ext cx="15335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2143125</xdr:colOff>
      <xdr:row>80</xdr:row>
      <xdr:rowOff>47625</xdr:rowOff>
    </xdr:from>
    <xdr:to>
      <xdr:col>4</xdr:col>
      <xdr:colOff>304800</xdr:colOff>
      <xdr:row>85</xdr:row>
      <xdr:rowOff>63500</xdr:rowOff>
    </xdr:to>
    <xdr:pic>
      <xdr:nvPicPr>
        <xdr:cNvPr id="613471" name="Picture 3">
          <a:hlinkClick xmlns:r="http://schemas.openxmlformats.org/officeDocument/2006/relationships" r:id="rId2" tooltip="Click here for a list of Farm Management contacts."/>
          <a:extLst>
            <a:ext uri="{FF2B5EF4-FFF2-40B4-BE49-F238E27FC236}">
              <a16:creationId xmlns:a16="http://schemas.microsoft.com/office/drawing/2014/main" id="{00000000-0008-0000-0000-00005F5C09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43150" y="15325725"/>
          <a:ext cx="3733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66674</xdr:colOff>
      <xdr:row>53</xdr:row>
      <xdr:rowOff>133349</xdr:rowOff>
    </xdr:from>
    <xdr:to>
      <xdr:col>4</xdr:col>
      <xdr:colOff>76200</xdr:colOff>
      <xdr:row>68</xdr:row>
      <xdr:rowOff>133349</xdr:rowOff>
    </xdr:to>
    <xdr:graphicFrame macro="">
      <xdr:nvGraphicFramePr>
        <xdr:cNvPr id="12" name="Chart 3">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152401</xdr:colOff>
      <xdr:row>53</xdr:row>
      <xdr:rowOff>142875</xdr:rowOff>
    </xdr:from>
    <xdr:to>
      <xdr:col>9</xdr:col>
      <xdr:colOff>781051</xdr:colOff>
      <xdr:row>68</xdr:row>
      <xdr:rowOff>133350</xdr:rowOff>
    </xdr:to>
    <xdr:graphicFrame macro="">
      <xdr:nvGraphicFramePr>
        <xdr:cNvPr id="13" name="Chart 5">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1647825</xdr:colOff>
      <xdr:row>56</xdr:row>
      <xdr:rowOff>57150</xdr:rowOff>
    </xdr:from>
    <xdr:to>
      <xdr:col>2</xdr:col>
      <xdr:colOff>2971800</xdr:colOff>
      <xdr:row>57</xdr:row>
      <xdr:rowOff>95250</xdr:rowOff>
    </xdr:to>
    <xdr:sp macro="" textlink="'Chart DATA (hide)'!B115">
      <xdr:nvSpPr>
        <xdr:cNvPr id="2" name="TextBox 1">
          <a:extLst>
            <a:ext uri="{FF2B5EF4-FFF2-40B4-BE49-F238E27FC236}">
              <a16:creationId xmlns:a16="http://schemas.microsoft.com/office/drawing/2014/main" id="{00000000-0008-0000-0000-000002000000}"/>
            </a:ext>
          </a:extLst>
        </xdr:cNvPr>
        <xdr:cNvSpPr txBox="1"/>
      </xdr:nvSpPr>
      <xdr:spPr>
        <a:xfrm>
          <a:off x="3400425" y="11287125"/>
          <a:ext cx="13239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7296530A-CED2-49EC-A833-CE8D17B4F95A}" type="TxLink">
            <a:rPr lang="en-US" sz="1000" b="0" i="0" u="none" strike="noStrike">
              <a:solidFill>
                <a:srgbClr val="000000"/>
              </a:solidFill>
              <a:latin typeface="Arial"/>
              <a:cs typeface="Arial"/>
            </a:rPr>
            <a:pPr algn="ctr"/>
            <a:t>Premium = $969</a:t>
          </a:fld>
          <a:endParaRPr lang="en-CA" sz="600"/>
        </a:p>
      </xdr:txBody>
    </xdr:sp>
    <xdr:clientData/>
  </xdr:twoCellAnchor>
  <xdr:twoCellAnchor>
    <xdr:from>
      <xdr:col>8</xdr:col>
      <xdr:colOff>409575</xdr:colOff>
      <xdr:row>63</xdr:row>
      <xdr:rowOff>0</xdr:rowOff>
    </xdr:from>
    <xdr:to>
      <xdr:col>9</xdr:col>
      <xdr:colOff>581025</xdr:colOff>
      <xdr:row>64</xdr:row>
      <xdr:rowOff>38100</xdr:rowOff>
    </xdr:to>
    <xdr:sp macro="" textlink="'Chart DATA (hide)'!B115">
      <xdr:nvSpPr>
        <xdr:cNvPr id="15" name="TextBox 14">
          <a:extLst>
            <a:ext uri="{FF2B5EF4-FFF2-40B4-BE49-F238E27FC236}">
              <a16:creationId xmlns:a16="http://schemas.microsoft.com/office/drawing/2014/main" id="{00000000-0008-0000-0000-00000F000000}"/>
            </a:ext>
          </a:extLst>
        </xdr:cNvPr>
        <xdr:cNvSpPr txBox="1"/>
      </xdr:nvSpPr>
      <xdr:spPr>
        <a:xfrm>
          <a:off x="8677275" y="12630150"/>
          <a:ext cx="1295400"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7A448977-4A51-4313-8B28-D5E7A52E574D}" type="TxLink">
            <a:rPr lang="en-US" sz="1000" b="0" i="0" u="none" strike="noStrike">
              <a:solidFill>
                <a:srgbClr val="000000"/>
              </a:solidFill>
              <a:latin typeface="Arial"/>
              <a:cs typeface="Arial"/>
            </a:rPr>
            <a:pPr algn="ctr"/>
            <a:t>Premium = $969</a:t>
          </a:fld>
          <a:endParaRPr lang="en-CA" sz="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13</xdr:col>
      <xdr:colOff>514350</xdr:colOff>
      <xdr:row>26</xdr:row>
      <xdr:rowOff>38100</xdr:rowOff>
    </xdr:to>
    <xdr:graphicFrame macro="">
      <xdr:nvGraphicFramePr>
        <xdr:cNvPr id="2" name="Chart 5">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masc.mb.ca/masc.nsf/calculator_pasture_days.html" TargetMode="External"/><Relationship Id="rId7" Type="http://schemas.openxmlformats.org/officeDocument/2006/relationships/comments" Target="../comments1.xml"/><Relationship Id="rId2" Type="http://schemas.openxmlformats.org/officeDocument/2006/relationships/hyperlink" Target="https://www.masc.mb.ca/masc.nsf/calculator_pasture_days.html" TargetMode="External"/><Relationship Id="rId1" Type="http://schemas.openxmlformats.org/officeDocument/2006/relationships/hyperlink" Target="https://www.masc.mb.ca/masc.nsf/fact_sheet_821_pasture_days.html"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32"/>
  <sheetViews>
    <sheetView tabSelected="1" zoomScaleNormal="100" workbookViewId="0"/>
  </sheetViews>
  <sheetFormatPr defaultRowHeight="12.5" x14ac:dyDescent="0.25"/>
  <cols>
    <col min="1" max="1" width="3" customWidth="1"/>
    <col min="2" max="2" width="23.26953125" customWidth="1"/>
    <col min="3" max="3" width="47.54296875" customWidth="1"/>
    <col min="4" max="4" width="3.81640625" customWidth="1"/>
    <col min="5" max="5" width="18.54296875" bestFit="1" customWidth="1"/>
    <col min="7" max="8" width="9.26953125" bestFit="1" customWidth="1"/>
    <col min="9" max="9" width="16.81640625" customWidth="1"/>
    <col min="10" max="10" width="16.453125" customWidth="1"/>
    <col min="13" max="13" width="68.54296875" customWidth="1"/>
    <col min="14" max="14" width="9.26953125" customWidth="1"/>
  </cols>
  <sheetData>
    <row r="1" spans="1:10" s="30" customFormat="1" ht="28.5" customHeight="1" x14ac:dyDescent="0.25">
      <c r="A1" s="29"/>
      <c r="B1" s="29"/>
      <c r="C1" s="29"/>
      <c r="D1" s="29"/>
      <c r="E1" s="29"/>
      <c r="F1" s="29"/>
      <c r="G1" s="29"/>
      <c r="H1" s="29"/>
      <c r="I1" s="29"/>
    </row>
    <row r="2" spans="1:10" s="30" customFormat="1" ht="25.5" customHeight="1" x14ac:dyDescent="0.25">
      <c r="A2" s="31" t="s">
        <v>29</v>
      </c>
      <c r="G2" s="32"/>
    </row>
    <row r="3" spans="1:10" ht="18" x14ac:dyDescent="0.4">
      <c r="A3" s="33" t="s">
        <v>30</v>
      </c>
      <c r="B3" s="34"/>
      <c r="C3" s="34"/>
      <c r="D3" s="35"/>
      <c r="E3" s="36"/>
      <c r="G3" s="36"/>
      <c r="I3" s="35" t="s">
        <v>27</v>
      </c>
      <c r="J3" s="36">
        <f ca="1">TODAY()</f>
        <v>45771</v>
      </c>
    </row>
    <row r="4" spans="1:10" ht="9" customHeight="1" x14ac:dyDescent="0.4">
      <c r="A4" s="33"/>
      <c r="B4" s="34"/>
      <c r="C4" s="34"/>
      <c r="D4" s="34"/>
      <c r="E4" s="35"/>
      <c r="F4" s="36"/>
      <c r="G4" s="36"/>
      <c r="I4" s="35"/>
      <c r="J4" s="37"/>
    </row>
    <row r="5" spans="1:10" ht="15" customHeight="1" x14ac:dyDescent="0.45">
      <c r="A5" s="38" t="s">
        <v>28</v>
      </c>
      <c r="B5" s="30"/>
      <c r="C5" s="30"/>
      <c r="E5" s="39"/>
    </row>
    <row r="6" spans="1:10" ht="9" customHeight="1" x14ac:dyDescent="0.25"/>
    <row r="7" spans="1:10" s="1" customFormat="1" ht="15.5" x14ac:dyDescent="0.35">
      <c r="A7" s="7" t="s">
        <v>10</v>
      </c>
      <c r="E7" s="14"/>
      <c r="H7" s="14"/>
    </row>
    <row r="8" spans="1:10" s="1" customFormat="1" ht="15.5" x14ac:dyDescent="0.35">
      <c r="B8" s="1" t="s">
        <v>12</v>
      </c>
      <c r="E8" s="43">
        <v>134</v>
      </c>
      <c r="F8" s="1" t="s">
        <v>11</v>
      </c>
      <c r="G8" s="5" t="s">
        <v>24</v>
      </c>
      <c r="H8" s="2">
        <f>ROUND(E8/30,2)</f>
        <v>4.47</v>
      </c>
      <c r="I8" s="1" t="s">
        <v>23</v>
      </c>
    </row>
    <row r="9" spans="1:10" s="1" customFormat="1" ht="15.5" x14ac:dyDescent="0.35">
      <c r="B9" s="1" t="s">
        <v>13</v>
      </c>
      <c r="E9" s="53">
        <v>0.9</v>
      </c>
      <c r="H9" s="14"/>
    </row>
    <row r="10" spans="1:10" s="1" customFormat="1" ht="15.5" x14ac:dyDescent="0.35">
      <c r="B10" s="1" t="s">
        <v>32</v>
      </c>
      <c r="E10" s="44">
        <v>44696</v>
      </c>
      <c r="H10" s="47" t="s">
        <v>26</v>
      </c>
      <c r="I10" s="28">
        <f>E10+ROUND(E8*E9,0)</f>
        <v>44817</v>
      </c>
      <c r="J10" s="1" t="str">
        <f>", or "&amp;ROUND(E30/G26,0)&amp;" days)"</f>
        <v>, or 121 days)</v>
      </c>
    </row>
    <row r="11" spans="1:10" s="1" customFormat="1" ht="15.5" x14ac:dyDescent="0.35">
      <c r="B11" s="8" t="str">
        <f>"Historical grazing period end date ("&amp;E8&amp;" days)"</f>
        <v>Historical grazing period end date (134 days)</v>
      </c>
      <c r="C11" s="8"/>
      <c r="E11" s="55">
        <f>E10+E8</f>
        <v>44830</v>
      </c>
    </row>
    <row r="12" spans="1:10" s="1" customFormat="1" ht="15.5" x14ac:dyDescent="0.35">
      <c r="B12" s="1" t="s">
        <v>14</v>
      </c>
      <c r="E12" s="48">
        <v>2.25</v>
      </c>
      <c r="H12" s="14"/>
    </row>
    <row r="13" spans="1:10" s="1" customFormat="1" ht="15.5" x14ac:dyDescent="0.35">
      <c r="B13" s="1" t="s">
        <v>20</v>
      </c>
      <c r="E13" s="49">
        <v>4.7E-2</v>
      </c>
      <c r="H13" s="14"/>
    </row>
    <row r="14" spans="1:10" s="1" customFormat="1" ht="15.5" x14ac:dyDescent="0.35">
      <c r="B14" s="1" t="s">
        <v>21</v>
      </c>
      <c r="E14" s="50">
        <v>0.4</v>
      </c>
      <c r="H14" s="14"/>
    </row>
    <row r="15" spans="1:10" s="1" customFormat="1" ht="7.5" customHeight="1" x14ac:dyDescent="0.35"/>
    <row r="16" spans="1:10" s="1" customFormat="1" ht="15.5" x14ac:dyDescent="0.35">
      <c r="A16" s="7" t="s">
        <v>6</v>
      </c>
      <c r="E16" s="45">
        <v>800</v>
      </c>
      <c r="F16" s="1" t="s">
        <v>1</v>
      </c>
    </row>
    <row r="17" spans="1:15" s="1" customFormat="1" ht="7.5" customHeight="1" x14ac:dyDescent="0.35">
      <c r="A17" s="7"/>
      <c r="E17" s="45"/>
    </row>
    <row r="18" spans="1:15" s="1" customFormat="1" ht="15.5" x14ac:dyDescent="0.35">
      <c r="A18" s="7" t="s">
        <v>15</v>
      </c>
      <c r="E18" s="21"/>
    </row>
    <row r="19" spans="1:15" s="1" customFormat="1" ht="16" thickBot="1" x14ac:dyDescent="0.4">
      <c r="A19" s="7"/>
      <c r="B19" s="70" t="s">
        <v>83</v>
      </c>
      <c r="C19" s="70" t="s">
        <v>84</v>
      </c>
      <c r="E19" s="4" t="s">
        <v>8</v>
      </c>
      <c r="G19" s="2" t="s">
        <v>9</v>
      </c>
    </row>
    <row r="20" spans="1:15" s="1" customFormat="1" ht="16" thickBot="1" x14ac:dyDescent="0.4">
      <c r="B20" s="66" t="s">
        <v>57</v>
      </c>
      <c r="C20" s="66" t="s">
        <v>78</v>
      </c>
      <c r="E20" s="43">
        <v>146</v>
      </c>
      <c r="G20" s="22">
        <f t="shared" ref="G20:G25" si="0">IF(C20="",0,ROUND(VLOOKUP(C20,$C$106:$D$132,2,FALSE)*E20,0))</f>
        <v>190</v>
      </c>
      <c r="O20" s="27"/>
    </row>
    <row r="21" spans="1:15" s="1" customFormat="1" ht="16" thickBot="1" x14ac:dyDescent="0.4">
      <c r="B21" s="66" t="s">
        <v>7</v>
      </c>
      <c r="C21" s="66"/>
      <c r="E21" s="43">
        <v>0</v>
      </c>
      <c r="G21" s="22">
        <f t="shared" si="0"/>
        <v>0</v>
      </c>
      <c r="O21" s="27"/>
    </row>
    <row r="22" spans="1:15" s="1" customFormat="1" ht="16" thickBot="1" x14ac:dyDescent="0.4">
      <c r="B22" s="66" t="s">
        <v>7</v>
      </c>
      <c r="C22" s="66"/>
      <c r="E22" s="43">
        <v>0</v>
      </c>
      <c r="G22" s="22">
        <f t="shared" si="0"/>
        <v>0</v>
      </c>
      <c r="O22" s="27"/>
    </row>
    <row r="23" spans="1:15" s="1" customFormat="1" ht="16" thickBot="1" x14ac:dyDescent="0.4">
      <c r="B23" s="66" t="s">
        <v>7</v>
      </c>
      <c r="C23" s="66"/>
      <c r="E23" s="43">
        <v>0</v>
      </c>
      <c r="G23" s="22">
        <f t="shared" si="0"/>
        <v>0</v>
      </c>
      <c r="O23" s="27"/>
    </row>
    <row r="24" spans="1:15" s="1" customFormat="1" ht="16" thickBot="1" x14ac:dyDescent="0.4">
      <c r="B24" s="66" t="s">
        <v>7</v>
      </c>
      <c r="C24" s="66"/>
      <c r="E24" s="43">
        <v>0</v>
      </c>
      <c r="G24" s="22">
        <f t="shared" si="0"/>
        <v>0</v>
      </c>
    </row>
    <row r="25" spans="1:15" s="1" customFormat="1" ht="16" thickBot="1" x14ac:dyDescent="0.4">
      <c r="B25" s="66" t="s">
        <v>7</v>
      </c>
      <c r="C25" s="66"/>
      <c r="E25" s="46">
        <v>0</v>
      </c>
      <c r="G25" s="23">
        <f t="shared" si="0"/>
        <v>0</v>
      </c>
    </row>
    <row r="26" spans="1:15" s="1" customFormat="1" ht="15.5" x14ac:dyDescent="0.35">
      <c r="B26" s="24" t="s">
        <v>0</v>
      </c>
      <c r="C26" s="24"/>
      <c r="E26" s="9">
        <f>SUM(E20:E25)</f>
        <v>146</v>
      </c>
      <c r="G26" s="9">
        <f>IF(SUM(G20:G25)&lt;30,0,SUM(G20:G25))</f>
        <v>190</v>
      </c>
    </row>
    <row r="27" spans="1:15" s="1" customFormat="1" ht="7.5" customHeight="1" x14ac:dyDescent="0.35"/>
    <row r="28" spans="1:15" s="1" customFormat="1" ht="15.5" x14ac:dyDescent="0.35">
      <c r="A28" s="7" t="s">
        <v>16</v>
      </c>
      <c r="E28" s="14"/>
      <c r="H28" s="14"/>
    </row>
    <row r="29" spans="1:15" s="1" customFormat="1" ht="15.5" x14ac:dyDescent="0.35">
      <c r="B29" s="1" t="str">
        <f>"Animal Unit Days ("&amp;G26&amp;" AU x "&amp;E8&amp;" days)"</f>
        <v>Animal Unit Days (190 AU x 134 days)</v>
      </c>
      <c r="E29" s="9">
        <f>G26*E8</f>
        <v>25460</v>
      </c>
      <c r="F29" s="1" t="s">
        <v>17</v>
      </c>
      <c r="H29" s="14"/>
    </row>
    <row r="30" spans="1:15" s="1" customFormat="1" ht="15.5" x14ac:dyDescent="0.35">
      <c r="B30" s="1" t="str">
        <f>"Pasture Guarantee ("&amp;TEXT(E29,"#,###")&amp;" x "&amp;E9*100&amp;"% or "&amp;ROUND(E30/G26,0)&amp;" days)"</f>
        <v>Pasture Guarantee (25,460 x 90% or 121 days)</v>
      </c>
      <c r="E30" s="9">
        <f>E29*E9</f>
        <v>22914</v>
      </c>
      <c r="F30" s="1" t="s">
        <v>17</v>
      </c>
      <c r="H30" s="14"/>
    </row>
    <row r="31" spans="1:15" s="1" customFormat="1" ht="15.5" x14ac:dyDescent="0.35">
      <c r="B31" s="1" t="str">
        <f>"Estimated Dollar Coverage ("&amp;TEXT(E30,"#,###")&amp;" AU Days x $"&amp;E12&amp;" per AU)"</f>
        <v>Estimated Dollar Coverage (22,914 AU Days x $2.25 per AU)</v>
      </c>
      <c r="E31" s="3">
        <f>E30*E12</f>
        <v>51556.5</v>
      </c>
      <c r="H31" s="14"/>
    </row>
    <row r="32" spans="1:15" s="1" customFormat="1" ht="15.5" x14ac:dyDescent="0.35">
      <c r="B32" s="1" t="str">
        <f>"Est. Avg. Coverage ($/head/season) = ($"&amp;TEXT(E31,"#,###")&amp;" ÷ "&amp;E26&amp;" head)"</f>
        <v>Est. Avg. Coverage ($/head/season) = ($51,557 ÷ 146 head)</v>
      </c>
      <c r="E32" s="3">
        <f>E31/E26</f>
        <v>353.1267123287671</v>
      </c>
      <c r="H32" s="14"/>
    </row>
    <row r="33" spans="1:11" s="1" customFormat="1" ht="15.5" x14ac:dyDescent="0.35">
      <c r="B33" s="1" t="str">
        <f>"Est. Avg. Coverage ($/head/day) = ($"&amp;TEXT(E32,"#,###.##")&amp;" ÷ "&amp;E8&amp;" days)"</f>
        <v>Est. Avg. Coverage ($/head/day) = ($353.13 ÷ 134 days)</v>
      </c>
      <c r="E33" s="3">
        <f>E32/E8</f>
        <v>2.6352739726027394</v>
      </c>
      <c r="H33" s="14"/>
    </row>
    <row r="34" spans="1:11" s="1" customFormat="1" ht="7.5" customHeight="1" x14ac:dyDescent="0.35">
      <c r="E34" s="3"/>
      <c r="H34" s="14"/>
    </row>
    <row r="35" spans="1:11" s="1" customFormat="1" ht="15.5" x14ac:dyDescent="0.35">
      <c r="A35" s="7" t="s">
        <v>18</v>
      </c>
      <c r="E35" s="14"/>
      <c r="H35" s="14"/>
    </row>
    <row r="36" spans="1:11" s="1" customFormat="1" ht="15.5" x14ac:dyDescent="0.35">
      <c r="B36" s="1" t="s">
        <v>22</v>
      </c>
      <c r="E36" s="14"/>
      <c r="H36" s="14"/>
    </row>
    <row r="37" spans="1:11" s="1" customFormat="1" ht="15.5" x14ac:dyDescent="0.35">
      <c r="B37" s="1" t="str">
        <f>"Premium = ("&amp;E8&amp;" x "&amp;G26&amp;" X "&amp;E9*100&amp;"% x $"&amp;E12&amp;" x "&amp;E13*100&amp;"%)"</f>
        <v>Premium = (134 x 190 X 90% x $2.25 x 4.7%)</v>
      </c>
      <c r="E37" s="3">
        <f>E8*G26*E9*E12*E13</f>
        <v>2423.1554999999998</v>
      </c>
      <c r="H37" s="14"/>
    </row>
    <row r="38" spans="1:11" s="1" customFormat="1" ht="15.5" x14ac:dyDescent="0.35">
      <c r="B38" s="1" t="str">
        <f>"Estimated Producer Premium = ($"&amp;TEXT(E37,"#,###.##")&amp;" x "&amp;E14*100&amp;"%)"</f>
        <v>Estimated Producer Premium = ($2,423.16 x 40%)</v>
      </c>
      <c r="E38" s="3">
        <f>E37*E14</f>
        <v>969.26220000000001</v>
      </c>
      <c r="F38" s="52" t="str">
        <f>" ("&amp;(E38/E31)*100&amp;" % of insured)"</f>
        <v xml:space="preserve"> (1.88 % of insured)</v>
      </c>
      <c r="H38" s="14"/>
    </row>
    <row r="39" spans="1:11" s="1" customFormat="1" ht="15.5" x14ac:dyDescent="0.35">
      <c r="B39" s="1" t="str">
        <f>"Est. Premium ($/Acre) = ($"&amp;TEXT(E38,"#,###.##")&amp;" ÷ "&amp;E16&amp;" acres)"</f>
        <v>Est. Premium ($/Acre) = ($969.26 ÷ 800 acres)</v>
      </c>
      <c r="E39" s="3">
        <f>E38/E16</f>
        <v>1.21157775</v>
      </c>
      <c r="F39" s="12"/>
      <c r="H39" s="14"/>
      <c r="I39" s="14"/>
      <c r="J39" s="14"/>
      <c r="K39" s="26"/>
    </row>
    <row r="40" spans="1:11" s="1" customFormat="1" ht="15.5" x14ac:dyDescent="0.35">
      <c r="B40" s="1" t="str">
        <f>"Est. Premium ($/head/season) = ($"&amp;TEXT(E38,"#,###.##")&amp;" ÷ "&amp;E26&amp;" head)"</f>
        <v>Est. Premium ($/head/season) = ($969.26 ÷ 146 head)</v>
      </c>
      <c r="E40" s="3">
        <f>E38/E26</f>
        <v>6.6387821917808223</v>
      </c>
      <c r="F40" s="12"/>
      <c r="H40" s="14"/>
      <c r="J40" s="14"/>
    </row>
    <row r="41" spans="1:11" s="1" customFormat="1" ht="15.5" x14ac:dyDescent="0.35">
      <c r="B41" s="1" t="str">
        <f>"Est. Premium ($/head/day) = ($"&amp;TEXT(E40,"#,###.##")&amp;" ÷ "&amp;E8&amp;" days)"</f>
        <v>Est. Premium ($/head/day) = ($6.64 ÷ 134 days)</v>
      </c>
      <c r="E41" s="25">
        <f>E40/E8</f>
        <v>4.9543150684931508E-2</v>
      </c>
      <c r="F41" s="12"/>
      <c r="H41" s="14"/>
      <c r="I41" s="14"/>
      <c r="J41" s="14"/>
    </row>
    <row r="42" spans="1:11" s="1" customFormat="1" ht="7.5" customHeight="1" x14ac:dyDescent="0.35">
      <c r="E42" s="14"/>
      <c r="H42" s="14"/>
    </row>
    <row r="43" spans="1:11" s="1" customFormat="1" ht="15.5" x14ac:dyDescent="0.35">
      <c r="A43" s="7" t="s">
        <v>25</v>
      </c>
      <c r="E43" s="14"/>
      <c r="H43" s="14"/>
      <c r="J43" s="54"/>
    </row>
    <row r="44" spans="1:11" s="1" customFormat="1" ht="15.5" x14ac:dyDescent="0.35">
      <c r="B44" s="1" t="s">
        <v>33</v>
      </c>
      <c r="E44" s="44">
        <v>44797</v>
      </c>
      <c r="G44" s="2"/>
      <c r="H44" s="47"/>
      <c r="I44" s="28"/>
      <c r="J44" s="28"/>
    </row>
    <row r="45" spans="1:11" s="1" customFormat="1" ht="15.5" x14ac:dyDescent="0.35">
      <c r="B45" s="1" t="s">
        <v>34</v>
      </c>
      <c r="E45" s="56">
        <f>E44-E10</f>
        <v>101</v>
      </c>
      <c r="F45" s="1" t="s">
        <v>11</v>
      </c>
      <c r="G45" s="28" t="str">
        <f>"("&amp;IF(ROUND(E8*E9,0)-E45&lt;0,0,ROUND(E8*E9,0)-E45)&amp;" days of pasture coverage)"</f>
        <v>(20 days of pasture coverage)</v>
      </c>
      <c r="H45" s="47"/>
    </row>
    <row r="46" spans="1:11" s="1" customFormat="1" ht="15.5" x14ac:dyDescent="0.35">
      <c r="B46" s="1" t="str">
        <f>"Actual Animal Unit Days ("&amp;G26&amp;" AU x "&amp;E45&amp;" days)"</f>
        <v>Actual Animal Unit Days (190 AU x 101 days)</v>
      </c>
      <c r="E46" s="9">
        <f>G26*E45</f>
        <v>19190</v>
      </c>
      <c r="F46" s="1" t="s">
        <v>17</v>
      </c>
      <c r="H46" s="14"/>
    </row>
    <row r="47" spans="1:11" s="1" customFormat="1" ht="15.5" x14ac:dyDescent="0.35">
      <c r="B47" s="1" t="str">
        <f>"Pasture Shortfall ("&amp;TEXT(E30,"#,###")&amp;" - "&amp;TEXT(E46,"#,###")&amp;")"</f>
        <v>Pasture Shortfall (22,914 - 19,190)</v>
      </c>
      <c r="E47" s="9">
        <f>IF(E30-E46&lt;0,0,E30-E46)</f>
        <v>3724</v>
      </c>
      <c r="F47" s="1" t="s">
        <v>17</v>
      </c>
      <c r="G47" s="14"/>
      <c r="H47" s="14"/>
      <c r="K47" s="14"/>
    </row>
    <row r="48" spans="1:11" s="1" customFormat="1" ht="15.5" x14ac:dyDescent="0.35">
      <c r="B48" s="1" t="str">
        <f>"Estimated Indemnity ("&amp;TEXT(E47,"#,###")&amp;" AU Days x $"&amp;E12&amp;")"</f>
        <v>Estimated Indemnity (3,724 AU Days x $2.25)</v>
      </c>
      <c r="E48" s="3">
        <f>E47*E12</f>
        <v>8379</v>
      </c>
      <c r="F48" s="14"/>
      <c r="K48" s="14"/>
    </row>
    <row r="49" spans="1:11" s="1" customFormat="1" ht="15.5" x14ac:dyDescent="0.35">
      <c r="B49" s="1" t="str">
        <f>"Est. Indemnity ($/Acre) = ($"&amp;TEXT(E48,"#,###")&amp;" ÷ "&amp;E16&amp;" acres)"</f>
        <v>Est. Indemnity ($/Acre) = ($8,379 ÷ 800 acres)</v>
      </c>
      <c r="E49" s="3">
        <f>E48/E16</f>
        <v>10.473750000000001</v>
      </c>
      <c r="K49" s="14"/>
    </row>
    <row r="50" spans="1:11" s="1" customFormat="1" ht="15.5" x14ac:dyDescent="0.35">
      <c r="B50" s="1" t="str">
        <f>"Est. Indemnity ($/head/season) = ($"&amp;TEXT(E48,"#,###")&amp;" ÷ "&amp;E26&amp;" head)"</f>
        <v>Est. Indemnity ($/head/season) = ($8,379 ÷ 146 head)</v>
      </c>
      <c r="E50" s="3">
        <f>E48/E26</f>
        <v>57.390410958904113</v>
      </c>
    </row>
    <row r="51" spans="1:11" s="1" customFormat="1" ht="15.5" x14ac:dyDescent="0.35">
      <c r="B51" s="1" t="str">
        <f>"Est. Indemnity ($/head/day) = ($"&amp;TEXT(E50,"#,###.##")&amp;" ÷ "&amp;(ROUND(E8*E9,0)-E45)&amp;" days)"</f>
        <v>Est. Indemnity ($/head/day) = ($57.39 ÷ 20 days)</v>
      </c>
      <c r="E51" s="3">
        <f>IF((ROUND(E8*E9,0)-E45)=0,0,E50/(ROUND(E8*E9,0)-E45))</f>
        <v>2.8695205479452057</v>
      </c>
      <c r="F51" s="14"/>
    </row>
    <row r="52" spans="1:11" s="1" customFormat="1" ht="16" thickBot="1" x14ac:dyDescent="0.4">
      <c r="E52" s="3"/>
      <c r="F52" s="14"/>
    </row>
    <row r="53" spans="1:11" s="1" customFormat="1" ht="18.5" thickBot="1" x14ac:dyDescent="0.45">
      <c r="A53" s="72" t="str">
        <f>"Pasture Insurance Indemnity (based on "&amp;E26&amp;" Head and "&amp;E16&amp;" Acres @ "&amp;E8&amp;" days historic grazing period)"</f>
        <v>Pasture Insurance Indemnity (based on 146 Head and 800 Acres @ 134 days historic grazing period)</v>
      </c>
      <c r="B53" s="73"/>
      <c r="C53" s="73"/>
      <c r="D53" s="73"/>
      <c r="E53" s="73"/>
      <c r="F53" s="73"/>
      <c r="G53" s="73"/>
      <c r="H53" s="73"/>
      <c r="I53" s="73"/>
      <c r="J53" s="74"/>
    </row>
    <row r="54" spans="1:11" s="1" customFormat="1" ht="15.5" x14ac:dyDescent="0.35">
      <c r="E54" s="3"/>
      <c r="F54" s="14"/>
    </row>
    <row r="55" spans="1:11" s="1" customFormat="1" ht="15.5" x14ac:dyDescent="0.35">
      <c r="E55" s="3"/>
      <c r="F55" s="14"/>
    </row>
    <row r="56" spans="1:11" s="1" customFormat="1" ht="15.5" x14ac:dyDescent="0.35">
      <c r="E56" s="3"/>
      <c r="F56" s="14"/>
    </row>
    <row r="57" spans="1:11" s="1" customFormat="1" ht="15.5" x14ac:dyDescent="0.35">
      <c r="E57" s="3"/>
      <c r="F57" s="14"/>
    </row>
    <row r="58" spans="1:11" s="1" customFormat="1" ht="15.5" x14ac:dyDescent="0.35">
      <c r="E58" s="3"/>
      <c r="F58" s="14"/>
    </row>
    <row r="59" spans="1:11" s="1" customFormat="1" ht="15.5" x14ac:dyDescent="0.35">
      <c r="E59" s="3"/>
      <c r="F59" s="14"/>
    </row>
    <row r="60" spans="1:11" s="1" customFormat="1" ht="15.5" x14ac:dyDescent="0.35">
      <c r="E60" s="3"/>
      <c r="F60" s="14"/>
    </row>
    <row r="61" spans="1:11" s="1" customFormat="1" ht="15.5" x14ac:dyDescent="0.35">
      <c r="E61" s="3"/>
      <c r="F61" s="14"/>
    </row>
    <row r="62" spans="1:11" s="1" customFormat="1" ht="15.5" x14ac:dyDescent="0.35">
      <c r="E62" s="3"/>
      <c r="F62" s="14"/>
    </row>
    <row r="63" spans="1:11" s="1" customFormat="1" ht="15.5" x14ac:dyDescent="0.35">
      <c r="E63" s="3"/>
      <c r="F63" s="14"/>
    </row>
    <row r="64" spans="1:11" s="1" customFormat="1" ht="15.5" x14ac:dyDescent="0.35">
      <c r="E64" s="3"/>
      <c r="F64" s="14"/>
    </row>
    <row r="65" spans="1:12" s="1" customFormat="1" ht="15.5" x14ac:dyDescent="0.35">
      <c r="E65" s="3"/>
      <c r="F65" s="14"/>
    </row>
    <row r="66" spans="1:12" s="1" customFormat="1" ht="15.5" x14ac:dyDescent="0.35">
      <c r="E66" s="3"/>
      <c r="F66" s="14"/>
    </row>
    <row r="67" spans="1:12" s="1" customFormat="1" ht="15.5" x14ac:dyDescent="0.35">
      <c r="E67" s="3"/>
      <c r="F67" s="14"/>
    </row>
    <row r="68" spans="1:12" s="1" customFormat="1" ht="15.5" x14ac:dyDescent="0.35">
      <c r="E68" s="3"/>
      <c r="F68" s="14"/>
    </row>
    <row r="69" spans="1:12" s="1" customFormat="1" ht="15.5" x14ac:dyDescent="0.35">
      <c r="E69" s="3"/>
      <c r="F69" s="14"/>
    </row>
    <row r="70" spans="1:12" s="1" customFormat="1" ht="15.5" x14ac:dyDescent="0.35">
      <c r="A70" s="7" t="s">
        <v>35</v>
      </c>
      <c r="E70" s="14"/>
    </row>
    <row r="71" spans="1:12" s="1" customFormat="1" ht="15.5" x14ac:dyDescent="0.35">
      <c r="A71" s="7"/>
      <c r="B71" s="1" t="str">
        <f>"Est. Breakeven removal date from pasture ("&amp;E71-E10&amp;" days)"</f>
        <v>Est. Breakeven removal date from pasture (119 days)</v>
      </c>
      <c r="E71" s="55">
        <f>I10-ROUND((E38/E12)/G26,0)</f>
        <v>44815</v>
      </c>
      <c r="H71" s="47"/>
      <c r="I71" s="28"/>
    </row>
    <row r="72" spans="1:12" s="1" customFormat="1" ht="15.5" x14ac:dyDescent="0.35">
      <c r="A72" s="7"/>
      <c r="B72" s="1" t="str">
        <f>"  (Removal Date Est. Indemnity = $"&amp;ROUND(E38,2)&amp;" Est. Producer Premium)"</f>
        <v xml:space="preserve">  (Removal Date Est. Indemnity = $969.26 Est. Producer Premium)</v>
      </c>
      <c r="E72" s="28"/>
    </row>
    <row r="73" spans="1:12" s="1" customFormat="1" ht="7.5" customHeight="1" x14ac:dyDescent="0.35">
      <c r="A73" s="7"/>
      <c r="E73" s="28"/>
    </row>
    <row r="74" spans="1:12" ht="15.5" x14ac:dyDescent="0.35">
      <c r="A74" s="7" t="s">
        <v>4</v>
      </c>
      <c r="D74" s="5"/>
      <c r="E74" s="51"/>
      <c r="F74" s="2"/>
      <c r="G74" s="1"/>
      <c r="I74" s="2"/>
    </row>
    <row r="75" spans="1:12" ht="15.5" x14ac:dyDescent="0.35">
      <c r="A75" s="1" t="s">
        <v>2</v>
      </c>
      <c r="E75" s="10">
        <f>ROUND(G26*$H$8,0)</f>
        <v>849</v>
      </c>
      <c r="I75" s="10"/>
    </row>
    <row r="76" spans="1:12" ht="15.5" x14ac:dyDescent="0.35">
      <c r="A76" s="1" t="s">
        <v>3</v>
      </c>
      <c r="E76" s="11">
        <f>ROUND(E75/E16,2)</f>
        <v>1.06</v>
      </c>
      <c r="I76" s="11"/>
    </row>
    <row r="77" spans="1:12" ht="7.5" customHeight="1" x14ac:dyDescent="0.25"/>
    <row r="78" spans="1:12" s="41" customFormat="1" ht="14.15" customHeight="1" x14ac:dyDescent="0.35">
      <c r="A78" s="71" t="s">
        <v>31</v>
      </c>
      <c r="B78" s="71"/>
      <c r="C78" s="71"/>
      <c r="D78" s="71"/>
      <c r="E78" s="71"/>
      <c r="F78" s="71"/>
      <c r="G78" s="71"/>
      <c r="H78" s="71"/>
      <c r="I78" s="71"/>
      <c r="J78" s="40"/>
      <c r="K78" s="40"/>
      <c r="L78" s="40"/>
    </row>
    <row r="79" spans="1:12" s="41" customFormat="1" ht="14.15" customHeight="1" x14ac:dyDescent="0.35">
      <c r="A79" s="71"/>
      <c r="B79" s="71"/>
      <c r="C79" s="71"/>
      <c r="D79" s="71"/>
      <c r="E79" s="71"/>
      <c r="F79" s="71"/>
      <c r="G79" s="71"/>
      <c r="H79" s="71"/>
      <c r="I79" s="71"/>
      <c r="J79" s="40"/>
      <c r="K79" s="40"/>
      <c r="L79" s="40"/>
    </row>
    <row r="80" spans="1:12" ht="15" customHeight="1" x14ac:dyDescent="0.3">
      <c r="A80" s="6"/>
      <c r="B80" s="6"/>
      <c r="C80" s="6"/>
      <c r="D80" s="6"/>
      <c r="E80" s="6"/>
      <c r="F80" s="6"/>
      <c r="G80" s="6"/>
      <c r="H80" s="6"/>
      <c r="I80" s="6"/>
      <c r="J80" s="42" t="s">
        <v>86</v>
      </c>
    </row>
    <row r="81" spans="2:10" s="30" customFormat="1" x14ac:dyDescent="0.25"/>
    <row r="82" spans="2:10" s="30" customFormat="1" x14ac:dyDescent="0.25">
      <c r="G82" s="67" t="s">
        <v>43</v>
      </c>
      <c r="H82" s="75" t="s">
        <v>44</v>
      </c>
      <c r="I82" s="75"/>
      <c r="J82" s="75"/>
    </row>
    <row r="83" spans="2:10" s="30" customFormat="1" x14ac:dyDescent="0.25">
      <c r="H83" s="75" t="s">
        <v>85</v>
      </c>
      <c r="I83" s="75"/>
      <c r="J83" s="75"/>
    </row>
    <row r="84" spans="2:10" s="30" customFormat="1" x14ac:dyDescent="0.25"/>
    <row r="85" spans="2:10" s="30" customFormat="1" x14ac:dyDescent="0.25"/>
    <row r="86" spans="2:10" s="30" customFormat="1" x14ac:dyDescent="0.25"/>
    <row r="87" spans="2:10" s="30" customFormat="1" x14ac:dyDescent="0.25"/>
    <row r="90" spans="2:10" ht="16" hidden="1" thickBot="1" x14ac:dyDescent="0.4">
      <c r="C90" s="68" t="s">
        <v>80</v>
      </c>
    </row>
    <row r="91" spans="2:10" ht="15.5" hidden="1" x14ac:dyDescent="0.35">
      <c r="C91" s="69" t="s">
        <v>7</v>
      </c>
    </row>
    <row r="92" spans="2:10" ht="15.5" hidden="1" x14ac:dyDescent="0.35">
      <c r="B92" s="1"/>
      <c r="C92" s="1" t="s">
        <v>57</v>
      </c>
      <c r="D92" s="1"/>
    </row>
    <row r="93" spans="2:10" ht="15.5" hidden="1" x14ac:dyDescent="0.35">
      <c r="B93" s="1"/>
      <c r="C93" s="1" t="s">
        <v>48</v>
      </c>
      <c r="D93" s="1"/>
    </row>
    <row r="94" spans="2:10" ht="15.5" hidden="1" x14ac:dyDescent="0.35">
      <c r="B94" s="1"/>
      <c r="C94" s="1" t="s">
        <v>49</v>
      </c>
      <c r="D94" s="1"/>
    </row>
    <row r="95" spans="2:10" ht="15.5" hidden="1" x14ac:dyDescent="0.35">
      <c r="B95" s="1"/>
      <c r="C95" s="1" t="s">
        <v>53</v>
      </c>
      <c r="D95" s="1"/>
    </row>
    <row r="96" spans="2:10" ht="15.5" hidden="1" x14ac:dyDescent="0.35">
      <c r="B96" s="1"/>
      <c r="C96" s="8" t="s">
        <v>81</v>
      </c>
      <c r="D96" s="1"/>
    </row>
    <row r="97" spans="2:4" ht="15.5" hidden="1" x14ac:dyDescent="0.35">
      <c r="B97" s="1"/>
      <c r="C97" s="8" t="s">
        <v>82</v>
      </c>
      <c r="D97" s="1"/>
    </row>
    <row r="98" spans="2:4" ht="15.5" hidden="1" x14ac:dyDescent="0.35">
      <c r="B98" s="1"/>
      <c r="C98" s="1" t="s">
        <v>66</v>
      </c>
      <c r="D98" s="1"/>
    </row>
    <row r="99" spans="2:4" ht="15.5" hidden="1" x14ac:dyDescent="0.35">
      <c r="B99" s="1"/>
      <c r="C99" s="1" t="s">
        <v>68</v>
      </c>
      <c r="D99" s="1"/>
    </row>
    <row r="100" spans="2:4" ht="15.5" hidden="1" x14ac:dyDescent="0.35">
      <c r="B100" s="1"/>
      <c r="C100" s="1" t="s">
        <v>72</v>
      </c>
      <c r="D100" s="1"/>
    </row>
    <row r="101" spans="2:4" ht="15.5" hidden="1" x14ac:dyDescent="0.35">
      <c r="B101" s="1"/>
      <c r="C101" s="1"/>
      <c r="D101" s="1"/>
    </row>
    <row r="102" spans="2:4" ht="15.5" hidden="1" x14ac:dyDescent="0.35">
      <c r="B102" s="1"/>
      <c r="C102" s="1"/>
      <c r="D102" s="1"/>
    </row>
    <row r="103" spans="2:4" ht="15.5" hidden="1" x14ac:dyDescent="0.35">
      <c r="B103" s="1"/>
      <c r="C103" s="1" t="s">
        <v>5</v>
      </c>
      <c r="D103" s="1"/>
    </row>
    <row r="104" spans="2:4" ht="16" hidden="1" thickBot="1" x14ac:dyDescent="0.4">
      <c r="B104" s="1"/>
      <c r="C104" s="13" t="s">
        <v>19</v>
      </c>
      <c r="D104" s="13"/>
    </row>
    <row r="105" spans="2:4" ht="15.5" hidden="1" x14ac:dyDescent="0.35">
      <c r="B105" s="1"/>
      <c r="C105" s="15" t="s">
        <v>7</v>
      </c>
      <c r="D105" s="16">
        <v>0</v>
      </c>
    </row>
    <row r="106" spans="2:4" ht="15.5" hidden="1" x14ac:dyDescent="0.35">
      <c r="B106" s="1" t="s">
        <v>57</v>
      </c>
      <c r="C106" s="17" t="s">
        <v>74</v>
      </c>
      <c r="D106" s="18">
        <v>1</v>
      </c>
    </row>
    <row r="107" spans="2:4" ht="15.5" hidden="1" x14ac:dyDescent="0.35">
      <c r="B107" s="1"/>
      <c r="C107" s="17" t="s">
        <v>78</v>
      </c>
      <c r="D107" s="18">
        <v>1.3</v>
      </c>
    </row>
    <row r="108" spans="2:4" ht="16" hidden="1" thickBot="1" x14ac:dyDescent="0.4">
      <c r="B108" s="1"/>
      <c r="C108" s="19" t="s">
        <v>76</v>
      </c>
      <c r="D108" s="20">
        <v>0.6</v>
      </c>
    </row>
    <row r="109" spans="2:4" ht="15.5" hidden="1" x14ac:dyDescent="0.35">
      <c r="B109" s="1" t="s">
        <v>48</v>
      </c>
      <c r="C109" s="1" t="s">
        <v>45</v>
      </c>
      <c r="D109" s="1">
        <v>0.25</v>
      </c>
    </row>
    <row r="110" spans="2:4" ht="15.5" hidden="1" x14ac:dyDescent="0.35">
      <c r="B110" s="1"/>
      <c r="C110" s="1" t="s">
        <v>46</v>
      </c>
      <c r="D110" s="1">
        <v>0.2</v>
      </c>
    </row>
    <row r="111" spans="2:4" ht="15.5" hidden="1" x14ac:dyDescent="0.35">
      <c r="B111" s="1"/>
      <c r="C111" s="1" t="s">
        <v>47</v>
      </c>
      <c r="D111" s="1">
        <v>0.15</v>
      </c>
    </row>
    <row r="112" spans="2:4" ht="15.5" hidden="1" x14ac:dyDescent="0.35">
      <c r="B112" s="1" t="s">
        <v>49</v>
      </c>
      <c r="C112" s="1" t="s">
        <v>50</v>
      </c>
      <c r="D112" s="1">
        <v>0.2</v>
      </c>
    </row>
    <row r="113" spans="2:4" ht="15.5" hidden="1" x14ac:dyDescent="0.35">
      <c r="B113" s="1"/>
      <c r="C113" s="1" t="s">
        <v>51</v>
      </c>
      <c r="D113" s="1">
        <v>0.1</v>
      </c>
    </row>
    <row r="114" spans="2:4" ht="15.5" hidden="1" x14ac:dyDescent="0.35">
      <c r="B114" s="1"/>
      <c r="C114" s="1" t="s">
        <v>52</v>
      </c>
      <c r="D114" s="1">
        <v>0.05</v>
      </c>
    </row>
    <row r="115" spans="2:4" ht="15.5" hidden="1" x14ac:dyDescent="0.35">
      <c r="B115" s="1" t="s">
        <v>53</v>
      </c>
      <c r="C115" s="1" t="s">
        <v>54</v>
      </c>
      <c r="D115" s="1">
        <v>1.5</v>
      </c>
    </row>
    <row r="116" spans="2:4" ht="15.5" hidden="1" x14ac:dyDescent="0.35">
      <c r="B116" s="1"/>
      <c r="C116" s="1" t="s">
        <v>55</v>
      </c>
      <c r="D116" s="1">
        <v>1.3</v>
      </c>
    </row>
    <row r="117" spans="2:4" ht="15.5" hidden="1" x14ac:dyDescent="0.35">
      <c r="B117" s="1"/>
      <c r="C117" s="1" t="s">
        <v>56</v>
      </c>
      <c r="D117" s="1">
        <v>0.75</v>
      </c>
    </row>
    <row r="118" spans="2:4" ht="15.5" hidden="1" x14ac:dyDescent="0.35">
      <c r="B118" s="47" t="s">
        <v>58</v>
      </c>
      <c r="C118" s="1" t="s">
        <v>61</v>
      </c>
      <c r="D118" s="1">
        <v>0.65</v>
      </c>
    </row>
    <row r="119" spans="2:4" ht="15.5" hidden="1" x14ac:dyDescent="0.35">
      <c r="B119" s="1"/>
      <c r="C119" s="1" t="s">
        <v>59</v>
      </c>
      <c r="D119" s="1">
        <v>0.5</v>
      </c>
    </row>
    <row r="120" spans="2:4" ht="15.5" hidden="1" x14ac:dyDescent="0.35">
      <c r="B120" s="1"/>
      <c r="C120" s="1" t="s">
        <v>60</v>
      </c>
      <c r="D120" s="1">
        <v>0.4</v>
      </c>
    </row>
    <row r="121" spans="2:4" ht="15.5" hidden="1" x14ac:dyDescent="0.35">
      <c r="B121" s="47" t="s">
        <v>62</v>
      </c>
      <c r="C121" s="1" t="s">
        <v>63</v>
      </c>
      <c r="D121" s="1">
        <v>0.3</v>
      </c>
    </row>
    <row r="122" spans="2:4" ht="15.5" hidden="1" x14ac:dyDescent="0.35">
      <c r="B122" s="1"/>
      <c r="C122" s="1" t="s">
        <v>64</v>
      </c>
      <c r="D122" s="1">
        <v>0.25</v>
      </c>
    </row>
    <row r="123" spans="2:4" ht="15.5" hidden="1" x14ac:dyDescent="0.35">
      <c r="B123" s="1"/>
      <c r="C123" s="1" t="s">
        <v>65</v>
      </c>
      <c r="D123" s="1">
        <v>0.2</v>
      </c>
    </row>
    <row r="124" spans="2:4" ht="15.5" hidden="1" x14ac:dyDescent="0.35">
      <c r="B124" s="1" t="s">
        <v>66</v>
      </c>
      <c r="C124" s="17" t="s">
        <v>77</v>
      </c>
      <c r="D124" s="1">
        <v>0.6</v>
      </c>
    </row>
    <row r="125" spans="2:4" ht="15.5" hidden="1" x14ac:dyDescent="0.35">
      <c r="B125" s="1"/>
      <c r="C125" s="17" t="s">
        <v>79</v>
      </c>
      <c r="D125" s="1">
        <v>0.75</v>
      </c>
    </row>
    <row r="126" spans="2:4" ht="16" hidden="1" thickBot="1" x14ac:dyDescent="0.4">
      <c r="B126" s="1"/>
      <c r="C126" s="19" t="s">
        <v>67</v>
      </c>
      <c r="D126" s="1">
        <v>0.4</v>
      </c>
    </row>
    <row r="127" spans="2:4" ht="15.5" hidden="1" x14ac:dyDescent="0.35">
      <c r="B127" s="1" t="s">
        <v>68</v>
      </c>
      <c r="C127" s="1" t="s">
        <v>69</v>
      </c>
      <c r="D127" s="1">
        <v>0.25</v>
      </c>
    </row>
    <row r="128" spans="2:4" ht="15.5" hidden="1" x14ac:dyDescent="0.35">
      <c r="B128" s="1"/>
      <c r="C128" s="1" t="s">
        <v>70</v>
      </c>
      <c r="D128" s="1">
        <v>0.2</v>
      </c>
    </row>
    <row r="129" spans="2:4" ht="15.5" hidden="1" x14ac:dyDescent="0.35">
      <c r="B129" s="1"/>
      <c r="C129" s="1" t="s">
        <v>71</v>
      </c>
      <c r="D129" s="1">
        <v>0.15</v>
      </c>
    </row>
    <row r="130" spans="2:4" ht="15.5" hidden="1" x14ac:dyDescent="0.35">
      <c r="B130" s="1" t="s">
        <v>72</v>
      </c>
      <c r="C130" s="17" t="s">
        <v>73</v>
      </c>
      <c r="D130" s="1">
        <v>1.3</v>
      </c>
    </row>
    <row r="131" spans="2:4" ht="15.5" hidden="1" x14ac:dyDescent="0.35">
      <c r="B131" s="1"/>
      <c r="C131" s="17" t="s">
        <v>74</v>
      </c>
      <c r="D131" s="1">
        <v>1</v>
      </c>
    </row>
    <row r="132" spans="2:4" ht="16" hidden="1" thickBot="1" x14ac:dyDescent="0.4">
      <c r="B132" s="1"/>
      <c r="C132" s="19" t="s">
        <v>75</v>
      </c>
      <c r="D132" s="1">
        <v>0.6</v>
      </c>
    </row>
  </sheetData>
  <sheetProtection algorithmName="SHA-512" hashValue="CalWbBrss0I37Vftn0GJr5Q8GE9IgvXJD45dwVWzQ+9o/2/toX4A7vC7mGyVCbb1MIcaGrkH8BGkMPPJ60u1iQ==" saltValue="Hwb4fjzoSpUk0/1hrx+4xg==" spinCount="100000" sheet="1" objects="1" scenarios="1"/>
  <mergeCells count="4">
    <mergeCell ref="A78:I79"/>
    <mergeCell ref="A53:J53"/>
    <mergeCell ref="H82:J82"/>
    <mergeCell ref="H83:J83"/>
  </mergeCells>
  <dataValidations disablePrompts="1" count="2">
    <dataValidation type="list" allowBlank="1" showInputMessage="1" showErrorMessage="1" sqref="B20:B25" xr:uid="{00000000-0002-0000-0000-000000000000}">
      <formula1>Animal</formula1>
    </dataValidation>
    <dataValidation type="list" allowBlank="1" showInputMessage="1" showErrorMessage="1" sqref="C20:C25" xr:uid="{00000000-0002-0000-0000-000001000000}">
      <formula1>INDIRECT(SUBSTITUTE(B20," ",""))</formula1>
    </dataValidation>
  </dataValidations>
  <hyperlinks>
    <hyperlink ref="H82" r:id="rId1" display="MASC Patsure Days Insurance Factsheet" xr:uid="{00000000-0004-0000-0000-000000000000}"/>
    <hyperlink ref="H83" r:id="rId2" display="https://www.masc.mb.ca/masc.nsf/calculator_pasture_days.html" xr:uid="{00000000-0004-0000-0000-000001000000}"/>
    <hyperlink ref="H83:J83" r:id="rId3" display="MASC Pasture Days Insurance Calculator" xr:uid="{00000000-0004-0000-0000-000002000000}"/>
  </hyperlinks>
  <pageMargins left="0.7" right="0.7" top="0.75" bottom="0.75" header="0.3" footer="0.3"/>
  <pageSetup scale="52" orientation="portrait" horizontalDpi="1200" verticalDpi="1200" r:id="rId4"/>
  <drawing r:id="rId5"/>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9:I131"/>
  <sheetViews>
    <sheetView topLeftCell="A88" workbookViewId="0">
      <selection activeCell="B115" sqref="B115"/>
    </sheetView>
  </sheetViews>
  <sheetFormatPr defaultRowHeight="12.5" x14ac:dyDescent="0.25"/>
  <sheetData>
    <row r="29" spans="2:8" s="30" customFormat="1" x14ac:dyDescent="0.25">
      <c r="D29" s="30" t="str">
        <f>"Pasture Insurance Indemnity (based on "&amp;'Pasture Insurance'!E26&amp;" Head @ "&amp;'Pasture Insurance'!E8&amp;" days historic grazing period)"</f>
        <v>Pasture Insurance Indemnity (based on 146 Head @ 134 days historic grazing period)</v>
      </c>
    </row>
    <row r="30" spans="2:8" s="30" customFormat="1" x14ac:dyDescent="0.25">
      <c r="B30"/>
      <c r="C30"/>
      <c r="D30" s="57"/>
      <c r="E30" s="58"/>
    </row>
    <row r="31" spans="2:8" s="30" customFormat="1" x14ac:dyDescent="0.25">
      <c r="B31"/>
      <c r="C31"/>
      <c r="D31" s="57" t="s">
        <v>36</v>
      </c>
      <c r="E31" s="58"/>
      <c r="F31" s="30" t="s">
        <v>37</v>
      </c>
    </row>
    <row r="32" spans="2:8" s="30" customFormat="1" x14ac:dyDescent="0.25">
      <c r="B32">
        <f t="shared" ref="B32:B63" si="0">B33-1</f>
        <v>40</v>
      </c>
      <c r="C32"/>
      <c r="D32" s="57">
        <f>IF(('Pasture Insurance'!$E$30-(B32*'Pasture Insurance'!$G$26))*'Pasture Insurance'!$E$12&lt;0,0,('Pasture Insurance'!$E$30-(B32*'Pasture Insurance'!$G$26))*'Pasture Insurance'!$E$12)</f>
        <v>34456.5</v>
      </c>
      <c r="E32" s="58">
        <f>B32+'Pasture Insurance'!$E$10</f>
        <v>44736</v>
      </c>
      <c r="F32" s="59">
        <f>'Pasture Insurance'!$E$38</f>
        <v>969.26220000000001</v>
      </c>
      <c r="G32" s="30">
        <f>ROUND('Pasture Insurance'!E30/'Pasture Insurance'!G26,0)</f>
        <v>121</v>
      </c>
      <c r="H32" s="59">
        <f>IF(('Pasture Insurance'!$E$30-(G32*'Pasture Insurance'!$G$26))*'Pasture Insurance'!$E$12&lt;0,0,('Pasture Insurance'!$E$30-(G32*'Pasture Insurance'!$G$26))*'Pasture Insurance'!$E$12)</f>
        <v>0</v>
      </c>
    </row>
    <row r="33" spans="2:8" s="30" customFormat="1" x14ac:dyDescent="0.25">
      <c r="B33">
        <f t="shared" si="0"/>
        <v>41</v>
      </c>
      <c r="C33"/>
      <c r="D33" s="57">
        <f>IF(('Pasture Insurance'!$E$30-(B33*'Pasture Insurance'!$G$26))*'Pasture Insurance'!$E$12&lt;0,0,('Pasture Insurance'!$E$30-(B33*'Pasture Insurance'!$G$26))*'Pasture Insurance'!$E$12)</f>
        <v>34029</v>
      </c>
      <c r="E33" s="58">
        <f>B33+'Pasture Insurance'!$E$10</f>
        <v>44737</v>
      </c>
      <c r="F33" s="59">
        <f>'Pasture Insurance'!$E$38</f>
        <v>969.26220000000001</v>
      </c>
      <c r="G33" s="30">
        <f t="shared" ref="G33:G64" si="1">G32-1</f>
        <v>120</v>
      </c>
      <c r="H33" s="59">
        <f>IF(('Pasture Insurance'!$E$30-(G33*'Pasture Insurance'!$G$26))*'Pasture Insurance'!$E$12&lt;0,0,('Pasture Insurance'!$E$30-(G33*'Pasture Insurance'!$G$26))*'Pasture Insurance'!$E$12)</f>
        <v>256.5</v>
      </c>
    </row>
    <row r="34" spans="2:8" s="30" customFormat="1" x14ac:dyDescent="0.25">
      <c r="B34">
        <f t="shared" si="0"/>
        <v>42</v>
      </c>
      <c r="C34"/>
      <c r="D34" s="57">
        <f>IF(('Pasture Insurance'!$E$30-(B34*'Pasture Insurance'!$G$26))*'Pasture Insurance'!$E$12&lt;0,0,('Pasture Insurance'!$E$30-(B34*'Pasture Insurance'!$G$26))*'Pasture Insurance'!$E$12)</f>
        <v>33601.5</v>
      </c>
      <c r="E34" s="58">
        <f>B34+'Pasture Insurance'!$E$10</f>
        <v>44738</v>
      </c>
      <c r="F34" s="59">
        <f>'Pasture Insurance'!$E$38</f>
        <v>969.26220000000001</v>
      </c>
      <c r="G34" s="30">
        <f t="shared" si="1"/>
        <v>119</v>
      </c>
      <c r="H34" s="59">
        <f>IF(('Pasture Insurance'!$E$30-(G34*'Pasture Insurance'!$G$26))*'Pasture Insurance'!$E$12&lt;0,0,('Pasture Insurance'!$E$30-(G34*'Pasture Insurance'!$G$26))*'Pasture Insurance'!$E$12)</f>
        <v>684</v>
      </c>
    </row>
    <row r="35" spans="2:8" s="30" customFormat="1" x14ac:dyDescent="0.25">
      <c r="B35">
        <f t="shared" si="0"/>
        <v>43</v>
      </c>
      <c r="C35"/>
      <c r="D35" s="57">
        <f>IF(('Pasture Insurance'!$E$30-(B35*'Pasture Insurance'!$G$26))*'Pasture Insurance'!$E$12&lt;0,0,('Pasture Insurance'!$E$30-(B35*'Pasture Insurance'!$G$26))*'Pasture Insurance'!$E$12)</f>
        <v>33174</v>
      </c>
      <c r="E35" s="58">
        <f>B35+'Pasture Insurance'!$E$10</f>
        <v>44739</v>
      </c>
      <c r="F35" s="59">
        <f>'Pasture Insurance'!$E$38</f>
        <v>969.26220000000001</v>
      </c>
      <c r="G35" s="30">
        <f t="shared" si="1"/>
        <v>118</v>
      </c>
      <c r="H35" s="59">
        <f>IF(('Pasture Insurance'!$E$30-(G35*'Pasture Insurance'!$G$26))*'Pasture Insurance'!$E$12&lt;0,0,('Pasture Insurance'!$E$30-(G35*'Pasture Insurance'!$G$26))*'Pasture Insurance'!$E$12)</f>
        <v>1111.5</v>
      </c>
    </row>
    <row r="36" spans="2:8" s="30" customFormat="1" x14ac:dyDescent="0.25">
      <c r="B36">
        <f t="shared" si="0"/>
        <v>44</v>
      </c>
      <c r="C36"/>
      <c r="D36" s="57">
        <f>IF(('Pasture Insurance'!$E$30-(B36*'Pasture Insurance'!$G$26))*'Pasture Insurance'!$E$12&lt;0,0,('Pasture Insurance'!$E$30-(B36*'Pasture Insurance'!$G$26))*'Pasture Insurance'!$E$12)</f>
        <v>32746.5</v>
      </c>
      <c r="E36" s="58">
        <f>B36+'Pasture Insurance'!$E$10</f>
        <v>44740</v>
      </c>
      <c r="F36" s="59">
        <f>'Pasture Insurance'!$E$38</f>
        <v>969.26220000000001</v>
      </c>
      <c r="G36" s="30">
        <f t="shared" si="1"/>
        <v>117</v>
      </c>
      <c r="H36" s="59">
        <f>IF(('Pasture Insurance'!$E$30-(G36*'Pasture Insurance'!$G$26))*'Pasture Insurance'!$E$12&lt;0,0,('Pasture Insurance'!$E$30-(G36*'Pasture Insurance'!$G$26))*'Pasture Insurance'!$E$12)</f>
        <v>1539</v>
      </c>
    </row>
    <row r="37" spans="2:8" s="30" customFormat="1" x14ac:dyDescent="0.25">
      <c r="B37">
        <f t="shared" si="0"/>
        <v>45</v>
      </c>
      <c r="C37"/>
      <c r="D37" s="57">
        <f>IF(('Pasture Insurance'!$E$30-(B37*'Pasture Insurance'!$G$26))*'Pasture Insurance'!$E$12&lt;0,0,('Pasture Insurance'!$E$30-(B37*'Pasture Insurance'!$G$26))*'Pasture Insurance'!$E$12)</f>
        <v>32319</v>
      </c>
      <c r="E37" s="58">
        <f>B37+'Pasture Insurance'!$E$10</f>
        <v>44741</v>
      </c>
      <c r="F37" s="59">
        <f>'Pasture Insurance'!$E$38</f>
        <v>969.26220000000001</v>
      </c>
      <c r="G37" s="30">
        <f t="shared" si="1"/>
        <v>116</v>
      </c>
      <c r="H37" s="59">
        <f>IF(('Pasture Insurance'!$E$30-(G37*'Pasture Insurance'!$G$26))*'Pasture Insurance'!$E$12&lt;0,0,('Pasture Insurance'!$E$30-(G37*'Pasture Insurance'!$G$26))*'Pasture Insurance'!$E$12)</f>
        <v>1966.5</v>
      </c>
    </row>
    <row r="38" spans="2:8" s="30" customFormat="1" x14ac:dyDescent="0.25">
      <c r="B38">
        <f t="shared" si="0"/>
        <v>46</v>
      </c>
      <c r="C38"/>
      <c r="D38" s="57">
        <f>IF(('Pasture Insurance'!$E$30-(B38*'Pasture Insurance'!$G$26))*'Pasture Insurance'!$E$12&lt;0,0,('Pasture Insurance'!$E$30-(B38*'Pasture Insurance'!$G$26))*'Pasture Insurance'!$E$12)</f>
        <v>31891.5</v>
      </c>
      <c r="E38" s="58">
        <f>B38+'Pasture Insurance'!$E$10</f>
        <v>44742</v>
      </c>
      <c r="F38" s="59">
        <f>'Pasture Insurance'!$E$38</f>
        <v>969.26220000000001</v>
      </c>
      <c r="G38" s="30">
        <f t="shared" si="1"/>
        <v>115</v>
      </c>
      <c r="H38" s="59">
        <f>IF(('Pasture Insurance'!$E$30-(G38*'Pasture Insurance'!$G$26))*'Pasture Insurance'!$E$12&lt;0,0,('Pasture Insurance'!$E$30-(G38*'Pasture Insurance'!$G$26))*'Pasture Insurance'!$E$12)</f>
        <v>2394</v>
      </c>
    </row>
    <row r="39" spans="2:8" s="30" customFormat="1" x14ac:dyDescent="0.25">
      <c r="B39">
        <f t="shared" si="0"/>
        <v>47</v>
      </c>
      <c r="C39"/>
      <c r="D39" s="57">
        <f>IF(('Pasture Insurance'!$E$30-(B39*'Pasture Insurance'!$G$26))*'Pasture Insurance'!$E$12&lt;0,0,('Pasture Insurance'!$E$30-(B39*'Pasture Insurance'!$G$26))*'Pasture Insurance'!$E$12)</f>
        <v>31464</v>
      </c>
      <c r="E39" s="58">
        <f>B39+'Pasture Insurance'!$E$10</f>
        <v>44743</v>
      </c>
      <c r="F39" s="59">
        <f>'Pasture Insurance'!$E$38</f>
        <v>969.26220000000001</v>
      </c>
      <c r="G39" s="30">
        <f t="shared" si="1"/>
        <v>114</v>
      </c>
      <c r="H39" s="59">
        <f>IF(('Pasture Insurance'!$E$30-(G39*'Pasture Insurance'!$G$26))*'Pasture Insurance'!$E$12&lt;0,0,('Pasture Insurance'!$E$30-(G39*'Pasture Insurance'!$G$26))*'Pasture Insurance'!$E$12)</f>
        <v>2821.5</v>
      </c>
    </row>
    <row r="40" spans="2:8" s="30" customFormat="1" x14ac:dyDescent="0.25">
      <c r="B40">
        <f t="shared" si="0"/>
        <v>48</v>
      </c>
      <c r="C40"/>
      <c r="D40" s="57">
        <f>IF(('Pasture Insurance'!$E$30-(B40*'Pasture Insurance'!$G$26))*'Pasture Insurance'!$E$12&lt;0,0,('Pasture Insurance'!$E$30-(B40*'Pasture Insurance'!$G$26))*'Pasture Insurance'!$E$12)</f>
        <v>31036.5</v>
      </c>
      <c r="E40" s="58">
        <f>B40+'Pasture Insurance'!$E$10</f>
        <v>44744</v>
      </c>
      <c r="F40" s="59">
        <f>'Pasture Insurance'!$E$38</f>
        <v>969.26220000000001</v>
      </c>
      <c r="G40" s="30">
        <f t="shared" si="1"/>
        <v>113</v>
      </c>
      <c r="H40" s="59">
        <f>IF(('Pasture Insurance'!$E$30-(G40*'Pasture Insurance'!$G$26))*'Pasture Insurance'!$E$12&lt;0,0,('Pasture Insurance'!$E$30-(G40*'Pasture Insurance'!$G$26))*'Pasture Insurance'!$E$12)</f>
        <v>3249</v>
      </c>
    </row>
    <row r="41" spans="2:8" s="30" customFormat="1" x14ac:dyDescent="0.25">
      <c r="B41">
        <f t="shared" si="0"/>
        <v>49</v>
      </c>
      <c r="C41"/>
      <c r="D41" s="57">
        <f>IF(('Pasture Insurance'!$E$30-(B41*'Pasture Insurance'!$G$26))*'Pasture Insurance'!$E$12&lt;0,0,('Pasture Insurance'!$E$30-(B41*'Pasture Insurance'!$G$26))*'Pasture Insurance'!$E$12)</f>
        <v>30609</v>
      </c>
      <c r="E41" s="58">
        <f>B41+'Pasture Insurance'!$E$10</f>
        <v>44745</v>
      </c>
      <c r="F41" s="59">
        <f>'Pasture Insurance'!$E$38</f>
        <v>969.26220000000001</v>
      </c>
      <c r="G41" s="30">
        <f t="shared" si="1"/>
        <v>112</v>
      </c>
      <c r="H41" s="59">
        <f>IF(('Pasture Insurance'!$E$30-(G41*'Pasture Insurance'!$G$26))*'Pasture Insurance'!$E$12&lt;0,0,('Pasture Insurance'!$E$30-(G41*'Pasture Insurance'!$G$26))*'Pasture Insurance'!$E$12)</f>
        <v>3676.5</v>
      </c>
    </row>
    <row r="42" spans="2:8" s="30" customFormat="1" x14ac:dyDescent="0.25">
      <c r="B42">
        <f t="shared" si="0"/>
        <v>50</v>
      </c>
      <c r="C42"/>
      <c r="D42" s="57">
        <f>IF(('Pasture Insurance'!$E$30-(B42*'Pasture Insurance'!$G$26))*'Pasture Insurance'!$E$12&lt;0,0,('Pasture Insurance'!$E$30-(B42*'Pasture Insurance'!$G$26))*'Pasture Insurance'!$E$12)</f>
        <v>30181.5</v>
      </c>
      <c r="E42" s="58">
        <f>B42+'Pasture Insurance'!$E$10</f>
        <v>44746</v>
      </c>
      <c r="F42" s="59">
        <f>'Pasture Insurance'!$E$38</f>
        <v>969.26220000000001</v>
      </c>
      <c r="G42" s="30">
        <f t="shared" si="1"/>
        <v>111</v>
      </c>
      <c r="H42" s="59">
        <f>IF(('Pasture Insurance'!$E$30-(G42*'Pasture Insurance'!$G$26))*'Pasture Insurance'!$E$12&lt;0,0,('Pasture Insurance'!$E$30-(G42*'Pasture Insurance'!$G$26))*'Pasture Insurance'!$E$12)</f>
        <v>4104</v>
      </c>
    </row>
    <row r="43" spans="2:8" s="30" customFormat="1" x14ac:dyDescent="0.25">
      <c r="B43">
        <f t="shared" si="0"/>
        <v>51</v>
      </c>
      <c r="C43"/>
      <c r="D43" s="57">
        <f>IF(('Pasture Insurance'!$E$30-(B43*'Pasture Insurance'!$G$26))*'Pasture Insurance'!$E$12&lt;0,0,('Pasture Insurance'!$E$30-(B43*'Pasture Insurance'!$G$26))*'Pasture Insurance'!$E$12)</f>
        <v>29754</v>
      </c>
      <c r="E43" s="58">
        <f>B43+'Pasture Insurance'!$E$10</f>
        <v>44747</v>
      </c>
      <c r="F43" s="59">
        <f>'Pasture Insurance'!$E$38</f>
        <v>969.26220000000001</v>
      </c>
      <c r="G43" s="30">
        <f t="shared" si="1"/>
        <v>110</v>
      </c>
      <c r="H43" s="59">
        <f>IF(('Pasture Insurance'!$E$30-(G43*'Pasture Insurance'!$G$26))*'Pasture Insurance'!$E$12&lt;0,0,('Pasture Insurance'!$E$30-(G43*'Pasture Insurance'!$G$26))*'Pasture Insurance'!$E$12)</f>
        <v>4531.5</v>
      </c>
    </row>
    <row r="44" spans="2:8" s="30" customFormat="1" x14ac:dyDescent="0.25">
      <c r="B44">
        <f t="shared" si="0"/>
        <v>52</v>
      </c>
      <c r="C44"/>
      <c r="D44" s="57">
        <f>IF(('Pasture Insurance'!$E$30-(B44*'Pasture Insurance'!$G$26))*'Pasture Insurance'!$E$12&lt;0,0,('Pasture Insurance'!$E$30-(B44*'Pasture Insurance'!$G$26))*'Pasture Insurance'!$E$12)</f>
        <v>29326.5</v>
      </c>
      <c r="E44" s="58">
        <f>B44+'Pasture Insurance'!$E$10</f>
        <v>44748</v>
      </c>
      <c r="F44" s="59">
        <f>'Pasture Insurance'!$E$38</f>
        <v>969.26220000000001</v>
      </c>
      <c r="G44" s="30">
        <f t="shared" si="1"/>
        <v>109</v>
      </c>
      <c r="H44" s="59">
        <f>IF(('Pasture Insurance'!$E$30-(G44*'Pasture Insurance'!$G$26))*'Pasture Insurance'!$E$12&lt;0,0,('Pasture Insurance'!$E$30-(G44*'Pasture Insurance'!$G$26))*'Pasture Insurance'!$E$12)</f>
        <v>4959</v>
      </c>
    </row>
    <row r="45" spans="2:8" s="30" customFormat="1" x14ac:dyDescent="0.25">
      <c r="B45">
        <f t="shared" si="0"/>
        <v>53</v>
      </c>
      <c r="C45"/>
      <c r="D45" s="57">
        <f>IF(('Pasture Insurance'!$E$30-(B45*'Pasture Insurance'!$G$26))*'Pasture Insurance'!$E$12&lt;0,0,('Pasture Insurance'!$E$30-(B45*'Pasture Insurance'!$G$26))*'Pasture Insurance'!$E$12)</f>
        <v>28899</v>
      </c>
      <c r="E45" s="58">
        <f>B45+'Pasture Insurance'!$E$10</f>
        <v>44749</v>
      </c>
      <c r="F45" s="59">
        <f>'Pasture Insurance'!$E$38</f>
        <v>969.26220000000001</v>
      </c>
      <c r="G45" s="30">
        <f t="shared" si="1"/>
        <v>108</v>
      </c>
      <c r="H45" s="59">
        <f>IF(('Pasture Insurance'!$E$30-(G45*'Pasture Insurance'!$G$26))*'Pasture Insurance'!$E$12&lt;0,0,('Pasture Insurance'!$E$30-(G45*'Pasture Insurance'!$G$26))*'Pasture Insurance'!$E$12)</f>
        <v>5386.5</v>
      </c>
    </row>
    <row r="46" spans="2:8" s="30" customFormat="1" x14ac:dyDescent="0.25">
      <c r="B46">
        <f t="shared" si="0"/>
        <v>54</v>
      </c>
      <c r="C46"/>
      <c r="D46" s="57">
        <f>IF(('Pasture Insurance'!$E$30-(B46*'Pasture Insurance'!$G$26))*'Pasture Insurance'!$E$12&lt;0,0,('Pasture Insurance'!$E$30-(B46*'Pasture Insurance'!$G$26))*'Pasture Insurance'!$E$12)</f>
        <v>28471.5</v>
      </c>
      <c r="E46" s="58">
        <f>B46+'Pasture Insurance'!$E$10</f>
        <v>44750</v>
      </c>
      <c r="F46" s="59">
        <f>'Pasture Insurance'!$E$38</f>
        <v>969.26220000000001</v>
      </c>
      <c r="G46" s="30">
        <f t="shared" si="1"/>
        <v>107</v>
      </c>
      <c r="H46" s="59">
        <f>IF(('Pasture Insurance'!$E$30-(G46*'Pasture Insurance'!$G$26))*'Pasture Insurance'!$E$12&lt;0,0,('Pasture Insurance'!$E$30-(G46*'Pasture Insurance'!$G$26))*'Pasture Insurance'!$E$12)</f>
        <v>5814</v>
      </c>
    </row>
    <row r="47" spans="2:8" s="30" customFormat="1" x14ac:dyDescent="0.25">
      <c r="B47">
        <f t="shared" si="0"/>
        <v>55</v>
      </c>
      <c r="C47"/>
      <c r="D47" s="57">
        <f>IF(('Pasture Insurance'!$E$30-(B47*'Pasture Insurance'!$G$26))*'Pasture Insurance'!$E$12&lt;0,0,('Pasture Insurance'!$E$30-(B47*'Pasture Insurance'!$G$26))*'Pasture Insurance'!$E$12)</f>
        <v>28044</v>
      </c>
      <c r="E47" s="58">
        <f>B47+'Pasture Insurance'!$E$10</f>
        <v>44751</v>
      </c>
      <c r="F47" s="59">
        <f>'Pasture Insurance'!$E$38</f>
        <v>969.26220000000001</v>
      </c>
      <c r="G47" s="30">
        <f t="shared" si="1"/>
        <v>106</v>
      </c>
      <c r="H47" s="59">
        <f>IF(('Pasture Insurance'!$E$30-(G47*'Pasture Insurance'!$G$26))*'Pasture Insurance'!$E$12&lt;0,0,('Pasture Insurance'!$E$30-(G47*'Pasture Insurance'!$G$26))*'Pasture Insurance'!$E$12)</f>
        <v>6241.5</v>
      </c>
    </row>
    <row r="48" spans="2:8" s="30" customFormat="1" x14ac:dyDescent="0.25">
      <c r="B48">
        <f t="shared" si="0"/>
        <v>56</v>
      </c>
      <c r="C48"/>
      <c r="D48" s="57">
        <f>IF(('Pasture Insurance'!$E$30-(B48*'Pasture Insurance'!$G$26))*'Pasture Insurance'!$E$12&lt;0,0,('Pasture Insurance'!$E$30-(B48*'Pasture Insurance'!$G$26))*'Pasture Insurance'!$E$12)</f>
        <v>27616.5</v>
      </c>
      <c r="E48" s="58">
        <f>B48+'Pasture Insurance'!$E$10</f>
        <v>44752</v>
      </c>
      <c r="F48" s="59">
        <f>'Pasture Insurance'!$E$38</f>
        <v>969.26220000000001</v>
      </c>
      <c r="G48" s="30">
        <f t="shared" si="1"/>
        <v>105</v>
      </c>
      <c r="H48" s="59">
        <f>IF(('Pasture Insurance'!$E$30-(G48*'Pasture Insurance'!$G$26))*'Pasture Insurance'!$E$12&lt;0,0,('Pasture Insurance'!$E$30-(G48*'Pasture Insurance'!$G$26))*'Pasture Insurance'!$E$12)</f>
        <v>6669</v>
      </c>
    </row>
    <row r="49" spans="2:8" s="30" customFormat="1" x14ac:dyDescent="0.25">
      <c r="B49">
        <f t="shared" si="0"/>
        <v>57</v>
      </c>
      <c r="C49"/>
      <c r="D49" s="57">
        <f>IF(('Pasture Insurance'!$E$30-(B49*'Pasture Insurance'!$G$26))*'Pasture Insurance'!$E$12&lt;0,0,('Pasture Insurance'!$E$30-(B49*'Pasture Insurance'!$G$26))*'Pasture Insurance'!$E$12)</f>
        <v>27189</v>
      </c>
      <c r="E49" s="58">
        <f>B49+'Pasture Insurance'!$E$10</f>
        <v>44753</v>
      </c>
      <c r="F49" s="59">
        <f>'Pasture Insurance'!$E$38</f>
        <v>969.26220000000001</v>
      </c>
      <c r="G49" s="30">
        <f t="shared" si="1"/>
        <v>104</v>
      </c>
      <c r="H49" s="59">
        <f>IF(('Pasture Insurance'!$E$30-(G49*'Pasture Insurance'!$G$26))*'Pasture Insurance'!$E$12&lt;0,0,('Pasture Insurance'!$E$30-(G49*'Pasture Insurance'!$G$26))*'Pasture Insurance'!$E$12)</f>
        <v>7096.5</v>
      </c>
    </row>
    <row r="50" spans="2:8" s="30" customFormat="1" x14ac:dyDescent="0.25">
      <c r="B50">
        <f t="shared" si="0"/>
        <v>58</v>
      </c>
      <c r="C50"/>
      <c r="D50" s="57">
        <f>IF(('Pasture Insurance'!$E$30-(B50*'Pasture Insurance'!$G$26))*'Pasture Insurance'!$E$12&lt;0,0,('Pasture Insurance'!$E$30-(B50*'Pasture Insurance'!$G$26))*'Pasture Insurance'!$E$12)</f>
        <v>26761.5</v>
      </c>
      <c r="E50" s="58">
        <f>B50+'Pasture Insurance'!$E$10</f>
        <v>44754</v>
      </c>
      <c r="F50" s="59">
        <f>'Pasture Insurance'!$E$38</f>
        <v>969.26220000000001</v>
      </c>
      <c r="G50" s="30">
        <f t="shared" si="1"/>
        <v>103</v>
      </c>
      <c r="H50" s="59">
        <f>IF(('Pasture Insurance'!$E$30-(G50*'Pasture Insurance'!$G$26))*'Pasture Insurance'!$E$12&lt;0,0,('Pasture Insurance'!$E$30-(G50*'Pasture Insurance'!$G$26))*'Pasture Insurance'!$E$12)</f>
        <v>7524</v>
      </c>
    </row>
    <row r="51" spans="2:8" s="30" customFormat="1" x14ac:dyDescent="0.25">
      <c r="B51">
        <f t="shared" si="0"/>
        <v>59</v>
      </c>
      <c r="C51"/>
      <c r="D51" s="57">
        <f>IF(('Pasture Insurance'!$E$30-(B51*'Pasture Insurance'!$G$26))*'Pasture Insurance'!$E$12&lt;0,0,('Pasture Insurance'!$E$30-(B51*'Pasture Insurance'!$G$26))*'Pasture Insurance'!$E$12)</f>
        <v>26334</v>
      </c>
      <c r="E51" s="58">
        <f>B51+'Pasture Insurance'!$E$10</f>
        <v>44755</v>
      </c>
      <c r="F51" s="59">
        <f>'Pasture Insurance'!$E$38</f>
        <v>969.26220000000001</v>
      </c>
      <c r="G51" s="30">
        <f t="shared" si="1"/>
        <v>102</v>
      </c>
      <c r="H51" s="59">
        <f>IF(('Pasture Insurance'!$E$30-(G51*'Pasture Insurance'!$G$26))*'Pasture Insurance'!$E$12&lt;0,0,('Pasture Insurance'!$E$30-(G51*'Pasture Insurance'!$G$26))*'Pasture Insurance'!$E$12)</f>
        <v>7951.5</v>
      </c>
    </row>
    <row r="52" spans="2:8" s="30" customFormat="1" x14ac:dyDescent="0.25">
      <c r="B52">
        <f t="shared" si="0"/>
        <v>60</v>
      </c>
      <c r="C52"/>
      <c r="D52" s="57">
        <f>IF(('Pasture Insurance'!$E$30-(B52*'Pasture Insurance'!$G$26))*'Pasture Insurance'!$E$12&lt;0,0,('Pasture Insurance'!$E$30-(B52*'Pasture Insurance'!$G$26))*'Pasture Insurance'!$E$12)</f>
        <v>25906.5</v>
      </c>
      <c r="E52" s="58">
        <f>B52+'Pasture Insurance'!$E$10</f>
        <v>44756</v>
      </c>
      <c r="F52" s="59">
        <f>'Pasture Insurance'!$E$38</f>
        <v>969.26220000000001</v>
      </c>
      <c r="G52" s="30">
        <f t="shared" si="1"/>
        <v>101</v>
      </c>
      <c r="H52" s="59">
        <f>IF(('Pasture Insurance'!$E$30-(G52*'Pasture Insurance'!$G$26))*'Pasture Insurance'!$E$12&lt;0,0,('Pasture Insurance'!$E$30-(G52*'Pasture Insurance'!$G$26))*'Pasture Insurance'!$E$12)</f>
        <v>8379</v>
      </c>
    </row>
    <row r="53" spans="2:8" s="30" customFormat="1" x14ac:dyDescent="0.25">
      <c r="B53">
        <f t="shared" si="0"/>
        <v>61</v>
      </c>
      <c r="C53"/>
      <c r="D53" s="57">
        <f>IF(('Pasture Insurance'!$E$30-(B53*'Pasture Insurance'!$G$26))*'Pasture Insurance'!$E$12&lt;0,0,('Pasture Insurance'!$E$30-(B53*'Pasture Insurance'!$G$26))*'Pasture Insurance'!$E$12)</f>
        <v>25479</v>
      </c>
      <c r="E53" s="58">
        <f>B53+'Pasture Insurance'!$E$10</f>
        <v>44757</v>
      </c>
      <c r="F53" s="59">
        <f>'Pasture Insurance'!$E$38</f>
        <v>969.26220000000001</v>
      </c>
      <c r="G53" s="30">
        <f t="shared" si="1"/>
        <v>100</v>
      </c>
      <c r="H53" s="59">
        <f>IF(('Pasture Insurance'!$E$30-(G53*'Pasture Insurance'!$G$26))*'Pasture Insurance'!$E$12&lt;0,0,('Pasture Insurance'!$E$30-(G53*'Pasture Insurance'!$G$26))*'Pasture Insurance'!$E$12)</f>
        <v>8806.5</v>
      </c>
    </row>
    <row r="54" spans="2:8" s="30" customFormat="1" x14ac:dyDescent="0.25">
      <c r="B54">
        <f t="shared" si="0"/>
        <v>62</v>
      </c>
      <c r="C54"/>
      <c r="D54" s="57">
        <f>IF(('Pasture Insurance'!$E$30-(B54*'Pasture Insurance'!$G$26))*'Pasture Insurance'!$E$12&lt;0,0,('Pasture Insurance'!$E$30-(B54*'Pasture Insurance'!$G$26))*'Pasture Insurance'!$E$12)</f>
        <v>25051.5</v>
      </c>
      <c r="E54" s="58">
        <f>B54+'Pasture Insurance'!$E$10</f>
        <v>44758</v>
      </c>
      <c r="F54" s="59">
        <f>'Pasture Insurance'!$E$38</f>
        <v>969.26220000000001</v>
      </c>
      <c r="G54" s="30">
        <f t="shared" si="1"/>
        <v>99</v>
      </c>
      <c r="H54" s="59">
        <f>IF(('Pasture Insurance'!$E$30-(G54*'Pasture Insurance'!$G$26))*'Pasture Insurance'!$E$12&lt;0,0,('Pasture Insurance'!$E$30-(G54*'Pasture Insurance'!$G$26))*'Pasture Insurance'!$E$12)</f>
        <v>9234</v>
      </c>
    </row>
    <row r="55" spans="2:8" s="30" customFormat="1" x14ac:dyDescent="0.25">
      <c r="B55">
        <f t="shared" si="0"/>
        <v>63</v>
      </c>
      <c r="C55"/>
      <c r="D55" s="57">
        <f>IF(('Pasture Insurance'!$E$30-(B55*'Pasture Insurance'!$G$26))*'Pasture Insurance'!$E$12&lt;0,0,('Pasture Insurance'!$E$30-(B55*'Pasture Insurance'!$G$26))*'Pasture Insurance'!$E$12)</f>
        <v>24624</v>
      </c>
      <c r="E55" s="58">
        <f>B55+'Pasture Insurance'!$E$10</f>
        <v>44759</v>
      </c>
      <c r="F55" s="59">
        <f>'Pasture Insurance'!$E$38</f>
        <v>969.26220000000001</v>
      </c>
      <c r="G55" s="30">
        <f t="shared" si="1"/>
        <v>98</v>
      </c>
      <c r="H55" s="59">
        <f>IF(('Pasture Insurance'!$E$30-(G55*'Pasture Insurance'!$G$26))*'Pasture Insurance'!$E$12&lt;0,0,('Pasture Insurance'!$E$30-(G55*'Pasture Insurance'!$G$26))*'Pasture Insurance'!$E$12)</f>
        <v>9661.5</v>
      </c>
    </row>
    <row r="56" spans="2:8" s="30" customFormat="1" x14ac:dyDescent="0.25">
      <c r="B56">
        <f t="shared" si="0"/>
        <v>64</v>
      </c>
      <c r="C56"/>
      <c r="D56" s="57">
        <f>IF(('Pasture Insurance'!$E$30-(B56*'Pasture Insurance'!$G$26))*'Pasture Insurance'!$E$12&lt;0,0,('Pasture Insurance'!$E$30-(B56*'Pasture Insurance'!$G$26))*'Pasture Insurance'!$E$12)</f>
        <v>24196.5</v>
      </c>
      <c r="E56" s="58">
        <f>B56+'Pasture Insurance'!$E$10</f>
        <v>44760</v>
      </c>
      <c r="F56" s="59">
        <f>'Pasture Insurance'!$E$38</f>
        <v>969.26220000000001</v>
      </c>
      <c r="G56" s="30">
        <f t="shared" si="1"/>
        <v>97</v>
      </c>
      <c r="H56" s="59">
        <f>IF(('Pasture Insurance'!$E$30-(G56*'Pasture Insurance'!$G$26))*'Pasture Insurance'!$E$12&lt;0,0,('Pasture Insurance'!$E$30-(G56*'Pasture Insurance'!$G$26))*'Pasture Insurance'!$E$12)</f>
        <v>10089</v>
      </c>
    </row>
    <row r="57" spans="2:8" s="30" customFormat="1" x14ac:dyDescent="0.25">
      <c r="B57">
        <f t="shared" si="0"/>
        <v>65</v>
      </c>
      <c r="C57"/>
      <c r="D57" s="57">
        <f>IF(('Pasture Insurance'!$E$30-(B57*'Pasture Insurance'!$G$26))*'Pasture Insurance'!$E$12&lt;0,0,('Pasture Insurance'!$E$30-(B57*'Pasture Insurance'!$G$26))*'Pasture Insurance'!$E$12)</f>
        <v>23769</v>
      </c>
      <c r="E57" s="58">
        <f>B57+'Pasture Insurance'!$E$10</f>
        <v>44761</v>
      </c>
      <c r="F57" s="59">
        <f>'Pasture Insurance'!$E$38</f>
        <v>969.26220000000001</v>
      </c>
      <c r="G57" s="30">
        <f t="shared" si="1"/>
        <v>96</v>
      </c>
      <c r="H57" s="59">
        <f>IF(('Pasture Insurance'!$E$30-(G57*'Pasture Insurance'!$G$26))*'Pasture Insurance'!$E$12&lt;0,0,('Pasture Insurance'!$E$30-(G57*'Pasture Insurance'!$G$26))*'Pasture Insurance'!$E$12)</f>
        <v>10516.5</v>
      </c>
    </row>
    <row r="58" spans="2:8" s="30" customFormat="1" x14ac:dyDescent="0.25">
      <c r="B58">
        <f t="shared" si="0"/>
        <v>66</v>
      </c>
      <c r="C58"/>
      <c r="D58" s="57">
        <f>IF(('Pasture Insurance'!$E$30-(B58*'Pasture Insurance'!$G$26))*'Pasture Insurance'!$E$12&lt;0,0,('Pasture Insurance'!$E$30-(B58*'Pasture Insurance'!$G$26))*'Pasture Insurance'!$E$12)</f>
        <v>23341.5</v>
      </c>
      <c r="E58" s="58">
        <f>B58+'Pasture Insurance'!$E$10</f>
        <v>44762</v>
      </c>
      <c r="F58" s="59">
        <f>'Pasture Insurance'!$E$38</f>
        <v>969.26220000000001</v>
      </c>
      <c r="G58" s="30">
        <f t="shared" si="1"/>
        <v>95</v>
      </c>
      <c r="H58" s="59">
        <f>IF(('Pasture Insurance'!$E$30-(G58*'Pasture Insurance'!$G$26))*'Pasture Insurance'!$E$12&lt;0,0,('Pasture Insurance'!$E$30-(G58*'Pasture Insurance'!$G$26))*'Pasture Insurance'!$E$12)</f>
        <v>10944</v>
      </c>
    </row>
    <row r="59" spans="2:8" s="30" customFormat="1" x14ac:dyDescent="0.25">
      <c r="B59">
        <f t="shared" si="0"/>
        <v>67</v>
      </c>
      <c r="C59"/>
      <c r="D59" s="57">
        <f>IF(('Pasture Insurance'!$E$30-(B59*'Pasture Insurance'!$G$26))*'Pasture Insurance'!$E$12&lt;0,0,('Pasture Insurance'!$E$30-(B59*'Pasture Insurance'!$G$26))*'Pasture Insurance'!$E$12)</f>
        <v>22914</v>
      </c>
      <c r="E59" s="58">
        <f>B59+'Pasture Insurance'!$E$10</f>
        <v>44763</v>
      </c>
      <c r="F59" s="59">
        <f>'Pasture Insurance'!$E$38</f>
        <v>969.26220000000001</v>
      </c>
      <c r="G59" s="30">
        <f t="shared" si="1"/>
        <v>94</v>
      </c>
      <c r="H59" s="59">
        <f>IF(('Pasture Insurance'!$E$30-(G59*'Pasture Insurance'!$G$26))*'Pasture Insurance'!$E$12&lt;0,0,('Pasture Insurance'!$E$30-(G59*'Pasture Insurance'!$G$26))*'Pasture Insurance'!$E$12)</f>
        <v>11371.5</v>
      </c>
    </row>
    <row r="60" spans="2:8" s="30" customFormat="1" x14ac:dyDescent="0.25">
      <c r="B60">
        <f t="shared" si="0"/>
        <v>68</v>
      </c>
      <c r="C60"/>
      <c r="D60" s="57">
        <f>IF(('Pasture Insurance'!$E$30-(B60*'Pasture Insurance'!$G$26))*'Pasture Insurance'!$E$12&lt;0,0,('Pasture Insurance'!$E$30-(B60*'Pasture Insurance'!$G$26))*'Pasture Insurance'!$E$12)</f>
        <v>22486.5</v>
      </c>
      <c r="E60" s="58">
        <f>B60+'Pasture Insurance'!$E$10</f>
        <v>44764</v>
      </c>
      <c r="F60" s="59">
        <f>'Pasture Insurance'!$E$38</f>
        <v>969.26220000000001</v>
      </c>
      <c r="G60" s="30">
        <f t="shared" si="1"/>
        <v>93</v>
      </c>
      <c r="H60" s="59">
        <f>IF(('Pasture Insurance'!$E$30-(G60*'Pasture Insurance'!$G$26))*'Pasture Insurance'!$E$12&lt;0,0,('Pasture Insurance'!$E$30-(G60*'Pasture Insurance'!$G$26))*'Pasture Insurance'!$E$12)</f>
        <v>11799</v>
      </c>
    </row>
    <row r="61" spans="2:8" s="30" customFormat="1" x14ac:dyDescent="0.25">
      <c r="B61">
        <f t="shared" si="0"/>
        <v>69</v>
      </c>
      <c r="C61"/>
      <c r="D61" s="57">
        <f>IF(('Pasture Insurance'!$E$30-(B61*'Pasture Insurance'!$G$26))*'Pasture Insurance'!$E$12&lt;0,0,('Pasture Insurance'!$E$30-(B61*'Pasture Insurance'!$G$26))*'Pasture Insurance'!$E$12)</f>
        <v>22059</v>
      </c>
      <c r="E61" s="58">
        <f>B61+'Pasture Insurance'!$E$10</f>
        <v>44765</v>
      </c>
      <c r="F61" s="59">
        <f>'Pasture Insurance'!$E$38</f>
        <v>969.26220000000001</v>
      </c>
      <c r="G61" s="30">
        <f t="shared" si="1"/>
        <v>92</v>
      </c>
      <c r="H61" s="59">
        <f>IF(('Pasture Insurance'!$E$30-(G61*'Pasture Insurance'!$G$26))*'Pasture Insurance'!$E$12&lt;0,0,('Pasture Insurance'!$E$30-(G61*'Pasture Insurance'!$G$26))*'Pasture Insurance'!$E$12)</f>
        <v>12226.5</v>
      </c>
    </row>
    <row r="62" spans="2:8" s="30" customFormat="1" x14ac:dyDescent="0.25">
      <c r="B62">
        <f t="shared" si="0"/>
        <v>70</v>
      </c>
      <c r="C62"/>
      <c r="D62" s="57">
        <f>IF(('Pasture Insurance'!$E$30-(B62*'Pasture Insurance'!$G$26))*'Pasture Insurance'!$E$12&lt;0,0,('Pasture Insurance'!$E$30-(B62*'Pasture Insurance'!$G$26))*'Pasture Insurance'!$E$12)</f>
        <v>21631.5</v>
      </c>
      <c r="E62" s="58">
        <f>B62+'Pasture Insurance'!$E$10</f>
        <v>44766</v>
      </c>
      <c r="F62" s="59">
        <f>'Pasture Insurance'!$E$38</f>
        <v>969.26220000000001</v>
      </c>
      <c r="G62" s="30">
        <f t="shared" si="1"/>
        <v>91</v>
      </c>
      <c r="H62" s="59">
        <f>IF(('Pasture Insurance'!$E$30-(G62*'Pasture Insurance'!$G$26))*'Pasture Insurance'!$E$12&lt;0,0,('Pasture Insurance'!$E$30-(G62*'Pasture Insurance'!$G$26))*'Pasture Insurance'!$E$12)</f>
        <v>12654</v>
      </c>
    </row>
    <row r="63" spans="2:8" s="30" customFormat="1" x14ac:dyDescent="0.25">
      <c r="B63">
        <f t="shared" si="0"/>
        <v>71</v>
      </c>
      <c r="C63"/>
      <c r="D63" s="57">
        <f>IF(('Pasture Insurance'!$E$30-(B63*'Pasture Insurance'!$G$26))*'Pasture Insurance'!$E$12&lt;0,0,('Pasture Insurance'!$E$30-(B63*'Pasture Insurance'!$G$26))*'Pasture Insurance'!$E$12)</f>
        <v>21204</v>
      </c>
      <c r="E63" s="58">
        <f>B63+'Pasture Insurance'!$E$10</f>
        <v>44767</v>
      </c>
      <c r="F63" s="59">
        <f>'Pasture Insurance'!$E$38</f>
        <v>969.26220000000001</v>
      </c>
      <c r="G63" s="30">
        <f t="shared" si="1"/>
        <v>90</v>
      </c>
      <c r="H63" s="59">
        <f>IF(('Pasture Insurance'!$E$30-(G63*'Pasture Insurance'!$G$26))*'Pasture Insurance'!$E$12&lt;0,0,('Pasture Insurance'!$E$30-(G63*'Pasture Insurance'!$G$26))*'Pasture Insurance'!$E$12)</f>
        <v>13081.5</v>
      </c>
    </row>
    <row r="64" spans="2:8" s="30" customFormat="1" x14ac:dyDescent="0.25">
      <c r="B64">
        <f t="shared" ref="B64:B95" si="2">B65-1</f>
        <v>72</v>
      </c>
      <c r="C64"/>
      <c r="D64" s="57">
        <f>IF(('Pasture Insurance'!$E$30-(B64*'Pasture Insurance'!$G$26))*'Pasture Insurance'!$E$12&lt;0,0,('Pasture Insurance'!$E$30-(B64*'Pasture Insurance'!$G$26))*'Pasture Insurance'!$E$12)</f>
        <v>20776.5</v>
      </c>
      <c r="E64" s="58">
        <f>B64+'Pasture Insurance'!$E$10</f>
        <v>44768</v>
      </c>
      <c r="F64" s="59">
        <f>'Pasture Insurance'!$E$38</f>
        <v>969.26220000000001</v>
      </c>
      <c r="G64" s="30">
        <f t="shared" si="1"/>
        <v>89</v>
      </c>
      <c r="H64" s="59">
        <f>IF(('Pasture Insurance'!$E$30-(G64*'Pasture Insurance'!$G$26))*'Pasture Insurance'!$E$12&lt;0,0,('Pasture Insurance'!$E$30-(G64*'Pasture Insurance'!$G$26))*'Pasture Insurance'!$E$12)</f>
        <v>13509</v>
      </c>
    </row>
    <row r="65" spans="2:8" s="30" customFormat="1" x14ac:dyDescent="0.25">
      <c r="B65">
        <f t="shared" si="2"/>
        <v>73</v>
      </c>
      <c r="C65"/>
      <c r="D65" s="57">
        <f>IF(('Pasture Insurance'!$E$30-(B65*'Pasture Insurance'!$G$26))*'Pasture Insurance'!$E$12&lt;0,0,('Pasture Insurance'!$E$30-(B65*'Pasture Insurance'!$G$26))*'Pasture Insurance'!$E$12)</f>
        <v>20349</v>
      </c>
      <c r="E65" s="58">
        <f>B65+'Pasture Insurance'!$E$10</f>
        <v>44769</v>
      </c>
      <c r="F65" s="59">
        <f>'Pasture Insurance'!$E$38</f>
        <v>969.26220000000001</v>
      </c>
      <c r="G65" s="30">
        <f t="shared" ref="G65:G96" si="3">G64-1</f>
        <v>88</v>
      </c>
      <c r="H65" s="59">
        <f>IF(('Pasture Insurance'!$E$30-(G65*'Pasture Insurance'!$G$26))*'Pasture Insurance'!$E$12&lt;0,0,('Pasture Insurance'!$E$30-(G65*'Pasture Insurance'!$G$26))*'Pasture Insurance'!$E$12)</f>
        <v>13936.5</v>
      </c>
    </row>
    <row r="66" spans="2:8" s="30" customFormat="1" x14ac:dyDescent="0.25">
      <c r="B66">
        <f t="shared" si="2"/>
        <v>74</v>
      </c>
      <c r="C66"/>
      <c r="D66" s="57">
        <f>IF(('Pasture Insurance'!$E$30-(B66*'Pasture Insurance'!$G$26))*'Pasture Insurance'!$E$12&lt;0,0,('Pasture Insurance'!$E$30-(B66*'Pasture Insurance'!$G$26))*'Pasture Insurance'!$E$12)</f>
        <v>19921.5</v>
      </c>
      <c r="E66" s="58">
        <f>B66+'Pasture Insurance'!$E$10</f>
        <v>44770</v>
      </c>
      <c r="F66" s="59">
        <f>'Pasture Insurance'!$E$38</f>
        <v>969.26220000000001</v>
      </c>
      <c r="G66" s="30">
        <f t="shared" si="3"/>
        <v>87</v>
      </c>
      <c r="H66" s="59">
        <f>IF(('Pasture Insurance'!$E$30-(G66*'Pasture Insurance'!$G$26))*'Pasture Insurance'!$E$12&lt;0,0,('Pasture Insurance'!$E$30-(G66*'Pasture Insurance'!$G$26))*'Pasture Insurance'!$E$12)</f>
        <v>14364</v>
      </c>
    </row>
    <row r="67" spans="2:8" s="30" customFormat="1" x14ac:dyDescent="0.25">
      <c r="B67">
        <f t="shared" si="2"/>
        <v>75</v>
      </c>
      <c r="C67"/>
      <c r="D67" s="57">
        <f>IF(('Pasture Insurance'!$E$30-(B67*'Pasture Insurance'!$G$26))*'Pasture Insurance'!$E$12&lt;0,0,('Pasture Insurance'!$E$30-(B67*'Pasture Insurance'!$G$26))*'Pasture Insurance'!$E$12)</f>
        <v>19494</v>
      </c>
      <c r="E67" s="58">
        <f>B67+'Pasture Insurance'!$E$10</f>
        <v>44771</v>
      </c>
      <c r="F67" s="59">
        <f>'Pasture Insurance'!$E$38</f>
        <v>969.26220000000001</v>
      </c>
      <c r="G67" s="30">
        <f t="shared" si="3"/>
        <v>86</v>
      </c>
      <c r="H67" s="59">
        <f>IF(('Pasture Insurance'!$E$30-(G67*'Pasture Insurance'!$G$26))*'Pasture Insurance'!$E$12&lt;0,0,('Pasture Insurance'!$E$30-(G67*'Pasture Insurance'!$G$26))*'Pasture Insurance'!$E$12)</f>
        <v>14791.5</v>
      </c>
    </row>
    <row r="68" spans="2:8" s="30" customFormat="1" x14ac:dyDescent="0.25">
      <c r="B68">
        <f t="shared" si="2"/>
        <v>76</v>
      </c>
      <c r="C68"/>
      <c r="D68" s="57">
        <f>IF(('Pasture Insurance'!$E$30-(B68*'Pasture Insurance'!$G$26))*'Pasture Insurance'!$E$12&lt;0,0,('Pasture Insurance'!$E$30-(B68*'Pasture Insurance'!$G$26))*'Pasture Insurance'!$E$12)</f>
        <v>19066.5</v>
      </c>
      <c r="E68" s="58">
        <f>B68+'Pasture Insurance'!$E$10</f>
        <v>44772</v>
      </c>
      <c r="F68" s="59">
        <f>'Pasture Insurance'!$E$38</f>
        <v>969.26220000000001</v>
      </c>
      <c r="G68" s="30">
        <f t="shared" si="3"/>
        <v>85</v>
      </c>
      <c r="H68" s="59">
        <f>IF(('Pasture Insurance'!$E$30-(G68*'Pasture Insurance'!$G$26))*'Pasture Insurance'!$E$12&lt;0,0,('Pasture Insurance'!$E$30-(G68*'Pasture Insurance'!$G$26))*'Pasture Insurance'!$E$12)</f>
        <v>15219</v>
      </c>
    </row>
    <row r="69" spans="2:8" s="30" customFormat="1" x14ac:dyDescent="0.25">
      <c r="B69">
        <f t="shared" si="2"/>
        <v>77</v>
      </c>
      <c r="C69"/>
      <c r="D69" s="57">
        <f>IF(('Pasture Insurance'!$E$30-(B69*'Pasture Insurance'!$G$26))*'Pasture Insurance'!$E$12&lt;0,0,('Pasture Insurance'!$E$30-(B69*'Pasture Insurance'!$G$26))*'Pasture Insurance'!$E$12)</f>
        <v>18639</v>
      </c>
      <c r="E69" s="58">
        <f>B69+'Pasture Insurance'!$E$10</f>
        <v>44773</v>
      </c>
      <c r="F69" s="59">
        <f>'Pasture Insurance'!$E$38</f>
        <v>969.26220000000001</v>
      </c>
      <c r="G69" s="30">
        <f t="shared" si="3"/>
        <v>84</v>
      </c>
      <c r="H69" s="59">
        <f>IF(('Pasture Insurance'!$E$30-(G69*'Pasture Insurance'!$G$26))*'Pasture Insurance'!$E$12&lt;0,0,('Pasture Insurance'!$E$30-(G69*'Pasture Insurance'!$G$26))*'Pasture Insurance'!$E$12)</f>
        <v>15646.5</v>
      </c>
    </row>
    <row r="70" spans="2:8" s="30" customFormat="1" x14ac:dyDescent="0.25">
      <c r="B70">
        <f t="shared" si="2"/>
        <v>78</v>
      </c>
      <c r="C70"/>
      <c r="D70" s="57">
        <f>IF(('Pasture Insurance'!$E$30-(B70*'Pasture Insurance'!$G$26))*'Pasture Insurance'!$E$12&lt;0,0,('Pasture Insurance'!$E$30-(B70*'Pasture Insurance'!$G$26))*'Pasture Insurance'!$E$12)</f>
        <v>18211.5</v>
      </c>
      <c r="E70" s="58">
        <f>B70+'Pasture Insurance'!$E$10</f>
        <v>44774</v>
      </c>
      <c r="F70" s="59">
        <f>'Pasture Insurance'!$E$38</f>
        <v>969.26220000000001</v>
      </c>
      <c r="G70" s="30">
        <f t="shared" si="3"/>
        <v>83</v>
      </c>
      <c r="H70" s="59">
        <f>IF(('Pasture Insurance'!$E$30-(G70*'Pasture Insurance'!$G$26))*'Pasture Insurance'!$E$12&lt;0,0,('Pasture Insurance'!$E$30-(G70*'Pasture Insurance'!$G$26))*'Pasture Insurance'!$E$12)</f>
        <v>16074</v>
      </c>
    </row>
    <row r="71" spans="2:8" s="30" customFormat="1" x14ac:dyDescent="0.25">
      <c r="B71">
        <f t="shared" si="2"/>
        <v>79</v>
      </c>
      <c r="C71"/>
      <c r="D71" s="57">
        <f>IF(('Pasture Insurance'!$E$30-(B71*'Pasture Insurance'!$G$26))*'Pasture Insurance'!$E$12&lt;0,0,('Pasture Insurance'!$E$30-(B71*'Pasture Insurance'!$G$26))*'Pasture Insurance'!$E$12)</f>
        <v>17784</v>
      </c>
      <c r="E71" s="58">
        <f>B71+'Pasture Insurance'!$E$10</f>
        <v>44775</v>
      </c>
      <c r="F71" s="59">
        <f>'Pasture Insurance'!$E$38</f>
        <v>969.26220000000001</v>
      </c>
      <c r="G71" s="30">
        <f t="shared" si="3"/>
        <v>82</v>
      </c>
      <c r="H71" s="59">
        <f>IF(('Pasture Insurance'!$E$30-(G71*'Pasture Insurance'!$G$26))*'Pasture Insurance'!$E$12&lt;0,0,('Pasture Insurance'!$E$30-(G71*'Pasture Insurance'!$G$26))*'Pasture Insurance'!$E$12)</f>
        <v>16501.5</v>
      </c>
    </row>
    <row r="72" spans="2:8" x14ac:dyDescent="0.25">
      <c r="B72">
        <f t="shared" si="2"/>
        <v>80</v>
      </c>
      <c r="D72" s="57">
        <f>IF(('Pasture Insurance'!$E$30-(B72*'Pasture Insurance'!$G$26))*'Pasture Insurance'!$E$12&lt;0,0,('Pasture Insurance'!$E$30-(B72*'Pasture Insurance'!$G$26))*'Pasture Insurance'!$E$12)</f>
        <v>17356.5</v>
      </c>
      <c r="E72" s="58">
        <f>B72+'Pasture Insurance'!$E$10</f>
        <v>44776</v>
      </c>
      <c r="F72" s="59">
        <f>'Pasture Insurance'!$E$38</f>
        <v>969.26220000000001</v>
      </c>
      <c r="G72" s="30">
        <f t="shared" si="3"/>
        <v>81</v>
      </c>
      <c r="H72" s="59">
        <f>IF(('Pasture Insurance'!$E$30-(G72*'Pasture Insurance'!$G$26))*'Pasture Insurance'!$E$12&lt;0,0,('Pasture Insurance'!$E$30-(G72*'Pasture Insurance'!$G$26))*'Pasture Insurance'!$E$12)</f>
        <v>16929</v>
      </c>
    </row>
    <row r="73" spans="2:8" x14ac:dyDescent="0.25">
      <c r="B73">
        <f t="shared" si="2"/>
        <v>81</v>
      </c>
      <c r="D73" s="57">
        <f>IF(('Pasture Insurance'!$E$30-(B73*'Pasture Insurance'!$G$26))*'Pasture Insurance'!$E$12&lt;0,0,('Pasture Insurance'!$E$30-(B73*'Pasture Insurance'!$G$26))*'Pasture Insurance'!$E$12)</f>
        <v>16929</v>
      </c>
      <c r="E73" s="58">
        <f>B73+'Pasture Insurance'!$E$10</f>
        <v>44777</v>
      </c>
      <c r="F73" s="59">
        <f>'Pasture Insurance'!$E$38</f>
        <v>969.26220000000001</v>
      </c>
      <c r="G73" s="30">
        <f t="shared" si="3"/>
        <v>80</v>
      </c>
      <c r="H73" s="59">
        <f>IF(('Pasture Insurance'!$E$30-(G73*'Pasture Insurance'!$G$26))*'Pasture Insurance'!$E$12&lt;0,0,('Pasture Insurance'!$E$30-(G73*'Pasture Insurance'!$G$26))*'Pasture Insurance'!$E$12)</f>
        <v>17356.5</v>
      </c>
    </row>
    <row r="74" spans="2:8" x14ac:dyDescent="0.25">
      <c r="B74">
        <f t="shared" si="2"/>
        <v>82</v>
      </c>
      <c r="D74" s="57">
        <f>IF(('Pasture Insurance'!$E$30-(B74*'Pasture Insurance'!$G$26))*'Pasture Insurance'!$E$12&lt;0,0,('Pasture Insurance'!$E$30-(B74*'Pasture Insurance'!$G$26))*'Pasture Insurance'!$E$12)</f>
        <v>16501.5</v>
      </c>
      <c r="E74" s="58">
        <f>B74+'Pasture Insurance'!$E$10</f>
        <v>44778</v>
      </c>
      <c r="F74" s="59">
        <f>'Pasture Insurance'!$E$38</f>
        <v>969.26220000000001</v>
      </c>
      <c r="G74" s="30">
        <f t="shared" si="3"/>
        <v>79</v>
      </c>
      <c r="H74" s="59">
        <f>IF(('Pasture Insurance'!$E$30-(G74*'Pasture Insurance'!$G$26))*'Pasture Insurance'!$E$12&lt;0,0,('Pasture Insurance'!$E$30-(G74*'Pasture Insurance'!$G$26))*'Pasture Insurance'!$E$12)</f>
        <v>17784</v>
      </c>
    </row>
    <row r="75" spans="2:8" x14ac:dyDescent="0.25">
      <c r="B75">
        <f t="shared" si="2"/>
        <v>83</v>
      </c>
      <c r="D75" s="57">
        <f>IF(('Pasture Insurance'!$E$30-(B75*'Pasture Insurance'!$G$26))*'Pasture Insurance'!$E$12&lt;0,0,('Pasture Insurance'!$E$30-(B75*'Pasture Insurance'!$G$26))*'Pasture Insurance'!$E$12)</f>
        <v>16074</v>
      </c>
      <c r="E75" s="58">
        <f>B75+'Pasture Insurance'!$E$10</f>
        <v>44779</v>
      </c>
      <c r="F75" s="59">
        <f>'Pasture Insurance'!$E$38</f>
        <v>969.26220000000001</v>
      </c>
      <c r="G75" s="30">
        <f t="shared" si="3"/>
        <v>78</v>
      </c>
      <c r="H75" s="59">
        <f>IF(('Pasture Insurance'!$E$30-(G75*'Pasture Insurance'!$G$26))*'Pasture Insurance'!$E$12&lt;0,0,('Pasture Insurance'!$E$30-(G75*'Pasture Insurance'!$G$26))*'Pasture Insurance'!$E$12)</f>
        <v>18211.5</v>
      </c>
    </row>
    <row r="76" spans="2:8" x14ac:dyDescent="0.25">
      <c r="B76">
        <f t="shared" si="2"/>
        <v>84</v>
      </c>
      <c r="D76" s="57">
        <f>IF(('Pasture Insurance'!$E$30-(B76*'Pasture Insurance'!$G$26))*'Pasture Insurance'!$E$12&lt;0,0,('Pasture Insurance'!$E$30-(B76*'Pasture Insurance'!$G$26))*'Pasture Insurance'!$E$12)</f>
        <v>15646.5</v>
      </c>
      <c r="E76" s="58">
        <f>B76+'Pasture Insurance'!$E$10</f>
        <v>44780</v>
      </c>
      <c r="F76" s="59">
        <f>'Pasture Insurance'!$E$38</f>
        <v>969.26220000000001</v>
      </c>
      <c r="G76" s="30">
        <f t="shared" si="3"/>
        <v>77</v>
      </c>
      <c r="H76" s="59">
        <f>IF(('Pasture Insurance'!$E$30-(G76*'Pasture Insurance'!$G$26))*'Pasture Insurance'!$E$12&lt;0,0,('Pasture Insurance'!$E$30-(G76*'Pasture Insurance'!$G$26))*'Pasture Insurance'!$E$12)</f>
        <v>18639</v>
      </c>
    </row>
    <row r="77" spans="2:8" x14ac:dyDescent="0.25">
      <c r="B77">
        <f t="shared" si="2"/>
        <v>85</v>
      </c>
      <c r="D77" s="57">
        <f>IF(('Pasture Insurance'!$E$30-(B77*'Pasture Insurance'!$G$26))*'Pasture Insurance'!$E$12&lt;0,0,('Pasture Insurance'!$E$30-(B77*'Pasture Insurance'!$G$26))*'Pasture Insurance'!$E$12)</f>
        <v>15219</v>
      </c>
      <c r="E77" s="58">
        <f>B77+'Pasture Insurance'!$E$10</f>
        <v>44781</v>
      </c>
      <c r="F77" s="59">
        <f>'Pasture Insurance'!$E$38</f>
        <v>969.26220000000001</v>
      </c>
      <c r="G77" s="30">
        <f t="shared" si="3"/>
        <v>76</v>
      </c>
      <c r="H77" s="59">
        <f>IF(('Pasture Insurance'!$E$30-(G77*'Pasture Insurance'!$G$26))*'Pasture Insurance'!$E$12&lt;0,0,('Pasture Insurance'!$E$30-(G77*'Pasture Insurance'!$G$26))*'Pasture Insurance'!$E$12)</f>
        <v>19066.5</v>
      </c>
    </row>
    <row r="78" spans="2:8" x14ac:dyDescent="0.25">
      <c r="B78">
        <f t="shared" si="2"/>
        <v>86</v>
      </c>
      <c r="D78" s="57">
        <f>IF(('Pasture Insurance'!$E$30-(B78*'Pasture Insurance'!$G$26))*'Pasture Insurance'!$E$12&lt;0,0,('Pasture Insurance'!$E$30-(B78*'Pasture Insurance'!$G$26))*'Pasture Insurance'!$E$12)</f>
        <v>14791.5</v>
      </c>
      <c r="E78" s="58">
        <f>B78+'Pasture Insurance'!$E$10</f>
        <v>44782</v>
      </c>
      <c r="F78" s="59">
        <f>'Pasture Insurance'!$E$38</f>
        <v>969.26220000000001</v>
      </c>
      <c r="G78" s="30">
        <f t="shared" si="3"/>
        <v>75</v>
      </c>
      <c r="H78" s="59">
        <f>IF(('Pasture Insurance'!$E$30-(G78*'Pasture Insurance'!$G$26))*'Pasture Insurance'!$E$12&lt;0,0,('Pasture Insurance'!$E$30-(G78*'Pasture Insurance'!$G$26))*'Pasture Insurance'!$E$12)</f>
        <v>19494</v>
      </c>
    </row>
    <row r="79" spans="2:8" x14ac:dyDescent="0.25">
      <c r="B79">
        <f t="shared" si="2"/>
        <v>87</v>
      </c>
      <c r="D79" s="57">
        <f>IF(('Pasture Insurance'!$E$30-(B79*'Pasture Insurance'!$G$26))*'Pasture Insurance'!$E$12&lt;0,0,('Pasture Insurance'!$E$30-(B79*'Pasture Insurance'!$G$26))*'Pasture Insurance'!$E$12)</f>
        <v>14364</v>
      </c>
      <c r="E79" s="58">
        <f>B79+'Pasture Insurance'!$E$10</f>
        <v>44783</v>
      </c>
      <c r="F79" s="59">
        <f>'Pasture Insurance'!$E$38</f>
        <v>969.26220000000001</v>
      </c>
      <c r="G79" s="30">
        <f t="shared" si="3"/>
        <v>74</v>
      </c>
      <c r="H79" s="59">
        <f>IF(('Pasture Insurance'!$E$30-(G79*'Pasture Insurance'!$G$26))*'Pasture Insurance'!$E$12&lt;0,0,('Pasture Insurance'!$E$30-(G79*'Pasture Insurance'!$G$26))*'Pasture Insurance'!$E$12)</f>
        <v>19921.5</v>
      </c>
    </row>
    <row r="80" spans="2:8" x14ac:dyDescent="0.25">
      <c r="B80">
        <f t="shared" si="2"/>
        <v>88</v>
      </c>
      <c r="D80" s="57">
        <f>IF(('Pasture Insurance'!$E$30-(B80*'Pasture Insurance'!$G$26))*'Pasture Insurance'!$E$12&lt;0,0,('Pasture Insurance'!$E$30-(B80*'Pasture Insurance'!$G$26))*'Pasture Insurance'!$E$12)</f>
        <v>13936.5</v>
      </c>
      <c r="E80" s="58">
        <f>B80+'Pasture Insurance'!$E$10</f>
        <v>44784</v>
      </c>
      <c r="F80" s="59">
        <f>'Pasture Insurance'!$E$38</f>
        <v>969.26220000000001</v>
      </c>
      <c r="G80" s="30">
        <f t="shared" si="3"/>
        <v>73</v>
      </c>
      <c r="H80" s="59">
        <f>IF(('Pasture Insurance'!$E$30-(G80*'Pasture Insurance'!$G$26))*'Pasture Insurance'!$E$12&lt;0,0,('Pasture Insurance'!$E$30-(G80*'Pasture Insurance'!$G$26))*'Pasture Insurance'!$E$12)</f>
        <v>20349</v>
      </c>
    </row>
    <row r="81" spans="2:8" x14ac:dyDescent="0.25">
      <c r="B81">
        <f t="shared" si="2"/>
        <v>89</v>
      </c>
      <c r="D81" s="57">
        <f>IF(('Pasture Insurance'!$E$30-(B81*'Pasture Insurance'!$G$26))*'Pasture Insurance'!$E$12&lt;0,0,('Pasture Insurance'!$E$30-(B81*'Pasture Insurance'!$G$26))*'Pasture Insurance'!$E$12)</f>
        <v>13509</v>
      </c>
      <c r="E81" s="58">
        <f>B81+'Pasture Insurance'!$E$10</f>
        <v>44785</v>
      </c>
      <c r="F81" s="59">
        <f>'Pasture Insurance'!$E$38</f>
        <v>969.26220000000001</v>
      </c>
      <c r="G81" s="30">
        <f t="shared" si="3"/>
        <v>72</v>
      </c>
      <c r="H81" s="59">
        <f>IF(('Pasture Insurance'!$E$30-(G81*'Pasture Insurance'!$G$26))*'Pasture Insurance'!$E$12&lt;0,0,('Pasture Insurance'!$E$30-(G81*'Pasture Insurance'!$G$26))*'Pasture Insurance'!$E$12)</f>
        <v>20776.5</v>
      </c>
    </row>
    <row r="82" spans="2:8" x14ac:dyDescent="0.25">
      <c r="B82">
        <f t="shared" si="2"/>
        <v>90</v>
      </c>
      <c r="D82" s="57">
        <f>IF(('Pasture Insurance'!$E$30-(B82*'Pasture Insurance'!$G$26))*'Pasture Insurance'!$E$12&lt;0,0,('Pasture Insurance'!$E$30-(B82*'Pasture Insurance'!$G$26))*'Pasture Insurance'!$E$12)</f>
        <v>13081.5</v>
      </c>
      <c r="E82" s="58">
        <f>B82+'Pasture Insurance'!$E$10</f>
        <v>44786</v>
      </c>
      <c r="F82" s="59">
        <f>'Pasture Insurance'!$E$38</f>
        <v>969.26220000000001</v>
      </c>
      <c r="G82" s="30">
        <f t="shared" si="3"/>
        <v>71</v>
      </c>
      <c r="H82" s="59">
        <f>IF(('Pasture Insurance'!$E$30-(G82*'Pasture Insurance'!$G$26))*'Pasture Insurance'!$E$12&lt;0,0,('Pasture Insurance'!$E$30-(G82*'Pasture Insurance'!$G$26))*'Pasture Insurance'!$E$12)</f>
        <v>21204</v>
      </c>
    </row>
    <row r="83" spans="2:8" x14ac:dyDescent="0.25">
      <c r="B83">
        <f t="shared" si="2"/>
        <v>91</v>
      </c>
      <c r="D83" s="57">
        <f>IF(('Pasture Insurance'!$E$30-(B83*'Pasture Insurance'!$G$26))*'Pasture Insurance'!$E$12&lt;0,0,('Pasture Insurance'!$E$30-(B83*'Pasture Insurance'!$G$26))*'Pasture Insurance'!$E$12)</f>
        <v>12654</v>
      </c>
      <c r="E83" s="58">
        <f>B83+'Pasture Insurance'!$E$10</f>
        <v>44787</v>
      </c>
      <c r="F83" s="59">
        <f>'Pasture Insurance'!$E$38</f>
        <v>969.26220000000001</v>
      </c>
      <c r="G83" s="30">
        <f t="shared" si="3"/>
        <v>70</v>
      </c>
      <c r="H83" s="59">
        <f>IF(('Pasture Insurance'!$E$30-(G83*'Pasture Insurance'!$G$26))*'Pasture Insurance'!$E$12&lt;0,0,('Pasture Insurance'!$E$30-(G83*'Pasture Insurance'!$G$26))*'Pasture Insurance'!$E$12)</f>
        <v>21631.5</v>
      </c>
    </row>
    <row r="84" spans="2:8" x14ac:dyDescent="0.25">
      <c r="B84">
        <f t="shared" si="2"/>
        <v>92</v>
      </c>
      <c r="D84" s="57">
        <f>IF(('Pasture Insurance'!$E$30-(B84*'Pasture Insurance'!$G$26))*'Pasture Insurance'!$E$12&lt;0,0,('Pasture Insurance'!$E$30-(B84*'Pasture Insurance'!$G$26))*'Pasture Insurance'!$E$12)</f>
        <v>12226.5</v>
      </c>
      <c r="E84" s="58">
        <f>B84+'Pasture Insurance'!$E$10</f>
        <v>44788</v>
      </c>
      <c r="F84" s="59">
        <f>'Pasture Insurance'!$E$38</f>
        <v>969.26220000000001</v>
      </c>
      <c r="G84" s="30">
        <f t="shared" si="3"/>
        <v>69</v>
      </c>
      <c r="H84" s="59">
        <f>IF(('Pasture Insurance'!$E$30-(G84*'Pasture Insurance'!$G$26))*'Pasture Insurance'!$E$12&lt;0,0,('Pasture Insurance'!$E$30-(G84*'Pasture Insurance'!$G$26))*'Pasture Insurance'!$E$12)</f>
        <v>22059</v>
      </c>
    </row>
    <row r="85" spans="2:8" x14ac:dyDescent="0.25">
      <c r="B85">
        <f t="shared" si="2"/>
        <v>93</v>
      </c>
      <c r="D85" s="57">
        <f>IF(('Pasture Insurance'!$E$30-(B85*'Pasture Insurance'!$G$26))*'Pasture Insurance'!$E$12&lt;0,0,('Pasture Insurance'!$E$30-(B85*'Pasture Insurance'!$G$26))*'Pasture Insurance'!$E$12)</f>
        <v>11799</v>
      </c>
      <c r="E85" s="58">
        <f>B85+'Pasture Insurance'!$E$10</f>
        <v>44789</v>
      </c>
      <c r="F85" s="59">
        <f>'Pasture Insurance'!$E$38</f>
        <v>969.26220000000001</v>
      </c>
      <c r="G85" s="30">
        <f t="shared" si="3"/>
        <v>68</v>
      </c>
      <c r="H85" s="59">
        <f>IF(('Pasture Insurance'!$E$30-(G85*'Pasture Insurance'!$G$26))*'Pasture Insurance'!$E$12&lt;0,0,('Pasture Insurance'!$E$30-(G85*'Pasture Insurance'!$G$26))*'Pasture Insurance'!$E$12)</f>
        <v>22486.5</v>
      </c>
    </row>
    <row r="86" spans="2:8" x14ac:dyDescent="0.25">
      <c r="B86">
        <f t="shared" si="2"/>
        <v>94</v>
      </c>
      <c r="D86" s="57">
        <f>IF(('Pasture Insurance'!$E$30-(B86*'Pasture Insurance'!$G$26))*'Pasture Insurance'!$E$12&lt;0,0,('Pasture Insurance'!$E$30-(B86*'Pasture Insurance'!$G$26))*'Pasture Insurance'!$E$12)</f>
        <v>11371.5</v>
      </c>
      <c r="E86" s="58">
        <f>B86+'Pasture Insurance'!$E$10</f>
        <v>44790</v>
      </c>
      <c r="F86" s="59">
        <f>'Pasture Insurance'!$E$38</f>
        <v>969.26220000000001</v>
      </c>
      <c r="G86" s="30">
        <f t="shared" si="3"/>
        <v>67</v>
      </c>
      <c r="H86" s="59">
        <f>IF(('Pasture Insurance'!$E$30-(G86*'Pasture Insurance'!$G$26))*'Pasture Insurance'!$E$12&lt;0,0,('Pasture Insurance'!$E$30-(G86*'Pasture Insurance'!$G$26))*'Pasture Insurance'!$E$12)</f>
        <v>22914</v>
      </c>
    </row>
    <row r="87" spans="2:8" x14ac:dyDescent="0.25">
      <c r="B87">
        <f t="shared" si="2"/>
        <v>95</v>
      </c>
      <c r="D87" s="57">
        <f>IF(('Pasture Insurance'!$E$30-(B87*'Pasture Insurance'!$G$26))*'Pasture Insurance'!$E$12&lt;0,0,('Pasture Insurance'!$E$30-(B87*'Pasture Insurance'!$G$26))*'Pasture Insurance'!$E$12)</f>
        <v>10944</v>
      </c>
      <c r="E87" s="58">
        <f>B87+'Pasture Insurance'!$E$10</f>
        <v>44791</v>
      </c>
      <c r="F87" s="59">
        <f>'Pasture Insurance'!$E$38</f>
        <v>969.26220000000001</v>
      </c>
      <c r="G87" s="30">
        <f t="shared" si="3"/>
        <v>66</v>
      </c>
      <c r="H87" s="59">
        <f>IF(('Pasture Insurance'!$E$30-(G87*'Pasture Insurance'!$G$26))*'Pasture Insurance'!$E$12&lt;0,0,('Pasture Insurance'!$E$30-(G87*'Pasture Insurance'!$G$26))*'Pasture Insurance'!$E$12)</f>
        <v>23341.5</v>
      </c>
    </row>
    <row r="88" spans="2:8" x14ac:dyDescent="0.25">
      <c r="B88">
        <f t="shared" si="2"/>
        <v>96</v>
      </c>
      <c r="D88" s="57">
        <f>IF(('Pasture Insurance'!$E$30-(B88*'Pasture Insurance'!$G$26))*'Pasture Insurance'!$E$12&lt;0,0,('Pasture Insurance'!$E$30-(B88*'Pasture Insurance'!$G$26))*'Pasture Insurance'!$E$12)</f>
        <v>10516.5</v>
      </c>
      <c r="E88" s="58">
        <f>B88+'Pasture Insurance'!$E$10</f>
        <v>44792</v>
      </c>
      <c r="F88" s="59">
        <f>'Pasture Insurance'!$E$38</f>
        <v>969.26220000000001</v>
      </c>
      <c r="G88" s="30">
        <f t="shared" si="3"/>
        <v>65</v>
      </c>
      <c r="H88" s="59">
        <f>IF(('Pasture Insurance'!$E$30-(G88*'Pasture Insurance'!$G$26))*'Pasture Insurance'!$E$12&lt;0,0,('Pasture Insurance'!$E$30-(G88*'Pasture Insurance'!$G$26))*'Pasture Insurance'!$E$12)</f>
        <v>23769</v>
      </c>
    </row>
    <row r="89" spans="2:8" x14ac:dyDescent="0.25">
      <c r="B89">
        <f t="shared" si="2"/>
        <v>97</v>
      </c>
      <c r="D89" s="57">
        <f>IF(('Pasture Insurance'!$E$30-(B89*'Pasture Insurance'!$G$26))*'Pasture Insurance'!$E$12&lt;0,0,('Pasture Insurance'!$E$30-(B89*'Pasture Insurance'!$G$26))*'Pasture Insurance'!$E$12)</f>
        <v>10089</v>
      </c>
      <c r="E89" s="58">
        <f>B89+'Pasture Insurance'!$E$10</f>
        <v>44793</v>
      </c>
      <c r="F89" s="59">
        <f>'Pasture Insurance'!$E$38</f>
        <v>969.26220000000001</v>
      </c>
      <c r="G89" s="30">
        <f t="shared" si="3"/>
        <v>64</v>
      </c>
      <c r="H89" s="59">
        <f>IF(('Pasture Insurance'!$E$30-(G89*'Pasture Insurance'!$G$26))*'Pasture Insurance'!$E$12&lt;0,0,('Pasture Insurance'!$E$30-(G89*'Pasture Insurance'!$G$26))*'Pasture Insurance'!$E$12)</f>
        <v>24196.5</v>
      </c>
    </row>
    <row r="90" spans="2:8" x14ac:dyDescent="0.25">
      <c r="B90">
        <f t="shared" si="2"/>
        <v>98</v>
      </c>
      <c r="D90" s="57">
        <f>IF(('Pasture Insurance'!$E$30-(B90*'Pasture Insurance'!$G$26))*'Pasture Insurance'!$E$12&lt;0,0,('Pasture Insurance'!$E$30-(B90*'Pasture Insurance'!$G$26))*'Pasture Insurance'!$E$12)</f>
        <v>9661.5</v>
      </c>
      <c r="E90" s="58">
        <f>B90+'Pasture Insurance'!$E$10</f>
        <v>44794</v>
      </c>
      <c r="F90" s="59">
        <f>'Pasture Insurance'!$E$38</f>
        <v>969.26220000000001</v>
      </c>
      <c r="G90" s="30">
        <f t="shared" si="3"/>
        <v>63</v>
      </c>
      <c r="H90" s="59">
        <f>IF(('Pasture Insurance'!$E$30-(G90*'Pasture Insurance'!$G$26))*'Pasture Insurance'!$E$12&lt;0,0,('Pasture Insurance'!$E$30-(G90*'Pasture Insurance'!$G$26))*'Pasture Insurance'!$E$12)</f>
        <v>24624</v>
      </c>
    </row>
    <row r="91" spans="2:8" x14ac:dyDescent="0.25">
      <c r="B91">
        <f t="shared" si="2"/>
        <v>99</v>
      </c>
      <c r="D91" s="57">
        <f>IF(('Pasture Insurance'!$E$30-(B91*'Pasture Insurance'!$G$26))*'Pasture Insurance'!$E$12&lt;0,0,('Pasture Insurance'!$E$30-(B91*'Pasture Insurance'!$G$26))*'Pasture Insurance'!$E$12)</f>
        <v>9234</v>
      </c>
      <c r="E91" s="58">
        <f>B91+'Pasture Insurance'!$E$10</f>
        <v>44795</v>
      </c>
      <c r="F91" s="59">
        <f>'Pasture Insurance'!$E$38</f>
        <v>969.26220000000001</v>
      </c>
      <c r="G91" s="30">
        <f t="shared" si="3"/>
        <v>62</v>
      </c>
      <c r="H91" s="59">
        <f>IF(('Pasture Insurance'!$E$30-(G91*'Pasture Insurance'!$G$26))*'Pasture Insurance'!$E$12&lt;0,0,('Pasture Insurance'!$E$30-(G91*'Pasture Insurance'!$G$26))*'Pasture Insurance'!$E$12)</f>
        <v>25051.5</v>
      </c>
    </row>
    <row r="92" spans="2:8" x14ac:dyDescent="0.25">
      <c r="B92">
        <f t="shared" si="2"/>
        <v>100</v>
      </c>
      <c r="D92" s="57">
        <f>IF(('Pasture Insurance'!$E$30-(B92*'Pasture Insurance'!$G$26))*'Pasture Insurance'!$E$12&lt;0,0,('Pasture Insurance'!$E$30-(B92*'Pasture Insurance'!$G$26))*'Pasture Insurance'!$E$12)</f>
        <v>8806.5</v>
      </c>
      <c r="E92" s="58">
        <f>B92+'Pasture Insurance'!$E$10</f>
        <v>44796</v>
      </c>
      <c r="F92" s="59">
        <f>'Pasture Insurance'!$E$38</f>
        <v>969.26220000000001</v>
      </c>
      <c r="G92" s="30">
        <f t="shared" si="3"/>
        <v>61</v>
      </c>
      <c r="H92" s="59">
        <f>IF(('Pasture Insurance'!$E$30-(G92*'Pasture Insurance'!$G$26))*'Pasture Insurance'!$E$12&lt;0,0,('Pasture Insurance'!$E$30-(G92*'Pasture Insurance'!$G$26))*'Pasture Insurance'!$E$12)</f>
        <v>25479</v>
      </c>
    </row>
    <row r="93" spans="2:8" x14ac:dyDescent="0.25">
      <c r="B93">
        <f t="shared" si="2"/>
        <v>101</v>
      </c>
      <c r="D93" s="57">
        <f>IF(('Pasture Insurance'!$E$30-(B93*'Pasture Insurance'!$G$26))*'Pasture Insurance'!$E$12&lt;0,0,('Pasture Insurance'!$E$30-(B93*'Pasture Insurance'!$G$26))*'Pasture Insurance'!$E$12)</f>
        <v>8379</v>
      </c>
      <c r="E93" s="58">
        <f>B93+'Pasture Insurance'!$E$10</f>
        <v>44797</v>
      </c>
      <c r="F93" s="59">
        <f>'Pasture Insurance'!$E$38</f>
        <v>969.26220000000001</v>
      </c>
      <c r="G93" s="30">
        <f t="shared" si="3"/>
        <v>60</v>
      </c>
      <c r="H93" s="59">
        <f>IF(('Pasture Insurance'!$E$30-(G93*'Pasture Insurance'!$G$26))*'Pasture Insurance'!$E$12&lt;0,0,('Pasture Insurance'!$E$30-(G93*'Pasture Insurance'!$G$26))*'Pasture Insurance'!$E$12)</f>
        <v>25906.5</v>
      </c>
    </row>
    <row r="94" spans="2:8" x14ac:dyDescent="0.25">
      <c r="B94">
        <f t="shared" si="2"/>
        <v>102</v>
      </c>
      <c r="D94" s="57">
        <f>IF(('Pasture Insurance'!$E$30-(B94*'Pasture Insurance'!$G$26))*'Pasture Insurance'!$E$12&lt;0,0,('Pasture Insurance'!$E$30-(B94*'Pasture Insurance'!$G$26))*'Pasture Insurance'!$E$12)</f>
        <v>7951.5</v>
      </c>
      <c r="E94" s="58">
        <f>B94+'Pasture Insurance'!$E$10</f>
        <v>44798</v>
      </c>
      <c r="F94" s="59">
        <f>'Pasture Insurance'!$E$38</f>
        <v>969.26220000000001</v>
      </c>
      <c r="G94" s="30">
        <f t="shared" si="3"/>
        <v>59</v>
      </c>
      <c r="H94" s="59">
        <f>IF(('Pasture Insurance'!$E$30-(G94*'Pasture Insurance'!$G$26))*'Pasture Insurance'!$E$12&lt;0,0,('Pasture Insurance'!$E$30-(G94*'Pasture Insurance'!$G$26))*'Pasture Insurance'!$E$12)</f>
        <v>26334</v>
      </c>
    </row>
    <row r="95" spans="2:8" x14ac:dyDescent="0.25">
      <c r="B95">
        <f t="shared" si="2"/>
        <v>103</v>
      </c>
      <c r="D95" s="57">
        <f>IF(('Pasture Insurance'!$E$30-(B95*'Pasture Insurance'!$G$26))*'Pasture Insurance'!$E$12&lt;0,0,('Pasture Insurance'!$E$30-(B95*'Pasture Insurance'!$G$26))*'Pasture Insurance'!$E$12)</f>
        <v>7524</v>
      </c>
      <c r="E95" s="58">
        <f>B95+'Pasture Insurance'!$E$10</f>
        <v>44799</v>
      </c>
      <c r="F95" s="59">
        <f>'Pasture Insurance'!$E$38</f>
        <v>969.26220000000001</v>
      </c>
      <c r="G95" s="30">
        <f t="shared" si="3"/>
        <v>58</v>
      </c>
      <c r="H95" s="59">
        <f>IF(('Pasture Insurance'!$E$30-(G95*'Pasture Insurance'!$G$26))*'Pasture Insurance'!$E$12&lt;0,0,('Pasture Insurance'!$E$30-(G95*'Pasture Insurance'!$G$26))*'Pasture Insurance'!$E$12)</f>
        <v>26761.5</v>
      </c>
    </row>
    <row r="96" spans="2:8" x14ac:dyDescent="0.25">
      <c r="B96">
        <f t="shared" ref="B96:B112" si="4">B97-1</f>
        <v>104</v>
      </c>
      <c r="D96" s="57">
        <f>IF(('Pasture Insurance'!$E$30-(B96*'Pasture Insurance'!$G$26))*'Pasture Insurance'!$E$12&lt;0,0,('Pasture Insurance'!$E$30-(B96*'Pasture Insurance'!$G$26))*'Pasture Insurance'!$E$12)</f>
        <v>7096.5</v>
      </c>
      <c r="E96" s="58">
        <f>B96+'Pasture Insurance'!$E$10</f>
        <v>44800</v>
      </c>
      <c r="F96" s="59">
        <f>'Pasture Insurance'!$E$38</f>
        <v>969.26220000000001</v>
      </c>
      <c r="G96" s="30">
        <f t="shared" si="3"/>
        <v>57</v>
      </c>
      <c r="H96" s="59">
        <f>IF(('Pasture Insurance'!$E$30-(G96*'Pasture Insurance'!$G$26))*'Pasture Insurance'!$E$12&lt;0,0,('Pasture Insurance'!$E$30-(G96*'Pasture Insurance'!$G$26))*'Pasture Insurance'!$E$12)</f>
        <v>27189</v>
      </c>
    </row>
    <row r="97" spans="2:8" x14ac:dyDescent="0.25">
      <c r="B97">
        <f t="shared" si="4"/>
        <v>105</v>
      </c>
      <c r="D97" s="57">
        <f>IF(('Pasture Insurance'!$E$30-(B97*'Pasture Insurance'!$G$26))*'Pasture Insurance'!$E$12&lt;0,0,('Pasture Insurance'!$E$30-(B97*'Pasture Insurance'!$G$26))*'Pasture Insurance'!$E$12)</f>
        <v>6669</v>
      </c>
      <c r="E97" s="58">
        <f>B97+'Pasture Insurance'!$E$10</f>
        <v>44801</v>
      </c>
      <c r="F97" s="59">
        <f>'Pasture Insurance'!$E$38</f>
        <v>969.26220000000001</v>
      </c>
      <c r="G97" s="30">
        <f t="shared" ref="G97:G113" si="5">G96-1</f>
        <v>56</v>
      </c>
      <c r="H97" s="59">
        <f>IF(('Pasture Insurance'!$E$30-(G97*'Pasture Insurance'!$G$26))*'Pasture Insurance'!$E$12&lt;0,0,('Pasture Insurance'!$E$30-(G97*'Pasture Insurance'!$G$26))*'Pasture Insurance'!$E$12)</f>
        <v>27616.5</v>
      </c>
    </row>
    <row r="98" spans="2:8" x14ac:dyDescent="0.25">
      <c r="B98">
        <f t="shared" si="4"/>
        <v>106</v>
      </c>
      <c r="D98" s="57">
        <f>IF(('Pasture Insurance'!$E$30-(B98*'Pasture Insurance'!$G$26))*'Pasture Insurance'!$E$12&lt;0,0,('Pasture Insurance'!$E$30-(B98*'Pasture Insurance'!$G$26))*'Pasture Insurance'!$E$12)</f>
        <v>6241.5</v>
      </c>
      <c r="E98" s="58">
        <f>B98+'Pasture Insurance'!$E$10</f>
        <v>44802</v>
      </c>
      <c r="F98" s="59">
        <f>'Pasture Insurance'!$E$38</f>
        <v>969.26220000000001</v>
      </c>
      <c r="G98" s="30">
        <f t="shared" si="5"/>
        <v>55</v>
      </c>
      <c r="H98" s="59">
        <f>IF(('Pasture Insurance'!$E$30-(G98*'Pasture Insurance'!$G$26))*'Pasture Insurance'!$E$12&lt;0,0,('Pasture Insurance'!$E$30-(G98*'Pasture Insurance'!$G$26))*'Pasture Insurance'!$E$12)</f>
        <v>28044</v>
      </c>
    </row>
    <row r="99" spans="2:8" x14ac:dyDescent="0.25">
      <c r="B99">
        <f t="shared" si="4"/>
        <v>107</v>
      </c>
      <c r="D99" s="57">
        <f>IF(('Pasture Insurance'!$E$30-(B99*'Pasture Insurance'!$G$26))*'Pasture Insurance'!$E$12&lt;0,0,('Pasture Insurance'!$E$30-(B99*'Pasture Insurance'!$G$26))*'Pasture Insurance'!$E$12)</f>
        <v>5814</v>
      </c>
      <c r="E99" s="58">
        <f>B99+'Pasture Insurance'!$E$10</f>
        <v>44803</v>
      </c>
      <c r="F99" s="59">
        <f>'Pasture Insurance'!$E$38</f>
        <v>969.26220000000001</v>
      </c>
      <c r="G99" s="30">
        <f t="shared" si="5"/>
        <v>54</v>
      </c>
      <c r="H99" s="59">
        <f>IF(('Pasture Insurance'!$E$30-(G99*'Pasture Insurance'!$G$26))*'Pasture Insurance'!$E$12&lt;0,0,('Pasture Insurance'!$E$30-(G99*'Pasture Insurance'!$G$26))*'Pasture Insurance'!$E$12)</f>
        <v>28471.5</v>
      </c>
    </row>
    <row r="100" spans="2:8" x14ac:dyDescent="0.25">
      <c r="B100">
        <f t="shared" si="4"/>
        <v>108</v>
      </c>
      <c r="D100" s="57">
        <f>IF(('Pasture Insurance'!$E$30-(B100*'Pasture Insurance'!$G$26))*'Pasture Insurance'!$E$12&lt;0,0,('Pasture Insurance'!$E$30-(B100*'Pasture Insurance'!$G$26))*'Pasture Insurance'!$E$12)</f>
        <v>5386.5</v>
      </c>
      <c r="E100" s="58">
        <f>B100+'Pasture Insurance'!$E$10</f>
        <v>44804</v>
      </c>
      <c r="F100" s="59">
        <f>'Pasture Insurance'!$E$38</f>
        <v>969.26220000000001</v>
      </c>
      <c r="G100" s="30">
        <f t="shared" si="5"/>
        <v>53</v>
      </c>
      <c r="H100" s="59">
        <f>IF(('Pasture Insurance'!$E$30-(G100*'Pasture Insurance'!$G$26))*'Pasture Insurance'!$E$12&lt;0,0,('Pasture Insurance'!$E$30-(G100*'Pasture Insurance'!$G$26))*'Pasture Insurance'!$E$12)</f>
        <v>28899</v>
      </c>
    </row>
    <row r="101" spans="2:8" x14ac:dyDescent="0.25">
      <c r="B101">
        <f t="shared" si="4"/>
        <v>109</v>
      </c>
      <c r="D101" s="57">
        <f>IF(('Pasture Insurance'!$E$30-(B101*'Pasture Insurance'!$G$26))*'Pasture Insurance'!$E$12&lt;0,0,('Pasture Insurance'!$E$30-(B101*'Pasture Insurance'!$G$26))*'Pasture Insurance'!$E$12)</f>
        <v>4959</v>
      </c>
      <c r="E101" s="58">
        <f>B101+'Pasture Insurance'!$E$10</f>
        <v>44805</v>
      </c>
      <c r="F101" s="59">
        <f>'Pasture Insurance'!$E$38</f>
        <v>969.26220000000001</v>
      </c>
      <c r="G101" s="30">
        <f t="shared" si="5"/>
        <v>52</v>
      </c>
      <c r="H101" s="59">
        <f>IF(('Pasture Insurance'!$E$30-(G101*'Pasture Insurance'!$G$26))*'Pasture Insurance'!$E$12&lt;0,0,('Pasture Insurance'!$E$30-(G101*'Pasture Insurance'!$G$26))*'Pasture Insurance'!$E$12)</f>
        <v>29326.5</v>
      </c>
    </row>
    <row r="102" spans="2:8" x14ac:dyDescent="0.25">
      <c r="B102">
        <f t="shared" si="4"/>
        <v>110</v>
      </c>
      <c r="D102" s="57">
        <f>IF(('Pasture Insurance'!$E$30-(B102*'Pasture Insurance'!$G$26))*'Pasture Insurance'!$E$12&lt;0,0,('Pasture Insurance'!$E$30-(B102*'Pasture Insurance'!$G$26))*'Pasture Insurance'!$E$12)</f>
        <v>4531.5</v>
      </c>
      <c r="E102" s="58">
        <f>B102+'Pasture Insurance'!$E$10</f>
        <v>44806</v>
      </c>
      <c r="F102" s="59">
        <f>'Pasture Insurance'!$E$38</f>
        <v>969.26220000000001</v>
      </c>
      <c r="G102" s="30">
        <f t="shared" si="5"/>
        <v>51</v>
      </c>
      <c r="H102" s="59">
        <f>IF(('Pasture Insurance'!$E$30-(G102*'Pasture Insurance'!$G$26))*'Pasture Insurance'!$E$12&lt;0,0,('Pasture Insurance'!$E$30-(G102*'Pasture Insurance'!$G$26))*'Pasture Insurance'!$E$12)</f>
        <v>29754</v>
      </c>
    </row>
    <row r="103" spans="2:8" x14ac:dyDescent="0.25">
      <c r="B103">
        <f t="shared" si="4"/>
        <v>111</v>
      </c>
      <c r="D103" s="57">
        <f>IF(('Pasture Insurance'!$E$30-(B103*'Pasture Insurance'!$G$26))*'Pasture Insurance'!$E$12&lt;0,0,('Pasture Insurance'!$E$30-(B103*'Pasture Insurance'!$G$26))*'Pasture Insurance'!$E$12)</f>
        <v>4104</v>
      </c>
      <c r="E103" s="58">
        <f>B103+'Pasture Insurance'!$E$10</f>
        <v>44807</v>
      </c>
      <c r="F103" s="59">
        <f>'Pasture Insurance'!$E$38</f>
        <v>969.26220000000001</v>
      </c>
      <c r="G103" s="30">
        <f t="shared" si="5"/>
        <v>50</v>
      </c>
      <c r="H103" s="59">
        <f>IF(('Pasture Insurance'!$E$30-(G103*'Pasture Insurance'!$G$26))*'Pasture Insurance'!$E$12&lt;0,0,('Pasture Insurance'!$E$30-(G103*'Pasture Insurance'!$G$26))*'Pasture Insurance'!$E$12)</f>
        <v>30181.5</v>
      </c>
    </row>
    <row r="104" spans="2:8" x14ac:dyDescent="0.25">
      <c r="B104">
        <f t="shared" si="4"/>
        <v>112</v>
      </c>
      <c r="D104" s="57">
        <f>IF(('Pasture Insurance'!$E$30-(B104*'Pasture Insurance'!$G$26))*'Pasture Insurance'!$E$12&lt;0,0,('Pasture Insurance'!$E$30-(B104*'Pasture Insurance'!$G$26))*'Pasture Insurance'!$E$12)</f>
        <v>3676.5</v>
      </c>
      <c r="E104" s="58">
        <f>B104+'Pasture Insurance'!$E$10</f>
        <v>44808</v>
      </c>
      <c r="F104" s="59">
        <f>'Pasture Insurance'!$E$38</f>
        <v>969.26220000000001</v>
      </c>
      <c r="G104" s="30">
        <f t="shared" si="5"/>
        <v>49</v>
      </c>
      <c r="H104" s="59">
        <f>IF(('Pasture Insurance'!$E$30-(G104*'Pasture Insurance'!$G$26))*'Pasture Insurance'!$E$12&lt;0,0,('Pasture Insurance'!$E$30-(G104*'Pasture Insurance'!$G$26))*'Pasture Insurance'!$E$12)</f>
        <v>30609</v>
      </c>
    </row>
    <row r="105" spans="2:8" x14ac:dyDescent="0.25">
      <c r="B105">
        <f t="shared" si="4"/>
        <v>113</v>
      </c>
      <c r="D105" s="57">
        <f>IF(('Pasture Insurance'!$E$30-(B105*'Pasture Insurance'!$G$26))*'Pasture Insurance'!$E$12&lt;0,0,('Pasture Insurance'!$E$30-(B105*'Pasture Insurance'!$G$26))*'Pasture Insurance'!$E$12)</f>
        <v>3249</v>
      </c>
      <c r="E105" s="58">
        <f>B105+'Pasture Insurance'!$E$10</f>
        <v>44809</v>
      </c>
      <c r="F105" s="59">
        <f>'Pasture Insurance'!$E$38</f>
        <v>969.26220000000001</v>
      </c>
      <c r="G105" s="30">
        <f t="shared" si="5"/>
        <v>48</v>
      </c>
      <c r="H105" s="59">
        <f>IF(('Pasture Insurance'!$E$30-(G105*'Pasture Insurance'!$G$26))*'Pasture Insurance'!$E$12&lt;0,0,('Pasture Insurance'!$E$30-(G105*'Pasture Insurance'!$G$26))*'Pasture Insurance'!$E$12)</f>
        <v>31036.5</v>
      </c>
    </row>
    <row r="106" spans="2:8" x14ac:dyDescent="0.25">
      <c r="B106">
        <f t="shared" si="4"/>
        <v>114</v>
      </c>
      <c r="D106" s="57">
        <f>IF(('Pasture Insurance'!$E$30-(B106*'Pasture Insurance'!$G$26))*'Pasture Insurance'!$E$12&lt;0,0,('Pasture Insurance'!$E$30-(B106*'Pasture Insurance'!$G$26))*'Pasture Insurance'!$E$12)</f>
        <v>2821.5</v>
      </c>
      <c r="E106" s="58">
        <f>B106+'Pasture Insurance'!$E$10</f>
        <v>44810</v>
      </c>
      <c r="F106" s="59">
        <f>'Pasture Insurance'!$E$38</f>
        <v>969.26220000000001</v>
      </c>
      <c r="G106" s="30">
        <f t="shared" si="5"/>
        <v>47</v>
      </c>
      <c r="H106" s="59">
        <f>IF(('Pasture Insurance'!$E$30-(G106*'Pasture Insurance'!$G$26))*'Pasture Insurance'!$E$12&lt;0,0,('Pasture Insurance'!$E$30-(G106*'Pasture Insurance'!$G$26))*'Pasture Insurance'!$E$12)</f>
        <v>31464</v>
      </c>
    </row>
    <row r="107" spans="2:8" x14ac:dyDescent="0.25">
      <c r="B107">
        <f t="shared" si="4"/>
        <v>115</v>
      </c>
      <c r="D107" s="57">
        <f>IF(('Pasture Insurance'!$E$30-(B107*'Pasture Insurance'!$G$26))*'Pasture Insurance'!$E$12&lt;0,0,('Pasture Insurance'!$E$30-(B107*'Pasture Insurance'!$G$26))*'Pasture Insurance'!$E$12)</f>
        <v>2394</v>
      </c>
      <c r="E107" s="58">
        <f>B107+'Pasture Insurance'!$E$10</f>
        <v>44811</v>
      </c>
      <c r="F107" s="59">
        <f>'Pasture Insurance'!$E$38</f>
        <v>969.26220000000001</v>
      </c>
      <c r="G107" s="30">
        <f t="shared" si="5"/>
        <v>46</v>
      </c>
      <c r="H107" s="59">
        <f>IF(('Pasture Insurance'!$E$30-(G107*'Pasture Insurance'!$G$26))*'Pasture Insurance'!$E$12&lt;0,0,('Pasture Insurance'!$E$30-(G107*'Pasture Insurance'!$G$26))*'Pasture Insurance'!$E$12)</f>
        <v>31891.5</v>
      </c>
    </row>
    <row r="108" spans="2:8" x14ac:dyDescent="0.25">
      <c r="B108">
        <f t="shared" si="4"/>
        <v>116</v>
      </c>
      <c r="D108" s="57">
        <f>IF(('Pasture Insurance'!$E$30-(B108*'Pasture Insurance'!$G$26))*'Pasture Insurance'!$E$12&lt;0,0,('Pasture Insurance'!$E$30-(B108*'Pasture Insurance'!$G$26))*'Pasture Insurance'!$E$12)</f>
        <v>1966.5</v>
      </c>
      <c r="E108" s="58">
        <f>B108+'Pasture Insurance'!$E$10</f>
        <v>44812</v>
      </c>
      <c r="F108" s="59">
        <f>'Pasture Insurance'!$E$38</f>
        <v>969.26220000000001</v>
      </c>
      <c r="G108" s="30">
        <f t="shared" si="5"/>
        <v>45</v>
      </c>
      <c r="H108" s="59">
        <f>IF(('Pasture Insurance'!$E$30-(G108*'Pasture Insurance'!$G$26))*'Pasture Insurance'!$E$12&lt;0,0,('Pasture Insurance'!$E$30-(G108*'Pasture Insurance'!$G$26))*'Pasture Insurance'!$E$12)</f>
        <v>32319</v>
      </c>
    </row>
    <row r="109" spans="2:8" x14ac:dyDescent="0.25">
      <c r="B109">
        <f t="shared" si="4"/>
        <v>117</v>
      </c>
      <c r="D109" s="57">
        <f>IF(('Pasture Insurance'!$E$30-(B109*'Pasture Insurance'!$G$26))*'Pasture Insurance'!$E$12&lt;0,0,('Pasture Insurance'!$E$30-(B109*'Pasture Insurance'!$G$26))*'Pasture Insurance'!$E$12)</f>
        <v>1539</v>
      </c>
      <c r="E109" s="58">
        <f>B109+'Pasture Insurance'!$E$10</f>
        <v>44813</v>
      </c>
      <c r="F109" s="59">
        <f>'Pasture Insurance'!$E$38</f>
        <v>969.26220000000001</v>
      </c>
      <c r="G109" s="30">
        <f t="shared" si="5"/>
        <v>44</v>
      </c>
      <c r="H109" s="59">
        <f>IF(('Pasture Insurance'!$E$30-(G109*'Pasture Insurance'!$G$26))*'Pasture Insurance'!$E$12&lt;0,0,('Pasture Insurance'!$E$30-(G109*'Pasture Insurance'!$G$26))*'Pasture Insurance'!$E$12)</f>
        <v>32746.5</v>
      </c>
    </row>
    <row r="110" spans="2:8" x14ac:dyDescent="0.25">
      <c r="B110">
        <f t="shared" si="4"/>
        <v>118</v>
      </c>
      <c r="D110" s="57">
        <f>IF(('Pasture Insurance'!$E$30-(B110*'Pasture Insurance'!$G$26))*'Pasture Insurance'!$E$12&lt;0,0,('Pasture Insurance'!$E$30-(B110*'Pasture Insurance'!$G$26))*'Pasture Insurance'!$E$12)</f>
        <v>1111.5</v>
      </c>
      <c r="E110" s="58">
        <f>B110+'Pasture Insurance'!$E$10</f>
        <v>44814</v>
      </c>
      <c r="F110" s="59">
        <f>'Pasture Insurance'!$E$38</f>
        <v>969.26220000000001</v>
      </c>
      <c r="G110" s="30">
        <f t="shared" si="5"/>
        <v>43</v>
      </c>
      <c r="H110" s="59">
        <f>IF(('Pasture Insurance'!$E$30-(G110*'Pasture Insurance'!$G$26))*'Pasture Insurance'!$E$12&lt;0,0,('Pasture Insurance'!$E$30-(G110*'Pasture Insurance'!$G$26))*'Pasture Insurance'!$E$12)</f>
        <v>33174</v>
      </c>
    </row>
    <row r="111" spans="2:8" x14ac:dyDescent="0.25">
      <c r="B111">
        <f t="shared" si="4"/>
        <v>119</v>
      </c>
      <c r="D111" s="57">
        <f>IF(('Pasture Insurance'!$E$30-(B111*'Pasture Insurance'!$G$26))*'Pasture Insurance'!$E$12&lt;0,0,('Pasture Insurance'!$E$30-(B111*'Pasture Insurance'!$G$26))*'Pasture Insurance'!$E$12)</f>
        <v>684</v>
      </c>
      <c r="E111" s="58">
        <f>B111+'Pasture Insurance'!$E$10</f>
        <v>44815</v>
      </c>
      <c r="F111" s="59">
        <f>'Pasture Insurance'!$E$38</f>
        <v>969.26220000000001</v>
      </c>
      <c r="G111" s="30">
        <f t="shared" si="5"/>
        <v>42</v>
      </c>
      <c r="H111" s="59">
        <f>IF(('Pasture Insurance'!$E$30-(G111*'Pasture Insurance'!$G$26))*'Pasture Insurance'!$E$12&lt;0,0,('Pasture Insurance'!$E$30-(G111*'Pasture Insurance'!$G$26))*'Pasture Insurance'!$E$12)</f>
        <v>33601.5</v>
      </c>
    </row>
    <row r="112" spans="2:8" x14ac:dyDescent="0.25">
      <c r="B112">
        <f t="shared" si="4"/>
        <v>120</v>
      </c>
      <c r="D112" s="57">
        <f>IF(('Pasture Insurance'!$E$30-(B112*'Pasture Insurance'!$G$26))*'Pasture Insurance'!$E$12&lt;0,0,('Pasture Insurance'!$E$30-(B112*'Pasture Insurance'!$G$26))*'Pasture Insurance'!$E$12)</f>
        <v>256.5</v>
      </c>
      <c r="E112" s="58">
        <f>B112+'Pasture Insurance'!$E$10</f>
        <v>44816</v>
      </c>
      <c r="F112" s="59">
        <f>'Pasture Insurance'!$E$38</f>
        <v>969.26220000000001</v>
      </c>
      <c r="G112" s="30">
        <f t="shared" si="5"/>
        <v>41</v>
      </c>
      <c r="H112" s="59">
        <f>IF(('Pasture Insurance'!$E$30-(G112*'Pasture Insurance'!$G$26))*'Pasture Insurance'!$E$12&lt;0,0,('Pasture Insurance'!$E$30-(G112*'Pasture Insurance'!$G$26))*'Pasture Insurance'!$E$12)</f>
        <v>34029</v>
      </c>
    </row>
    <row r="113" spans="2:9" x14ac:dyDescent="0.25">
      <c r="B113" s="12">
        <f>ROUND('Pasture Insurance'!E30/'Pasture Insurance'!G26,0)</f>
        <v>121</v>
      </c>
      <c r="C113" s="12"/>
      <c r="D113" s="57">
        <f>IF(('Pasture Insurance'!$E$30-(B113*'Pasture Insurance'!$G$26))*'Pasture Insurance'!$E$12&lt;0,0,('Pasture Insurance'!$E$30-(B113*'Pasture Insurance'!$G$26))*'Pasture Insurance'!$E$12)</f>
        <v>0</v>
      </c>
      <c r="E113" s="58">
        <f>B113+'Pasture Insurance'!$E$10</f>
        <v>44817</v>
      </c>
      <c r="F113" s="59">
        <f>'Pasture Insurance'!$E$38</f>
        <v>969.26220000000001</v>
      </c>
      <c r="G113" s="30">
        <f t="shared" si="5"/>
        <v>40</v>
      </c>
      <c r="H113" s="59">
        <f>IF(('Pasture Insurance'!$E$30-(G113*'Pasture Insurance'!$G$26))*'Pasture Insurance'!$E$12&lt;0,0,('Pasture Insurance'!$E$30-(G113*'Pasture Insurance'!$G$26))*'Pasture Insurance'!$E$12)</f>
        <v>34456.5</v>
      </c>
    </row>
    <row r="115" spans="2:9" ht="15.5" x14ac:dyDescent="0.35">
      <c r="B115" s="1" t="str">
        <f>"Premium = $"&amp;TEXT('Pasture Insurance'!E38,"#,###")</f>
        <v>Premium = $969</v>
      </c>
      <c r="C115" s="1"/>
      <c r="D115" s="62"/>
      <c r="E115" s="62"/>
      <c r="F115" s="62"/>
      <c r="G115" s="62"/>
      <c r="H115" s="63" t="str">
        <f>"Indemnity = $"&amp;TEXT('Pasture Insurance'!E48,"#,###")&amp;" or $"&amp;ROUND('Pasture Insurance'!E50,0)&amp;"/head"</f>
        <v>Indemnity = $8,379 or $57/head</v>
      </c>
      <c r="I115" s="62"/>
    </row>
    <row r="116" spans="2:9" x14ac:dyDescent="0.25">
      <c r="B116" s="62"/>
      <c r="C116" s="62"/>
      <c r="D116" s="62"/>
      <c r="E116" s="62"/>
      <c r="F116" s="62" t="s">
        <v>41</v>
      </c>
      <c r="G116" s="62" t="s">
        <v>42</v>
      </c>
      <c r="H116" s="62" t="str">
        <f>'Pasture Insurance'!E45&amp;" Actual Grazing Days "</f>
        <v xml:space="preserve">101 Actual Grazing Days </v>
      </c>
      <c r="I116" s="62"/>
    </row>
    <row r="117" spans="2:9" x14ac:dyDescent="0.25">
      <c r="B117" s="62">
        <v>1</v>
      </c>
      <c r="C117" s="62"/>
      <c r="D117" s="62"/>
      <c r="E117" s="64">
        <f>'Pasture Insurance'!$E$48</f>
        <v>8379</v>
      </c>
      <c r="F117" s="62"/>
      <c r="G117" s="62"/>
      <c r="H117" s="63">
        <f>'Pasture Insurance'!$E$45</f>
        <v>101</v>
      </c>
      <c r="I117" s="62"/>
    </row>
    <row r="118" spans="2:9" x14ac:dyDescent="0.25">
      <c r="B118" s="65">
        <v>2</v>
      </c>
      <c r="C118" s="65"/>
      <c r="D118" s="62"/>
      <c r="E118" s="64">
        <f>'Pasture Insurance'!$E$48</f>
        <v>8379</v>
      </c>
      <c r="F118" s="63">
        <f>ROUND('Pasture Insurance'!E8,0)</f>
        <v>134</v>
      </c>
      <c r="G118" s="63">
        <f>ROUND('Pasture Insurance'!E8*'Pasture Insurance'!E9,0)</f>
        <v>121</v>
      </c>
      <c r="H118" s="63">
        <f>'Pasture Insurance'!$E$45</f>
        <v>101</v>
      </c>
      <c r="I118" s="62"/>
    </row>
    <row r="119" spans="2:9" x14ac:dyDescent="0.25">
      <c r="B119" s="62">
        <v>3</v>
      </c>
      <c r="C119" s="62"/>
      <c r="D119" s="62"/>
      <c r="E119" s="62"/>
      <c r="F119" s="62"/>
      <c r="G119" s="62"/>
      <c r="H119" s="63">
        <f>'Pasture Insurance'!$E$45</f>
        <v>101</v>
      </c>
      <c r="I119" s="62"/>
    </row>
    <row r="121" spans="2:9" x14ac:dyDescent="0.25">
      <c r="D121" t="str">
        <f>"Pasture Insurance Indemnity (based on "&amp;'Pasture Insurance'!E26&amp;" Head @ "&amp;'Pasture Insurance'!E8&amp;" days historic grazing period)"</f>
        <v>Pasture Insurance Indemnity (based on 146 Head @ 134 days historic grazing period)</v>
      </c>
    </row>
    <row r="122" spans="2:9" x14ac:dyDescent="0.25">
      <c r="D122" t="str">
        <f>"Pasture Insurance Indemnity = $"&amp;TEXT('Pasture Insurance'!E48,"#,###")&amp;" (based on "&amp;'Pasture Insurance'!E26&amp;" Head @ "&amp;'Pasture Insurance'!E8&amp;" days historic grazing period)"</f>
        <v>Pasture Insurance Indemnity = $8,379 (based on 146 Head @ 134 days historic grazing period)</v>
      </c>
    </row>
    <row r="123" spans="2:9" x14ac:dyDescent="0.25">
      <c r="F123" s="12" t="str">
        <f>F126&amp;" Pasture Days Covered by AgriInsurance"</f>
        <v>121 Pasture Days Covered by AgriInsurance</v>
      </c>
      <c r="G123" s="12" t="str">
        <f>G126&amp;" Pasture Days Uncovered by AgriInsurance"</f>
        <v>13 Pasture Days Uncovered by AgriInsurance</v>
      </c>
    </row>
    <row r="124" spans="2:9" x14ac:dyDescent="0.25">
      <c r="E124" s="12" t="s">
        <v>38</v>
      </c>
      <c r="F124" s="12" t="s">
        <v>39</v>
      </c>
      <c r="G124" s="12" t="s">
        <v>40</v>
      </c>
      <c r="H124" s="12" t="str">
        <f>'Pasture Insurance'!E45&amp;" Actual Grazing Days (Indemnity = $"&amp;TEXT('Pasture Insurance'!E48,"#,###")&amp;" or $"&amp;ROUND('Pasture Insurance'!E50,0)&amp;"/hd)"</f>
        <v>101 Actual Grazing Days (Indemnity = $8,379 or $57/hd)</v>
      </c>
    </row>
    <row r="125" spans="2:9" x14ac:dyDescent="0.25">
      <c r="B125">
        <v>1</v>
      </c>
      <c r="E125" s="61">
        <f>'Pasture Insurance'!$E$48</f>
        <v>8379</v>
      </c>
      <c r="H125" s="60">
        <f>'Pasture Insurance'!$E$45</f>
        <v>101</v>
      </c>
    </row>
    <row r="126" spans="2:9" x14ac:dyDescent="0.25">
      <c r="B126" s="12">
        <v>2</v>
      </c>
      <c r="C126" s="12"/>
      <c r="E126" s="61">
        <f>'Pasture Insurance'!$E$48</f>
        <v>8379</v>
      </c>
      <c r="F126">
        <f>ROUND('Pasture Insurance'!E8*'Pasture Insurance'!E9,0)</f>
        <v>121</v>
      </c>
      <c r="G126" s="60">
        <f>'Pasture Insurance'!E8-(ROUND('Pasture Insurance'!E8*'Pasture Insurance'!E9,0))</f>
        <v>13</v>
      </c>
      <c r="H126" s="60">
        <f>'Pasture Insurance'!$E$45</f>
        <v>101</v>
      </c>
    </row>
    <row r="127" spans="2:9" x14ac:dyDescent="0.25">
      <c r="B127">
        <v>3</v>
      </c>
      <c r="H127" s="60">
        <f>'Pasture Insurance'!$E$45</f>
        <v>101</v>
      </c>
    </row>
    <row r="128" spans="2:9" x14ac:dyDescent="0.25">
      <c r="F128" t="s">
        <v>41</v>
      </c>
      <c r="G128" t="s">
        <v>42</v>
      </c>
      <c r="H128" t="str">
        <f>'Pasture Insurance'!E45&amp;" Actual Grazing Days (Indemnity = $"&amp;TEXT('Pasture Insurance'!E48,"#,###")&amp;" or $"&amp;ROUND('Pasture Insurance'!E50,0)&amp;"/hd)"</f>
        <v>101 Actual Grazing Days (Indemnity = $8,379 or $57/hd)</v>
      </c>
    </row>
    <row r="129" spans="2:8" x14ac:dyDescent="0.25">
      <c r="B129">
        <v>1</v>
      </c>
      <c r="E129" s="61">
        <f>'Pasture Insurance'!$E$48</f>
        <v>8379</v>
      </c>
      <c r="H129" s="60">
        <f>'Pasture Insurance'!$E$45</f>
        <v>101</v>
      </c>
    </row>
    <row r="130" spans="2:8" x14ac:dyDescent="0.25">
      <c r="B130" s="12">
        <v>2</v>
      </c>
      <c r="C130" s="12"/>
      <c r="E130" s="61">
        <f>'Pasture Insurance'!$E$48</f>
        <v>8379</v>
      </c>
      <c r="F130" s="60">
        <f>ROUND('Pasture Insurance'!E8,0)</f>
        <v>134</v>
      </c>
      <c r="G130" s="60">
        <f>ROUND('Pasture Insurance'!E8*'Pasture Insurance'!E9,0)</f>
        <v>121</v>
      </c>
      <c r="H130" s="60">
        <f>'Pasture Insurance'!$E$45</f>
        <v>101</v>
      </c>
    </row>
    <row r="131" spans="2:8" x14ac:dyDescent="0.25">
      <c r="B131">
        <v>3</v>
      </c>
      <c r="H131" s="60">
        <f>'Pasture Insurance'!$E$45</f>
        <v>101</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7C3257931C4EB4CBE667AF33D71167E" ma:contentTypeVersion="3" ma:contentTypeDescription="Create a new document." ma:contentTypeScope="" ma:versionID="40765f1e47717a1969b3d26f47aa1f88">
  <xsd:schema xmlns:xsd="http://www.w3.org/2001/XMLSchema" xmlns:xs="http://www.w3.org/2001/XMLSchema" xmlns:p="http://schemas.microsoft.com/office/2006/metadata/properties" xmlns:ns1="http://schemas.microsoft.com/sharepoint/v3" targetNamespace="http://schemas.microsoft.com/office/2006/metadata/properties" ma:root="true" ma:fieldsID="b665880aa3952302b15396eac48c3363"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A72A769-07F8-420D-B87E-7F95A1D7976A}">
  <ds:schemaRefs>
    <ds:schemaRef ds:uri="http://schemas.microsoft.com/sharepoint/v3/contenttype/forms"/>
  </ds:schemaRefs>
</ds:datastoreItem>
</file>

<file path=customXml/itemProps2.xml><?xml version="1.0" encoding="utf-8"?>
<ds:datastoreItem xmlns:ds="http://schemas.openxmlformats.org/officeDocument/2006/customXml" ds:itemID="{F08F5567-0267-42DF-A3C9-954ED5EE0960}">
  <ds:schemaRefs>
    <ds:schemaRef ds:uri="http://schemas.microsoft.com/office/2006/metadata/longProperties"/>
  </ds:schemaRefs>
</ds:datastoreItem>
</file>

<file path=customXml/itemProps3.xml><?xml version="1.0" encoding="utf-8"?>
<ds:datastoreItem xmlns:ds="http://schemas.openxmlformats.org/officeDocument/2006/customXml" ds:itemID="{1B622D41-0FFC-4C04-A55E-D843BBFD20BF}"/>
</file>

<file path=customXml/itemProps4.xml><?xml version="1.0" encoding="utf-8"?>
<ds:datastoreItem xmlns:ds="http://schemas.openxmlformats.org/officeDocument/2006/customXml" ds:itemID="{2FFA598A-4AE8-46F7-85BC-92D5CADE338C}">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11</vt:i4>
      </vt:variant>
    </vt:vector>
  </HeadingPairs>
  <TitlesOfParts>
    <vt:vector size="13" baseType="lpstr">
      <vt:lpstr>Pasture Insurance</vt:lpstr>
      <vt:lpstr>Chart DATA (hide)</vt:lpstr>
      <vt:lpstr>Animal</vt:lpstr>
      <vt:lpstr>Bison</vt:lpstr>
      <vt:lpstr>Cows</vt:lpstr>
      <vt:lpstr>Deer</vt:lpstr>
      <vt:lpstr>Donkeys_and_Ponies</vt:lpstr>
      <vt:lpstr>Elk</vt:lpstr>
      <vt:lpstr>Goats</vt:lpstr>
      <vt:lpstr>Horses</vt:lpstr>
      <vt:lpstr>Llamas_and_Alpacas</vt:lpstr>
      <vt:lpstr>'Pasture Insurance'!Print_Area</vt:lpstr>
      <vt:lpstr>Sheep</vt:lpstr>
    </vt:vector>
  </TitlesOfParts>
  <Company>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Pasture Days Insurance Calculator</dc:title>
  <dc:creator>Roy Arnott</dc:creator>
  <cp:lastModifiedBy>Mashinini, Khosi</cp:lastModifiedBy>
  <cp:lastPrinted>2022-04-29T14:15:25Z</cp:lastPrinted>
  <dcterms:created xsi:type="dcterms:W3CDTF">1999-05-11T14:54:42Z</dcterms:created>
  <dcterms:modified xsi:type="dcterms:W3CDTF">2025-04-24T16:45:56Z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TemplateUrl">
    <vt:lpwstr/>
  </property>
  <property fmtid="{D5CDD505-2E9C-101B-9397-08002B2CF9AE}" pid="4" name="xd_ProgID">
    <vt:lpwstr/>
  </property>
  <property fmtid="{D5CDD505-2E9C-101B-9397-08002B2CF9AE}" pid="5" name="ContentTypeId">
    <vt:lpwstr>0x01010007C3257931C4EB4CBE667AF33D71167E</vt:lpwstr>
  </property>
  <property fmtid="{D5CDD505-2E9C-101B-9397-08002B2CF9AE}" pid="6" name="_SourceUrl">
    <vt:lpwstr/>
  </property>
  <property fmtid="{D5CDD505-2E9C-101B-9397-08002B2CF9AE}" pid="7" name="_SharedFileIndex">
    <vt:lpwstr/>
  </property>
</Properties>
</file>