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1.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charts/chart2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P:\D03\Farm Management\1. Cost of Production\1.2. Forages\2025\"/>
    </mc:Choice>
  </mc:AlternateContent>
  <xr:revisionPtr revIDLastSave="0" documentId="8_{ED948567-F62E-4E62-A7F1-A5D371730AB2}" xr6:coauthVersionLast="47" xr6:coauthVersionMax="47" xr10:uidLastSave="{00000000-0000-0000-0000-000000000000}"/>
  <workbookProtection workbookAlgorithmName="SHA-512" workbookHashValue="QDOKiaFnwZky3DCfusMms3bfFNwWvAO9ZXKIyAtV3zPMY6QTvj5gZkWbr0srz9tXMGdbQhFNN4+bMxU95X0myg==" workbookSaltValue="pYmpnLSriA3yELO04iX1Mg==" workbookSpinCount="100000" lockStructure="1"/>
  <bookViews>
    <workbookView xWindow="-110" yWindow="-110" windowWidth="19420" windowHeight="10420" tabRatio="892" xr2:uid="{00000000-000D-0000-FFFF-FFFF00000000}"/>
  </bookViews>
  <sheets>
    <sheet name="Introduction" sheetId="10" r:id="rId1"/>
    <sheet name="Summary" sheetId="2" r:id="rId2"/>
    <sheet name="Risk" sheetId="11" r:id="rId3"/>
    <sheet name="Pasture Insurance" sheetId="16" r:id="rId4"/>
    <sheet name="Input" sheetId="1" r:id="rId5"/>
    <sheet name="Fixed Cost Input" sheetId="12" r:id="rId6"/>
    <sheet name="Assumptions" sheetId="13" r:id="rId7"/>
    <sheet name="Example" sheetId="5" r:id="rId8"/>
    <sheet name="AUM  Carrying Capcity Worksheet" sheetId="9" r:id="rId9"/>
    <sheet name="Pasture Ins Calc (HIDE)" sheetId="17" state="hidden" r:id="rId10"/>
    <sheet name="Chart (HIDE)" sheetId="15" state="hidden" r:id="rId11"/>
  </sheets>
  <definedNames>
    <definedName name="\A" localSheetId="6">#REF!</definedName>
    <definedName name="\A" localSheetId="5">#REF!</definedName>
    <definedName name="\A" localSheetId="0">#REF!</definedName>
    <definedName name="\A" localSheetId="9">#REF!</definedName>
    <definedName name="\A" localSheetId="2">#REF!</definedName>
    <definedName name="\A">#REF!</definedName>
    <definedName name="\B" localSheetId="5">#REF!</definedName>
    <definedName name="\B" localSheetId="0">#REF!</definedName>
    <definedName name="\B" localSheetId="9">#REF!</definedName>
    <definedName name="\B" localSheetId="2">#REF!</definedName>
    <definedName name="\B">#REF!</definedName>
    <definedName name="\C" localSheetId="6">#REF!</definedName>
    <definedName name="\C" localSheetId="5">#REF!</definedName>
    <definedName name="\C" localSheetId="0">#REF!</definedName>
    <definedName name="\C" localSheetId="9">#REF!</definedName>
    <definedName name="\C" localSheetId="2">#REF!</definedName>
    <definedName name="\C">#REF!</definedName>
    <definedName name="\D" localSheetId="6">#REF!</definedName>
    <definedName name="\D" localSheetId="5">#REF!</definedName>
    <definedName name="\D" localSheetId="0">#REF!</definedName>
    <definedName name="\D" localSheetId="9">#REF!</definedName>
    <definedName name="\D" localSheetId="2">#REF!</definedName>
    <definedName name="\D">#REF!</definedName>
    <definedName name="\E" localSheetId="5">#REF!</definedName>
    <definedName name="\E" localSheetId="0">#REF!</definedName>
    <definedName name="\E" localSheetId="9">#REF!</definedName>
    <definedName name="\E" localSheetId="2">#REF!</definedName>
    <definedName name="\E">#REF!</definedName>
    <definedName name="\F" localSheetId="5">#REF!</definedName>
    <definedName name="\F" localSheetId="0">#REF!</definedName>
    <definedName name="\F" localSheetId="9">#REF!</definedName>
    <definedName name="\F" localSheetId="2">#REF!</definedName>
    <definedName name="\F">#REF!</definedName>
    <definedName name="\H" localSheetId="6">#REF!</definedName>
    <definedName name="\H" localSheetId="5">#REF!</definedName>
    <definedName name="\H" localSheetId="0">#REF!</definedName>
    <definedName name="\H" localSheetId="9">#REF!</definedName>
    <definedName name="\H" localSheetId="2">#REF!</definedName>
    <definedName name="\H">#REF!</definedName>
    <definedName name="\I" localSheetId="6">#REF!</definedName>
    <definedName name="\I" localSheetId="5">#REF!</definedName>
    <definedName name="\I" localSheetId="0">#REF!</definedName>
    <definedName name="\I" localSheetId="9">#REF!</definedName>
    <definedName name="\I" localSheetId="2">#REF!</definedName>
    <definedName name="\I">#REF!</definedName>
    <definedName name="\K">#N/A</definedName>
    <definedName name="\L" localSheetId="5">#REF!</definedName>
    <definedName name="\L" localSheetId="0">#REF!</definedName>
    <definedName name="\L" localSheetId="9">#REF!</definedName>
    <definedName name="\L" localSheetId="2">#REF!</definedName>
    <definedName name="\L">#REF!</definedName>
    <definedName name="\N" localSheetId="6">#REF!</definedName>
    <definedName name="\N" localSheetId="5">#REF!</definedName>
    <definedName name="\N" localSheetId="0">#REF!</definedName>
    <definedName name="\N" localSheetId="9">#REF!</definedName>
    <definedName name="\N" localSheetId="2">#REF!</definedName>
    <definedName name="\N">#REF!</definedName>
    <definedName name="\O" localSheetId="5">#REF!</definedName>
    <definedName name="\O" localSheetId="0">#REF!</definedName>
    <definedName name="\O" localSheetId="9">#REF!</definedName>
    <definedName name="\O" localSheetId="2">#REF!</definedName>
    <definedName name="\O">#REF!</definedName>
    <definedName name="\P">#N/A</definedName>
    <definedName name="\R" localSheetId="5">#REF!</definedName>
    <definedName name="\R" localSheetId="0">#REF!</definedName>
    <definedName name="\R" localSheetId="9">#REF!</definedName>
    <definedName name="\R" localSheetId="2">#REF!</definedName>
    <definedName name="\R">#REF!</definedName>
    <definedName name="\S" localSheetId="6">#REF!</definedName>
    <definedName name="\S" localSheetId="5">#REF!</definedName>
    <definedName name="\S" localSheetId="0">#REF!</definedName>
    <definedName name="\S" localSheetId="9">#REF!</definedName>
    <definedName name="\S" localSheetId="2">#REF!</definedName>
    <definedName name="\S">#REF!</definedName>
    <definedName name="\T" localSheetId="5">#REF!</definedName>
    <definedName name="\T" localSheetId="0">#REF!</definedName>
    <definedName name="\T" localSheetId="9">#REF!</definedName>
    <definedName name="\T" localSheetId="2">#REF!</definedName>
    <definedName name="\T">#REF!</definedName>
    <definedName name="\U" localSheetId="5">#REF!</definedName>
    <definedName name="\U" localSheetId="0">#REF!</definedName>
    <definedName name="\U" localSheetId="9">#REF!</definedName>
    <definedName name="\U" localSheetId="2">#REF!</definedName>
    <definedName name="\U">#REF!</definedName>
    <definedName name="\W" localSheetId="6">#REF!</definedName>
    <definedName name="\W" localSheetId="5">#REF!</definedName>
    <definedName name="\W" localSheetId="0">#REF!</definedName>
    <definedName name="\W" localSheetId="9">#REF!</definedName>
    <definedName name="\W" localSheetId="2">#REF!</definedName>
    <definedName name="\W">#REF!</definedName>
    <definedName name="\X">#N/A</definedName>
    <definedName name="\Y" localSheetId="5">#REF!</definedName>
    <definedName name="\Y" localSheetId="0">#REF!</definedName>
    <definedName name="\Y" localSheetId="9">#REF!</definedName>
    <definedName name="\Y" localSheetId="2">#REF!</definedName>
    <definedName name="\Y">#REF!</definedName>
    <definedName name="ALL">#N/A</definedName>
    <definedName name="Animal">'Pasture Ins Calc (HIDE)'!$C$196:$C$205</definedName>
    <definedName name="Bison">'Pasture Ins Calc (HIDE)'!$C$235:$C$237</definedName>
    <definedName name="Cows">'Pasture Ins Calc (HIDE)'!$C$211:$C$213</definedName>
    <definedName name="Deer">'Pasture Ins Calc (HIDE)'!$C$232:$C$234</definedName>
    <definedName name="Donkeys_and_Ponies">'Pasture Ins Calc (HIDE)'!$C$223:$C$225</definedName>
    <definedName name="Elk">'Pasture Ins Calc (HIDE)'!$C$229:$C$231</definedName>
    <definedName name="Goats">'Pasture Ins Calc (HIDE)'!$C$217:$C$219</definedName>
    <definedName name="Horses">'Pasture Ins Calc (HIDE)'!$C$220:$C$222</definedName>
    <definedName name="Llamas_and_Alpacas">'Pasture Ins Calc (HIDE)'!$C$226:$C$228</definedName>
    <definedName name="_xlnm.Print_Area" localSheetId="6">Assumptions!$A$1:$I$64</definedName>
    <definedName name="_xlnm.Print_Area" localSheetId="4">Input!$A$1:$L$115</definedName>
    <definedName name="_xlnm.Print_Area" localSheetId="0">Introduction!$A$1:$J$58</definedName>
    <definedName name="_xlnm.Print_Area" localSheetId="9">'Pasture Ins Calc (HIDE)'!$A$1:$J$86</definedName>
    <definedName name="_xlnm.Print_Area" localSheetId="3">'Pasture Insurance'!$A$1:$I$70</definedName>
    <definedName name="_xlnm.Print_Area" localSheetId="2">Risk!$A$1:$K$77</definedName>
    <definedName name="_xlnm.Print_Area" localSheetId="1">Summary!$A$1:$K$56</definedName>
    <definedName name="Sheep">'Pasture Ins Calc (HIDE)'!$C$214:$C$216</definedName>
    <definedName name="Z_6E930F6D_F725_11D2_92B5_0004ACD86FC2_.wvu.PrintArea" localSheetId="6" hidden="1">Assumptions!$A$1:$A$1</definedName>
    <definedName name="Z_6E930F6D_F725_11D2_92B5_0004ACD86FC2_.wvu.PrintArea" localSheetId="0" hidden="1">Introduction!$A$5:$B$32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3" l="1"/>
  <c r="D13" i="11" l="1"/>
  <c r="D131" i="15" l="1"/>
  <c r="D132" i="15"/>
  <c r="E132" i="15"/>
  <c r="F132" i="15"/>
  <c r="I13" i="11"/>
  <c r="H13" i="11"/>
  <c r="I11" i="11"/>
  <c r="H11" i="11"/>
  <c r="D11" i="11"/>
  <c r="I10" i="11"/>
  <c r="I8" i="11"/>
  <c r="H8" i="11"/>
  <c r="D8" i="11"/>
  <c r="I7" i="11"/>
  <c r="H7" i="11"/>
  <c r="D7" i="11"/>
  <c r="F34" i="1"/>
  <c r="J34" i="1"/>
  <c r="F35" i="1"/>
  <c r="J35" i="1"/>
  <c r="F36" i="1"/>
  <c r="J36" i="1"/>
  <c r="F37" i="1"/>
  <c r="J37" i="1"/>
  <c r="F38" i="1"/>
  <c r="J38" i="1"/>
  <c r="I48" i="1"/>
  <c r="I49" i="1"/>
  <c r="I50" i="1"/>
  <c r="F55" i="1"/>
  <c r="F56" i="1"/>
  <c r="F57" i="1"/>
  <c r="F59" i="1"/>
  <c r="S66" i="1"/>
  <c r="T66" i="1" s="1"/>
  <c r="U66" i="1" s="1"/>
  <c r="V66" i="1" s="1"/>
  <c r="W66" i="1"/>
  <c r="X66" i="1" s="1"/>
  <c r="Y66" i="1" s="1"/>
  <c r="Z66" i="1" s="1"/>
  <c r="AK66" i="1"/>
  <c r="AL66" i="1" s="1"/>
  <c r="AM66" i="1" s="1"/>
  <c r="AN66" i="1"/>
  <c r="AB66" i="1" s="1"/>
  <c r="AQ66" i="1"/>
  <c r="AH66" i="1" s="1"/>
  <c r="AR66" i="1"/>
  <c r="AS66" i="1" s="1"/>
  <c r="S67" i="1"/>
  <c r="T67" i="1" s="1"/>
  <c r="U67" i="1" s="1"/>
  <c r="V67" i="1" s="1"/>
  <c r="W67" i="1"/>
  <c r="X67" i="1" s="1"/>
  <c r="Y67" i="1" s="1"/>
  <c r="Z67" i="1" s="1"/>
  <c r="AK67" i="1"/>
  <c r="AL67" i="1"/>
  <c r="AM67" i="1" s="1"/>
  <c r="I67" i="1" s="1"/>
  <c r="AN67" i="1"/>
  <c r="AB67" i="1" s="1"/>
  <c r="AQ67" i="1"/>
  <c r="AC67" i="1" s="1"/>
  <c r="S68" i="1"/>
  <c r="T68" i="1"/>
  <c r="U68" i="1"/>
  <c r="V68" i="1" s="1"/>
  <c r="W68" i="1"/>
  <c r="X68" i="1"/>
  <c r="Y68" i="1"/>
  <c r="Z68" i="1"/>
  <c r="AK68" i="1"/>
  <c r="AL68" i="1"/>
  <c r="AM68" i="1"/>
  <c r="I68" i="1" s="1"/>
  <c r="AN68" i="1"/>
  <c r="AO68" i="1" s="1"/>
  <c r="AP68" i="1" s="1"/>
  <c r="AQ68" i="1"/>
  <c r="AC68" i="1" s="1"/>
  <c r="AR68" i="1"/>
  <c r="AS68" i="1"/>
  <c r="S69" i="1"/>
  <c r="T69" i="1" s="1"/>
  <c r="U69" i="1" s="1"/>
  <c r="V69" i="1" s="1"/>
  <c r="W69" i="1"/>
  <c r="X69" i="1" s="1"/>
  <c r="Y69" i="1" s="1"/>
  <c r="Z69" i="1" s="1"/>
  <c r="AK69" i="1"/>
  <c r="AL69" i="1" s="1"/>
  <c r="AM69" i="1" s="1"/>
  <c r="I69" i="1" s="1"/>
  <c r="AN69" i="1"/>
  <c r="AB69" i="1" s="1"/>
  <c r="AO69" i="1"/>
  <c r="AP69" i="1" s="1"/>
  <c r="AQ69" i="1"/>
  <c r="AH69" i="1" s="1"/>
  <c r="AR69" i="1"/>
  <c r="AS69" i="1" s="1"/>
  <c r="H82" i="1"/>
  <c r="H83" i="1"/>
  <c r="H84" i="1"/>
  <c r="F98" i="1"/>
  <c r="E98" i="1" s="1"/>
  <c r="J98" i="1"/>
  <c r="I98" i="1" s="1"/>
  <c r="I115" i="1"/>
  <c r="S67" i="15"/>
  <c r="R67" i="15"/>
  <c r="Q72" i="15"/>
  <c r="Q73" i="15" s="1"/>
  <c r="Q70" i="15"/>
  <c r="Q69" i="15" s="1"/>
  <c r="Q65" i="15"/>
  <c r="B43" i="15"/>
  <c r="B65" i="15"/>
  <c r="B72" i="15"/>
  <c r="B74" i="15" s="1"/>
  <c r="B70" i="15"/>
  <c r="B68" i="15" s="1"/>
  <c r="B50" i="15"/>
  <c r="B51" i="15" s="1"/>
  <c r="B48" i="15"/>
  <c r="B47" i="15" s="1"/>
  <c r="B29" i="15"/>
  <c r="B31" i="15" s="1"/>
  <c r="B27" i="15"/>
  <c r="B26" i="15" s="1"/>
  <c r="B11" i="15"/>
  <c r="B12" i="15" s="1"/>
  <c r="B9" i="15"/>
  <c r="B8" i="15" s="1"/>
  <c r="G25" i="17"/>
  <c r="G24" i="17"/>
  <c r="G23" i="17"/>
  <c r="G22" i="17"/>
  <c r="G21" i="17"/>
  <c r="G20" i="17"/>
  <c r="AO67" i="1" l="1"/>
  <c r="AP67" i="1" s="1"/>
  <c r="AO66" i="1"/>
  <c r="AP66" i="1" s="1"/>
  <c r="J39" i="1"/>
  <c r="F39" i="1"/>
  <c r="F60" i="1"/>
  <c r="F58" i="1"/>
  <c r="F61" i="1" s="1"/>
  <c r="AH67" i="1"/>
  <c r="K68" i="1"/>
  <c r="AH68" i="1"/>
  <c r="AR67" i="1"/>
  <c r="AS67" i="1" s="1"/>
  <c r="K67" i="1" s="1"/>
  <c r="AI66" i="1"/>
  <c r="AJ66" i="1" s="1"/>
  <c r="AA66" i="1"/>
  <c r="AI69" i="1"/>
  <c r="AJ69" i="1" s="1"/>
  <c r="F69" i="1" s="1"/>
  <c r="AA69" i="1"/>
  <c r="K69" i="1"/>
  <c r="AC66" i="1"/>
  <c r="AB68" i="1"/>
  <c r="AC69" i="1"/>
  <c r="Q74" i="15"/>
  <c r="Q68" i="15"/>
  <c r="B69" i="15"/>
  <c r="B73" i="15"/>
  <c r="B52" i="15"/>
  <c r="B46" i="15"/>
  <c r="B25" i="15"/>
  <c r="B30" i="15"/>
  <c r="B13" i="15"/>
  <c r="B7" i="15"/>
  <c r="AD69" i="1" l="1"/>
  <c r="AE69" i="1" s="1"/>
  <c r="AF69" i="1" s="1"/>
  <c r="AG69" i="1" s="1"/>
  <c r="D69" i="1" s="1"/>
  <c r="L69" i="1" s="1"/>
  <c r="AI68" i="1"/>
  <c r="AJ68" i="1" s="1"/>
  <c r="F68" i="1" s="1"/>
  <c r="AA68" i="1"/>
  <c r="AA67" i="1"/>
  <c r="AD67" i="1" s="1"/>
  <c r="AE67" i="1" s="1"/>
  <c r="AF67" i="1" s="1"/>
  <c r="AG67" i="1" s="1"/>
  <c r="D67" i="1" s="1"/>
  <c r="AI67" i="1"/>
  <c r="AJ67" i="1" s="1"/>
  <c r="F67" i="1" s="1"/>
  <c r="AD68" i="1"/>
  <c r="AE68" i="1" s="1"/>
  <c r="AF68" i="1" s="1"/>
  <c r="AG68" i="1" s="1"/>
  <c r="D68" i="1" s="1"/>
  <c r="AD66" i="1"/>
  <c r="AE66" i="1" s="1"/>
  <c r="AF66" i="1" s="1"/>
  <c r="AG66" i="1" s="1"/>
  <c r="L67" i="1" l="1"/>
  <c r="L68" i="1"/>
  <c r="B66" i="16"/>
  <c r="G6" i="16"/>
  <c r="E36" i="16"/>
  <c r="D7" i="16"/>
  <c r="B7" i="16"/>
  <c r="G133" i="15" l="1"/>
  <c r="G130" i="15"/>
  <c r="G131" i="15"/>
  <c r="G132" i="15"/>
  <c r="G36" i="16"/>
  <c r="G177" i="17" l="1"/>
  <c r="F177" i="17"/>
  <c r="G189" i="17"/>
  <c r="F189" i="17"/>
  <c r="F185" i="17"/>
  <c r="F182" i="17" s="1"/>
  <c r="G185" i="17"/>
  <c r="G182" i="17" s="1"/>
  <c r="E45" i="17" l="1"/>
  <c r="B11" i="17"/>
  <c r="E11" i="17"/>
  <c r="I10" i="17"/>
  <c r="J3" i="17"/>
  <c r="H8" i="17"/>
  <c r="G4" i="16"/>
  <c r="G17" i="16"/>
  <c r="C17" i="16"/>
  <c r="G14" i="16"/>
  <c r="C14" i="16"/>
  <c r="E26" i="17"/>
  <c r="A53" i="17" s="1"/>
  <c r="B109" i="15"/>
  <c r="B86" i="15"/>
  <c r="B108" i="15"/>
  <c r="B85" i="15"/>
  <c r="B84" i="15"/>
  <c r="B107" i="15"/>
  <c r="D67" i="15"/>
  <c r="C67" i="15"/>
  <c r="D24" i="15"/>
  <c r="C24" i="15"/>
  <c r="B22" i="15"/>
  <c r="D6" i="15"/>
  <c r="C6" i="15"/>
  <c r="B4" i="15"/>
  <c r="H1" i="9"/>
  <c r="K1" i="9"/>
  <c r="H19" i="5"/>
  <c r="B9" i="13"/>
  <c r="B13" i="13"/>
  <c r="B21" i="13"/>
  <c r="B25" i="13"/>
  <c r="B41" i="13"/>
  <c r="B48" i="13"/>
  <c r="E4" i="12"/>
  <c r="I4" i="12"/>
  <c r="E6" i="12"/>
  <c r="C120" i="15" s="1"/>
  <c r="F120" i="15" s="1"/>
  <c r="I6" i="12"/>
  <c r="D115" i="15" s="1"/>
  <c r="E9" i="12"/>
  <c r="I9" i="12"/>
  <c r="E19" i="12"/>
  <c r="D49" i="2" s="1"/>
  <c r="I19" i="12"/>
  <c r="H49" i="2" s="1"/>
  <c r="E30" i="12"/>
  <c r="F30" i="12"/>
  <c r="I30" i="12"/>
  <c r="J30" i="12"/>
  <c r="A35" i="12"/>
  <c r="K43" i="12"/>
  <c r="L43" i="12"/>
  <c r="K44" i="12"/>
  <c r="L44" i="12"/>
  <c r="K45" i="12"/>
  <c r="L45" i="12"/>
  <c r="K46" i="12"/>
  <c r="L46" i="12"/>
  <c r="K47" i="12"/>
  <c r="L47" i="12"/>
  <c r="G17" i="2"/>
  <c r="C19" i="2"/>
  <c r="G19" i="2"/>
  <c r="F5" i="1"/>
  <c r="I5" i="1"/>
  <c r="E9" i="1"/>
  <c r="E25" i="1" s="1"/>
  <c r="E26" i="1" s="1"/>
  <c r="H9" i="1"/>
  <c r="H22" i="2" s="1"/>
  <c r="I22" i="2" s="1"/>
  <c r="E10" i="1"/>
  <c r="E5" i="2"/>
  <c r="H10" i="1"/>
  <c r="I5" i="2"/>
  <c r="E13" i="1"/>
  <c r="H13" i="1"/>
  <c r="E16" i="1"/>
  <c r="H16" i="1"/>
  <c r="L11" i="9" s="1"/>
  <c r="A1" i="2"/>
  <c r="C4" i="2"/>
  <c r="D4" i="2"/>
  <c r="G4" i="2"/>
  <c r="H4" i="2"/>
  <c r="C6" i="2"/>
  <c r="G6" i="2"/>
  <c r="C17" i="2"/>
  <c r="C21" i="2"/>
  <c r="G21" i="2"/>
  <c r="C22" i="2"/>
  <c r="G22" i="2"/>
  <c r="K25" i="2"/>
  <c r="K39" i="2"/>
  <c r="K33" i="2"/>
  <c r="K35" i="2"/>
  <c r="C37" i="2"/>
  <c r="G37" i="2"/>
  <c r="H37" i="2" s="1"/>
  <c r="I37" i="2" s="1"/>
  <c r="A7" i="10"/>
  <c r="C16" i="2"/>
  <c r="C15" i="2"/>
  <c r="D15" i="2" s="1"/>
  <c r="E15" i="2" s="1"/>
  <c r="G16" i="2"/>
  <c r="G15" i="2"/>
  <c r="C118" i="15"/>
  <c r="I118" i="15" s="1"/>
  <c r="C119" i="15"/>
  <c r="I119" i="15" s="1"/>
  <c r="C87" i="15"/>
  <c r="C110" i="15"/>
  <c r="E5" i="1"/>
  <c r="C113" i="15"/>
  <c r="E10" i="2"/>
  <c r="F87" i="15"/>
  <c r="D17" i="16"/>
  <c r="D20" i="16" s="1"/>
  <c r="H17" i="16"/>
  <c r="H20" i="16" s="1"/>
  <c r="D117" i="15" l="1"/>
  <c r="G117" i="15" s="1"/>
  <c r="J10" i="2"/>
  <c r="D113" i="15"/>
  <c r="J113" i="15" s="1"/>
  <c r="D87" i="15"/>
  <c r="C69" i="16"/>
  <c r="C70" i="16" s="1"/>
  <c r="G69" i="16"/>
  <c r="G70" i="16" s="1"/>
  <c r="E19" i="1"/>
  <c r="M17" i="9"/>
  <c r="D16" i="2"/>
  <c r="E16" i="2" s="1"/>
  <c r="B28" i="13"/>
  <c r="K12" i="9"/>
  <c r="L12" i="9"/>
  <c r="L14" i="9"/>
  <c r="M16" i="9"/>
  <c r="K16" i="9"/>
  <c r="L16" i="9"/>
  <c r="M12" i="9"/>
  <c r="F110" i="15"/>
  <c r="K11" i="9"/>
  <c r="D37" i="2"/>
  <c r="E37" i="2" s="1"/>
  <c r="C116" i="15"/>
  <c r="I116" i="15" s="1"/>
  <c r="C115" i="15"/>
  <c r="I115" i="15" s="1"/>
  <c r="E20" i="1"/>
  <c r="H5" i="5" s="1"/>
  <c r="H11" i="5" s="1"/>
  <c r="H16" i="5" s="1"/>
  <c r="H21" i="5" s="1"/>
  <c r="E21" i="1"/>
  <c r="D53" i="2" s="1"/>
  <c r="J20" i="9"/>
  <c r="I18" i="9"/>
  <c r="H20" i="9"/>
  <c r="J23" i="9"/>
  <c r="H23" i="9"/>
  <c r="I22" i="9"/>
  <c r="I20" i="9"/>
  <c r="J24" i="9"/>
  <c r="I110" i="15"/>
  <c r="K13" i="9"/>
  <c r="K15" i="9"/>
  <c r="H19" i="1"/>
  <c r="M14" i="9"/>
  <c r="D7" i="2"/>
  <c r="H18" i="9"/>
  <c r="I24" i="9"/>
  <c r="H14" i="5"/>
  <c r="L48" i="12"/>
  <c r="H29" i="12" s="1"/>
  <c r="H30" i="12" s="1"/>
  <c r="K48" i="12"/>
  <c r="D29" i="12" s="1"/>
  <c r="D30" i="12" s="1"/>
  <c r="J97" i="1"/>
  <c r="I97" i="1" s="1"/>
  <c r="G18" i="2" s="1"/>
  <c r="H18" i="2" s="1"/>
  <c r="I18" i="2" s="1"/>
  <c r="F97" i="1"/>
  <c r="E97" i="1" s="1"/>
  <c r="C18" i="2" s="1"/>
  <c r="D18" i="2" s="1"/>
  <c r="E18" i="2" s="1"/>
  <c r="B4" i="13"/>
  <c r="D22" i="2"/>
  <c r="E22" i="2" s="1"/>
  <c r="M11" i="9"/>
  <c r="H21" i="2"/>
  <c r="I21" i="2" s="1"/>
  <c r="I113" i="15"/>
  <c r="H15" i="2"/>
  <c r="I15" i="2" s="1"/>
  <c r="D21" i="2"/>
  <c r="E21" i="2" s="1"/>
  <c r="H17" i="2"/>
  <c r="I17" i="2" s="1"/>
  <c r="I120" i="15"/>
  <c r="D17" i="2"/>
  <c r="E17" i="2" s="1"/>
  <c r="D45" i="15"/>
  <c r="H10" i="11"/>
  <c r="C45" i="15"/>
  <c r="D10" i="11"/>
  <c r="H21" i="1"/>
  <c r="H53" i="2" s="1"/>
  <c r="H20" i="1"/>
  <c r="H8" i="2" s="1"/>
  <c r="H7" i="2"/>
  <c r="J115" i="15"/>
  <c r="H25" i="1"/>
  <c r="H26" i="1" s="1"/>
  <c r="H22" i="9"/>
  <c r="K17" i="9"/>
  <c r="H21" i="9"/>
  <c r="K14" i="9"/>
  <c r="C114" i="15"/>
  <c r="F114" i="15" s="1"/>
  <c r="D116" i="15"/>
  <c r="J116" i="15" s="1"/>
  <c r="H16" i="2"/>
  <c r="I16" i="2" s="1"/>
  <c r="J21" i="9"/>
  <c r="I19" i="9"/>
  <c r="L17" i="9"/>
  <c r="H24" i="9"/>
  <c r="M13" i="9"/>
  <c r="B54" i="13"/>
  <c r="L13" i="9"/>
  <c r="C112" i="15"/>
  <c r="I112" i="15" s="1"/>
  <c r="H19" i="2"/>
  <c r="I19" i="2" s="1"/>
  <c r="L15" i="9"/>
  <c r="H8" i="5"/>
  <c r="M15" i="9"/>
  <c r="J19" i="9"/>
  <c r="H19" i="9"/>
  <c r="I21" i="9"/>
  <c r="C117" i="15"/>
  <c r="I117" i="15" s="1"/>
  <c r="J18" i="9"/>
  <c r="I23" i="9"/>
  <c r="J22" i="9"/>
  <c r="I87" i="15"/>
  <c r="E15" i="12"/>
  <c r="J110" i="15"/>
  <c r="F119" i="15"/>
  <c r="E14" i="12"/>
  <c r="F14" i="12" s="1"/>
  <c r="B33" i="13" s="1"/>
  <c r="C111" i="15"/>
  <c r="F111" i="15" s="1"/>
  <c r="F118" i="15"/>
  <c r="D19" i="2"/>
  <c r="E19" i="2" s="1"/>
  <c r="B14" i="13"/>
  <c r="D121" i="15"/>
  <c r="D114" i="15"/>
  <c r="D111" i="15"/>
  <c r="G87" i="15"/>
  <c r="D110" i="15"/>
  <c r="I14" i="12"/>
  <c r="J87" i="15"/>
  <c r="G110" i="15"/>
  <c r="C121" i="15"/>
  <c r="I15" i="12"/>
  <c r="J15" i="12" s="1"/>
  <c r="D112" i="15"/>
  <c r="F113" i="15"/>
  <c r="H5" i="1"/>
  <c r="D120" i="15"/>
  <c r="G115" i="15"/>
  <c r="D118" i="15"/>
  <c r="D119" i="15"/>
  <c r="G26" i="17"/>
  <c r="E46" i="17" s="1"/>
  <c r="H28" i="16"/>
  <c r="H37" i="16"/>
  <c r="G37" i="16"/>
  <c r="C37" i="16"/>
  <c r="D28" i="16"/>
  <c r="G20" i="16"/>
  <c r="D37" i="16"/>
  <c r="C20" i="16"/>
  <c r="C28" i="16"/>
  <c r="D29" i="16" s="1"/>
  <c r="G28" i="16"/>
  <c r="H29" i="16" s="1"/>
  <c r="D180" i="17"/>
  <c r="H190" i="17"/>
  <c r="H176" i="17"/>
  <c r="H175" i="17"/>
  <c r="H189" i="17"/>
  <c r="H188" i="17"/>
  <c r="H177" i="17"/>
  <c r="H178" i="17"/>
  <c r="D88" i="17"/>
  <c r="G45" i="17"/>
  <c r="H185" i="17"/>
  <c r="H186" i="17"/>
  <c r="H184" i="17"/>
  <c r="G113" i="15" l="1"/>
  <c r="J117" i="15"/>
  <c r="F115" i="15"/>
  <c r="F116" i="15"/>
  <c r="B56" i="13"/>
  <c r="D8" i="2"/>
  <c r="F112" i="15"/>
  <c r="B10" i="13"/>
  <c r="F36" i="12"/>
  <c r="E36" i="12" s="1"/>
  <c r="F35" i="12"/>
  <c r="E35" i="12" s="1"/>
  <c r="J35" i="12"/>
  <c r="I35" i="12" s="1"/>
  <c r="G30" i="2" s="1"/>
  <c r="H30" i="2" s="1"/>
  <c r="I30" i="2" s="1"/>
  <c r="J36" i="12"/>
  <c r="I36" i="12" s="1"/>
  <c r="B37" i="17"/>
  <c r="G116" i="15"/>
  <c r="I114" i="15"/>
  <c r="B11" i="2"/>
  <c r="F117" i="15"/>
  <c r="F15" i="12"/>
  <c r="F16" i="12" s="1"/>
  <c r="B36" i="13"/>
  <c r="E16" i="12"/>
  <c r="C29" i="2" s="1"/>
  <c r="D29" i="2" s="1"/>
  <c r="I111" i="15"/>
  <c r="G112" i="15"/>
  <c r="J112" i="15"/>
  <c r="J111" i="15"/>
  <c r="G111" i="15"/>
  <c r="J118" i="15"/>
  <c r="G118" i="15"/>
  <c r="J120" i="15"/>
  <c r="G120" i="15"/>
  <c r="B37" i="13"/>
  <c r="J114" i="15"/>
  <c r="G114" i="15"/>
  <c r="F121" i="15"/>
  <c r="I121" i="15"/>
  <c r="J121" i="15"/>
  <c r="G121" i="15"/>
  <c r="G119" i="15"/>
  <c r="J119" i="15"/>
  <c r="J14" i="12"/>
  <c r="I16" i="12"/>
  <c r="G29" i="2" s="1"/>
  <c r="B29" i="17"/>
  <c r="E75" i="17"/>
  <c r="E76" i="17" s="1"/>
  <c r="E37" i="17"/>
  <c r="E38" i="17" s="1"/>
  <c r="B174" i="17" s="1"/>
  <c r="B46" i="17"/>
  <c r="E29" i="17"/>
  <c r="E30" i="17" s="1"/>
  <c r="E47" i="17" s="1"/>
  <c r="C29" i="16"/>
  <c r="B129" i="15" s="1"/>
  <c r="G29" i="16"/>
  <c r="B130" i="15" s="1"/>
  <c r="C21" i="16"/>
  <c r="G21" i="16"/>
  <c r="H21" i="16" s="1"/>
  <c r="B51" i="13" l="1"/>
  <c r="G32" i="2"/>
  <c r="H32" i="2" s="1"/>
  <c r="I32" i="2" s="1"/>
  <c r="B44" i="13"/>
  <c r="B43" i="13"/>
  <c r="C30" i="2"/>
  <c r="D30" i="2" s="1"/>
  <c r="E30" i="2" s="1"/>
  <c r="B50" i="13"/>
  <c r="C32" i="2"/>
  <c r="D32" i="2" s="1"/>
  <c r="E32" i="2" s="1"/>
  <c r="C135" i="15"/>
  <c r="C136" i="15" s="1"/>
  <c r="C137" i="15" s="1"/>
  <c r="C138" i="15" s="1"/>
  <c r="C139" i="15" s="1"/>
  <c r="C140" i="15" s="1"/>
  <c r="C141" i="15" s="1"/>
  <c r="C142" i="15" s="1"/>
  <c r="C143" i="15" s="1"/>
  <c r="C144" i="15" s="1"/>
  <c r="C145" i="15" s="1"/>
  <c r="C146" i="15" s="1"/>
  <c r="C147" i="15" s="1"/>
  <c r="C148" i="15" s="1"/>
  <c r="C149" i="15" s="1"/>
  <c r="C150" i="15" s="1"/>
  <c r="C151" i="15" s="1"/>
  <c r="C152" i="15" s="1"/>
  <c r="C153" i="15" s="1"/>
  <c r="C154" i="15" s="1"/>
  <c r="C155" i="15" s="1"/>
  <c r="C156" i="15" s="1"/>
  <c r="C157" i="15" s="1"/>
  <c r="C158" i="15" s="1"/>
  <c r="C159" i="15" s="1"/>
  <c r="C160" i="15" s="1"/>
  <c r="C161" i="15" s="1"/>
  <c r="C162" i="15" s="1"/>
  <c r="C163" i="15" s="1"/>
  <c r="C164" i="15" s="1"/>
  <c r="C165" i="15" s="1"/>
  <c r="C166" i="15" s="1"/>
  <c r="C167" i="15" s="1"/>
  <c r="C168" i="15" s="1"/>
  <c r="C169" i="15" s="1"/>
  <c r="C170" i="15" s="1"/>
  <c r="C171" i="15" s="1"/>
  <c r="C172" i="15" s="1"/>
  <c r="C173" i="15" s="1"/>
  <c r="C174" i="15" s="1"/>
  <c r="C175" i="15" s="1"/>
  <c r="C176" i="15" s="1"/>
  <c r="C177" i="15" s="1"/>
  <c r="C178" i="15" s="1"/>
  <c r="C179" i="15" s="1"/>
  <c r="C180" i="15" s="1"/>
  <c r="C181" i="15" s="1"/>
  <c r="C182" i="15" s="1"/>
  <c r="C183" i="15" s="1"/>
  <c r="C184" i="15" s="1"/>
  <c r="C185" i="15" s="1"/>
  <c r="C186" i="15" s="1"/>
  <c r="C187" i="15" s="1"/>
  <c r="C188" i="15" s="1"/>
  <c r="C189" i="15" s="1"/>
  <c r="C190" i="15" s="1"/>
  <c r="C191" i="15" s="1"/>
  <c r="C192" i="15" s="1"/>
  <c r="C193" i="15" s="1"/>
  <c r="C194" i="15" s="1"/>
  <c r="C195" i="15" s="1"/>
  <c r="C196" i="15" s="1"/>
  <c r="C197" i="15" s="1"/>
  <c r="C198" i="15" s="1"/>
  <c r="C199" i="15" s="1"/>
  <c r="C200" i="15" s="1"/>
  <c r="C201" i="15" s="1"/>
  <c r="C202" i="15" s="1"/>
  <c r="C203" i="15" s="1"/>
  <c r="C204" i="15" s="1"/>
  <c r="C205" i="15" s="1"/>
  <c r="C206" i="15" s="1"/>
  <c r="C207" i="15" s="1"/>
  <c r="C208" i="15" s="1"/>
  <c r="C209" i="15" s="1"/>
  <c r="C210" i="15" s="1"/>
  <c r="C211" i="15" s="1"/>
  <c r="C212" i="15" s="1"/>
  <c r="C213" i="15" s="1"/>
  <c r="C214" i="15" s="1"/>
  <c r="C215" i="15" s="1"/>
  <c r="C216" i="15" s="1"/>
  <c r="D216" i="15" s="1"/>
  <c r="E29" i="2"/>
  <c r="H29" i="2"/>
  <c r="G33" i="2"/>
  <c r="J16" i="12"/>
  <c r="F11" i="2"/>
  <c r="B34" i="13"/>
  <c r="B38" i="17"/>
  <c r="B30" i="17"/>
  <c r="D21" i="16"/>
  <c r="E65" i="16"/>
  <c r="B65" i="16" s="1"/>
  <c r="G38" i="16"/>
  <c r="H38" i="16"/>
  <c r="H22" i="16"/>
  <c r="G22" i="16"/>
  <c r="C38" i="16"/>
  <c r="H6" i="16"/>
  <c r="D38" i="16"/>
  <c r="C22" i="16"/>
  <c r="B29" i="16" s="1"/>
  <c r="D22" i="16"/>
  <c r="G30" i="16"/>
  <c r="G20" i="2" s="1"/>
  <c r="G23" i="2" s="1"/>
  <c r="H30" i="16"/>
  <c r="G31" i="16"/>
  <c r="H31" i="16"/>
  <c r="D31" i="16"/>
  <c r="C31" i="16"/>
  <c r="C30" i="16"/>
  <c r="C20" i="2" s="1"/>
  <c r="C23" i="2" s="1"/>
  <c r="D30" i="16"/>
  <c r="E48" i="17"/>
  <c r="B48" i="17"/>
  <c r="G91" i="17"/>
  <c r="G92" i="17" s="1"/>
  <c r="G93" i="17" s="1"/>
  <c r="G94" i="17" s="1"/>
  <c r="G95" i="17" s="1"/>
  <c r="G96" i="17" s="1"/>
  <c r="G97" i="17" s="1"/>
  <c r="G98" i="17" s="1"/>
  <c r="G99" i="17" s="1"/>
  <c r="G100" i="17" s="1"/>
  <c r="G101" i="17" s="1"/>
  <c r="G102" i="17" s="1"/>
  <c r="G103" i="17" s="1"/>
  <c r="G104" i="17" s="1"/>
  <c r="G105" i="17" s="1"/>
  <c r="G106" i="17" s="1"/>
  <c r="G107" i="17" s="1"/>
  <c r="G108" i="17" s="1"/>
  <c r="G109" i="17" s="1"/>
  <c r="G110" i="17" s="1"/>
  <c r="G111" i="17" s="1"/>
  <c r="G112" i="17" s="1"/>
  <c r="G113" i="17" s="1"/>
  <c r="G114" i="17" s="1"/>
  <c r="G115" i="17" s="1"/>
  <c r="G116" i="17" s="1"/>
  <c r="G117" i="17" s="1"/>
  <c r="G118" i="17" s="1"/>
  <c r="G119" i="17" s="1"/>
  <c r="G120" i="17" s="1"/>
  <c r="G121" i="17" s="1"/>
  <c r="G122" i="17" s="1"/>
  <c r="G123" i="17" s="1"/>
  <c r="G124" i="17" s="1"/>
  <c r="G125" i="17" s="1"/>
  <c r="G126" i="17" s="1"/>
  <c r="G127" i="17" s="1"/>
  <c r="G128" i="17" s="1"/>
  <c r="G129" i="17" s="1"/>
  <c r="G130" i="17" s="1"/>
  <c r="G131" i="17" s="1"/>
  <c r="G132" i="17" s="1"/>
  <c r="G133" i="17" s="1"/>
  <c r="G134" i="17" s="1"/>
  <c r="G135" i="17" s="1"/>
  <c r="G136" i="17" s="1"/>
  <c r="G137" i="17" s="1"/>
  <c r="G138" i="17" s="1"/>
  <c r="G139" i="17" s="1"/>
  <c r="G140" i="17" s="1"/>
  <c r="G141" i="17" s="1"/>
  <c r="G142" i="17" s="1"/>
  <c r="G143" i="17" s="1"/>
  <c r="G144" i="17" s="1"/>
  <c r="G145" i="17" s="1"/>
  <c r="G146" i="17" s="1"/>
  <c r="G147" i="17" s="1"/>
  <c r="G148" i="17" s="1"/>
  <c r="G149" i="17" s="1"/>
  <c r="G150" i="17" s="1"/>
  <c r="G151" i="17" s="1"/>
  <c r="G152" i="17" s="1"/>
  <c r="G153" i="17" s="1"/>
  <c r="G154" i="17" s="1"/>
  <c r="G155" i="17" s="1"/>
  <c r="G156" i="17" s="1"/>
  <c r="G157" i="17" s="1"/>
  <c r="G158" i="17" s="1"/>
  <c r="G159" i="17" s="1"/>
  <c r="G160" i="17" s="1"/>
  <c r="G161" i="17" s="1"/>
  <c r="G162" i="17" s="1"/>
  <c r="G163" i="17" s="1"/>
  <c r="G164" i="17" s="1"/>
  <c r="G165" i="17" s="1"/>
  <c r="G166" i="17" s="1"/>
  <c r="G167" i="17" s="1"/>
  <c r="G168" i="17" s="1"/>
  <c r="G169" i="17" s="1"/>
  <c r="G170" i="17" s="1"/>
  <c r="G171" i="17" s="1"/>
  <c r="G172" i="17" s="1"/>
  <c r="H172" i="17" s="1"/>
  <c r="B172" i="17"/>
  <c r="J10" i="17"/>
  <c r="E31" i="17"/>
  <c r="B47" i="17"/>
  <c r="B31" i="17"/>
  <c r="F165" i="17"/>
  <c r="F153" i="17"/>
  <c r="F141" i="17"/>
  <c r="F129" i="17"/>
  <c r="F117" i="17"/>
  <c r="F105" i="17"/>
  <c r="F93" i="17"/>
  <c r="F164" i="17"/>
  <c r="F152" i="17"/>
  <c r="F140" i="17"/>
  <c r="F128" i="17"/>
  <c r="F116" i="17"/>
  <c r="F104" i="17"/>
  <c r="F92" i="17"/>
  <c r="E39" i="17"/>
  <c r="F154" i="17"/>
  <c r="F130" i="17"/>
  <c r="F163" i="17"/>
  <c r="F151" i="17"/>
  <c r="F139" i="17"/>
  <c r="F127" i="17"/>
  <c r="F115" i="17"/>
  <c r="F103" i="17"/>
  <c r="F91" i="17"/>
  <c r="B40" i="17"/>
  <c r="F106" i="17"/>
  <c r="B72" i="17"/>
  <c r="F162" i="17"/>
  <c r="F150" i="17"/>
  <c r="F138" i="17"/>
  <c r="F126" i="17"/>
  <c r="F114" i="17"/>
  <c r="F102" i="17"/>
  <c r="E40" i="17"/>
  <c r="F142" i="17"/>
  <c r="F161" i="17"/>
  <c r="F149" i="17"/>
  <c r="F137" i="17"/>
  <c r="F125" i="17"/>
  <c r="F113" i="17"/>
  <c r="F101" i="17"/>
  <c r="B39" i="17"/>
  <c r="F94" i="17"/>
  <c r="F172" i="17"/>
  <c r="F160" i="17"/>
  <c r="F148" i="17"/>
  <c r="F136" i="17"/>
  <c r="F124" i="17"/>
  <c r="F112" i="17"/>
  <c r="F100" i="17"/>
  <c r="F118" i="17"/>
  <c r="F171" i="17"/>
  <c r="F159" i="17"/>
  <c r="F147" i="17"/>
  <c r="F135" i="17"/>
  <c r="F123" i="17"/>
  <c r="F111" i="17"/>
  <c r="F99" i="17"/>
  <c r="F166" i="17"/>
  <c r="F170" i="17"/>
  <c r="F158" i="17"/>
  <c r="F146" i="17"/>
  <c r="F134" i="17"/>
  <c r="F122" i="17"/>
  <c r="F110" i="17"/>
  <c r="F98" i="17"/>
  <c r="F169" i="17"/>
  <c r="F157" i="17"/>
  <c r="F145" i="17"/>
  <c r="F133" i="17"/>
  <c r="F121" i="17"/>
  <c r="F109" i="17"/>
  <c r="F97" i="17"/>
  <c r="F168" i="17"/>
  <c r="F156" i="17"/>
  <c r="F144" i="17"/>
  <c r="F132" i="17"/>
  <c r="F120" i="17"/>
  <c r="F108" i="17"/>
  <c r="F96" i="17"/>
  <c r="F167" i="17"/>
  <c r="F155" i="17"/>
  <c r="F143" i="17"/>
  <c r="F131" i="17"/>
  <c r="F119" i="17"/>
  <c r="F107" i="17"/>
  <c r="F95" i="17"/>
  <c r="E71" i="17"/>
  <c r="B71" i="17" s="1"/>
  <c r="D137" i="15" l="1"/>
  <c r="D139" i="15"/>
  <c r="E136" i="15"/>
  <c r="D145" i="15"/>
  <c r="D166" i="15"/>
  <c r="D162" i="15"/>
  <c r="D141" i="15"/>
  <c r="D135" i="15"/>
  <c r="E211" i="15"/>
  <c r="D158" i="15"/>
  <c r="E177" i="15"/>
  <c r="E207" i="15"/>
  <c r="E163" i="15"/>
  <c r="E159" i="15"/>
  <c r="D213" i="15"/>
  <c r="D152" i="15"/>
  <c r="E157" i="15"/>
  <c r="E214" i="15"/>
  <c r="D165" i="15"/>
  <c r="D144" i="15"/>
  <c r="E196" i="15"/>
  <c r="D182" i="15"/>
  <c r="D161" i="15"/>
  <c r="D140" i="15"/>
  <c r="E192" i="15"/>
  <c r="D200" i="15"/>
  <c r="E169" i="15"/>
  <c r="D178" i="15"/>
  <c r="D157" i="15"/>
  <c r="D136" i="15"/>
  <c r="E148" i="15"/>
  <c r="D209" i="15"/>
  <c r="D148" i="15"/>
  <c r="D174" i="15"/>
  <c r="D153" i="15"/>
  <c r="D187" i="15"/>
  <c r="E144" i="15"/>
  <c r="D150" i="15"/>
  <c r="D196" i="15"/>
  <c r="E161" i="15"/>
  <c r="D170" i="15"/>
  <c r="D149" i="15"/>
  <c r="D183" i="15"/>
  <c r="E140" i="15"/>
  <c r="C33" i="2"/>
  <c r="E33" i="2"/>
  <c r="D33" i="2"/>
  <c r="D205" i="15"/>
  <c r="D192" i="15"/>
  <c r="D179" i="15"/>
  <c r="E170" i="15"/>
  <c r="E165" i="15"/>
  <c r="E198" i="15"/>
  <c r="E188" i="15"/>
  <c r="E203" i="15"/>
  <c r="E155" i="15"/>
  <c r="D214" i="15"/>
  <c r="D201" i="15"/>
  <c r="D188" i="15"/>
  <c r="D175" i="15"/>
  <c r="E206" i="15"/>
  <c r="E182" i="15"/>
  <c r="E184" i="15"/>
  <c r="E199" i="15"/>
  <c r="E151" i="15"/>
  <c r="D210" i="15"/>
  <c r="D197" i="15"/>
  <c r="D184" i="15"/>
  <c r="D171" i="15"/>
  <c r="E190" i="15"/>
  <c r="E153" i="15"/>
  <c r="E162" i="15"/>
  <c r="E180" i="15"/>
  <c r="E194" i="15"/>
  <c r="E195" i="15"/>
  <c r="E147" i="15"/>
  <c r="D206" i="15"/>
  <c r="D193" i="15"/>
  <c r="D180" i="15"/>
  <c r="D215" i="15"/>
  <c r="D167" i="15"/>
  <c r="E178" i="15"/>
  <c r="E149" i="15"/>
  <c r="E146" i="15"/>
  <c r="E176" i="15"/>
  <c r="E174" i="15"/>
  <c r="E191" i="15"/>
  <c r="E143" i="15"/>
  <c r="D202" i="15"/>
  <c r="D154" i="15"/>
  <c r="D189" i="15"/>
  <c r="D176" i="15"/>
  <c r="D211" i="15"/>
  <c r="D163" i="15"/>
  <c r="E158" i="15"/>
  <c r="E145" i="15"/>
  <c r="E205" i="15"/>
  <c r="E172" i="15"/>
  <c r="E154" i="15"/>
  <c r="E187" i="15"/>
  <c r="E139" i="15"/>
  <c r="D198" i="15"/>
  <c r="D185" i="15"/>
  <c r="D172" i="15"/>
  <c r="D207" i="15"/>
  <c r="D159" i="15"/>
  <c r="E150" i="15"/>
  <c r="E141" i="15"/>
  <c r="E216" i="15"/>
  <c r="E168" i="15"/>
  <c r="E138" i="15"/>
  <c r="E183" i="15"/>
  <c r="E135" i="15"/>
  <c r="D194" i="15"/>
  <c r="D146" i="15"/>
  <c r="D181" i="15"/>
  <c r="D168" i="15"/>
  <c r="D203" i="15"/>
  <c r="D155" i="15"/>
  <c r="E142" i="15"/>
  <c r="E137" i="15"/>
  <c r="E212" i="15"/>
  <c r="E164" i="15"/>
  <c r="E193" i="15"/>
  <c r="E179" i="15"/>
  <c r="E202" i="15"/>
  <c r="D190" i="15"/>
  <c r="D142" i="15"/>
  <c r="D177" i="15"/>
  <c r="D212" i="15"/>
  <c r="D164" i="15"/>
  <c r="D199" i="15"/>
  <c r="D151" i="15"/>
  <c r="E213" i="15"/>
  <c r="E201" i="15"/>
  <c r="E208" i="15"/>
  <c r="E160" i="15"/>
  <c r="E210" i="15"/>
  <c r="E175" i="15"/>
  <c r="E186" i="15"/>
  <c r="D186" i="15"/>
  <c r="D138" i="15"/>
  <c r="D173" i="15"/>
  <c r="D208" i="15"/>
  <c r="D160" i="15"/>
  <c r="D195" i="15"/>
  <c r="D147" i="15"/>
  <c r="E197" i="15"/>
  <c r="E185" i="15"/>
  <c r="E204" i="15"/>
  <c r="E156" i="15"/>
  <c r="E189" i="15"/>
  <c r="E171" i="15"/>
  <c r="E166" i="15"/>
  <c r="D169" i="15"/>
  <c r="D204" i="15"/>
  <c r="D156" i="15"/>
  <c r="D191" i="15"/>
  <c r="D143" i="15"/>
  <c r="E181" i="15"/>
  <c r="E173" i="15"/>
  <c r="E200" i="15"/>
  <c r="E152" i="15"/>
  <c r="E215" i="15"/>
  <c r="E167" i="15"/>
  <c r="E209" i="15"/>
  <c r="H33" i="2"/>
  <c r="I29" i="2"/>
  <c r="I33" i="2" s="1"/>
  <c r="H91" i="17"/>
  <c r="G24" i="2"/>
  <c r="H24" i="2" s="1"/>
  <c r="I24" i="2" s="1"/>
  <c r="C23" i="16"/>
  <c r="D23" i="16"/>
  <c r="C24" i="2"/>
  <c r="D24" i="2" s="1"/>
  <c r="E24" i="2" s="1"/>
  <c r="D39" i="16"/>
  <c r="C39" i="16"/>
  <c r="D32" i="16"/>
  <c r="D20" i="2"/>
  <c r="D23" i="2" s="1"/>
  <c r="C32" i="16"/>
  <c r="E20" i="2" s="1"/>
  <c r="E23" i="2" s="1"/>
  <c r="H23" i="16"/>
  <c r="G23" i="16"/>
  <c r="H32" i="16"/>
  <c r="G32" i="16"/>
  <c r="I20" i="2" s="1"/>
  <c r="I23" i="2" s="1"/>
  <c r="H20" i="2"/>
  <c r="H23" i="2" s="1"/>
  <c r="H39" i="16"/>
  <c r="G39" i="16"/>
  <c r="H115" i="17"/>
  <c r="H106" i="17"/>
  <c r="H143" i="17"/>
  <c r="H130" i="17"/>
  <c r="H97" i="17"/>
  <c r="H122" i="17"/>
  <c r="H140" i="17"/>
  <c r="H105" i="17"/>
  <c r="H103" i="17"/>
  <c r="H152" i="17"/>
  <c r="H118" i="17"/>
  <c r="H155" i="17"/>
  <c r="H137" i="17"/>
  <c r="H134" i="17"/>
  <c r="H171" i="17"/>
  <c r="H109" i="17"/>
  <c r="H158" i="17"/>
  <c r="H100" i="17"/>
  <c r="H167" i="17"/>
  <c r="H127" i="17"/>
  <c r="H125" i="17"/>
  <c r="H142" i="17"/>
  <c r="B41" i="17"/>
  <c r="E41" i="17"/>
  <c r="H139" i="17"/>
  <c r="H93" i="17"/>
  <c r="H154" i="17"/>
  <c r="H161" i="17"/>
  <c r="H121" i="17"/>
  <c r="H170" i="17"/>
  <c r="H112" i="17"/>
  <c r="H102" i="17"/>
  <c r="H166" i="17"/>
  <c r="H96" i="17"/>
  <c r="H133" i="17"/>
  <c r="H124" i="17"/>
  <c r="H151" i="17"/>
  <c r="H114" i="17"/>
  <c r="H163" i="17"/>
  <c r="H117" i="17"/>
  <c r="H149" i="17"/>
  <c r="H108" i="17"/>
  <c r="H145" i="17"/>
  <c r="E172" i="17"/>
  <c r="B171" i="17"/>
  <c r="H136" i="17"/>
  <c r="H159" i="17"/>
  <c r="H126" i="17"/>
  <c r="H101" i="17"/>
  <c r="H129" i="17"/>
  <c r="D172" i="17"/>
  <c r="H120" i="17"/>
  <c r="H157" i="17"/>
  <c r="H99" i="17"/>
  <c r="H148" i="17"/>
  <c r="H138" i="17"/>
  <c r="H92" i="17"/>
  <c r="H141" i="17"/>
  <c r="H95" i="17"/>
  <c r="H132" i="17"/>
  <c r="H169" i="17"/>
  <c r="H111" i="17"/>
  <c r="H160" i="17"/>
  <c r="H164" i="17"/>
  <c r="H150" i="17"/>
  <c r="H104" i="17"/>
  <c r="H153" i="17"/>
  <c r="H107" i="17"/>
  <c r="H144" i="17"/>
  <c r="H113" i="17"/>
  <c r="H123" i="17"/>
  <c r="B32" i="17"/>
  <c r="E32" i="17"/>
  <c r="H146" i="17"/>
  <c r="F38" i="17"/>
  <c r="H162" i="17"/>
  <c r="H116" i="17"/>
  <c r="H165" i="17"/>
  <c r="H119" i="17"/>
  <c r="H156" i="17"/>
  <c r="H98" i="17"/>
  <c r="H135" i="17"/>
  <c r="H128" i="17"/>
  <c r="H94" i="17"/>
  <c r="H131" i="17"/>
  <c r="H168" i="17"/>
  <c r="H110" i="17"/>
  <c r="H147" i="17"/>
  <c r="D181" i="17"/>
  <c r="E177" i="17"/>
  <c r="E188" i="17"/>
  <c r="E189" i="17"/>
  <c r="E176" i="17"/>
  <c r="E184" i="17"/>
  <c r="E49" i="17"/>
  <c r="E50" i="17"/>
  <c r="H174" i="17" s="1"/>
  <c r="E185" i="17"/>
  <c r="B49" i="17"/>
  <c r="B50" i="17"/>
  <c r="H187" i="17" l="1"/>
  <c r="H183" i="17"/>
  <c r="D41" i="16"/>
  <c r="D40" i="16"/>
  <c r="C40" i="16"/>
  <c r="C41" i="16"/>
  <c r="H40" i="16"/>
  <c r="H41" i="16"/>
  <c r="G41" i="16"/>
  <c r="G40" i="16"/>
  <c r="H25" i="2"/>
  <c r="H35" i="2" s="1"/>
  <c r="H39" i="2" s="1"/>
  <c r="I25" i="2"/>
  <c r="I35" i="2" s="1"/>
  <c r="I39" i="2" s="1"/>
  <c r="C25" i="2"/>
  <c r="H24" i="16"/>
  <c r="G24" i="16"/>
  <c r="D24" i="16"/>
  <c r="C24" i="16"/>
  <c r="E25" i="2"/>
  <c r="E35" i="2" s="1"/>
  <c r="E39" i="2" s="1"/>
  <c r="G25" i="2"/>
  <c r="G35" i="2" s="1"/>
  <c r="G39" i="2" s="1"/>
  <c r="E51" i="17"/>
  <c r="B51" i="17"/>
  <c r="E33" i="17"/>
  <c r="B33" i="17"/>
  <c r="B170" i="17"/>
  <c r="E171" i="17"/>
  <c r="D171" i="17"/>
  <c r="G129" i="15" l="1"/>
  <c r="J13" i="11"/>
  <c r="J10" i="11"/>
  <c r="J11" i="11"/>
  <c r="J8" i="11"/>
  <c r="J7" i="11"/>
  <c r="F10" i="11"/>
  <c r="F13" i="11"/>
  <c r="F11" i="11"/>
  <c r="S73" i="15"/>
  <c r="S72" i="15"/>
  <c r="S69" i="15"/>
  <c r="S70" i="15"/>
  <c r="S68" i="15"/>
  <c r="S74" i="15"/>
  <c r="R70" i="15"/>
  <c r="R73" i="15"/>
  <c r="R72" i="15"/>
  <c r="R69" i="15"/>
  <c r="R68" i="15"/>
  <c r="R74" i="15"/>
  <c r="D91" i="15"/>
  <c r="G91" i="15" s="1"/>
  <c r="J91" i="15" s="1"/>
  <c r="S71" i="15"/>
  <c r="R71" i="15"/>
  <c r="H28" i="1"/>
  <c r="D68" i="15"/>
  <c r="D73" i="15"/>
  <c r="D95" i="15"/>
  <c r="G95" i="15" s="1"/>
  <c r="J95" i="15" s="1"/>
  <c r="D96" i="15"/>
  <c r="G96" i="15" s="1"/>
  <c r="J96" i="15" s="1"/>
  <c r="I18" i="12"/>
  <c r="D72" i="15"/>
  <c r="D94" i="15"/>
  <c r="G94" i="15" s="1"/>
  <c r="J94" i="15" s="1"/>
  <c r="D49" i="15"/>
  <c r="D71" i="15"/>
  <c r="D48" i="15"/>
  <c r="D70" i="15"/>
  <c r="D98" i="15"/>
  <c r="G98" i="15" s="1"/>
  <c r="J98" i="15" s="1"/>
  <c r="H42" i="16"/>
  <c r="G42" i="16"/>
  <c r="D46" i="15"/>
  <c r="D89" i="15"/>
  <c r="G89" i="15" s="1"/>
  <c r="J89" i="15" s="1"/>
  <c r="D92" i="15"/>
  <c r="G92" i="15" s="1"/>
  <c r="J92" i="15" s="1"/>
  <c r="D74" i="15"/>
  <c r="D50" i="15"/>
  <c r="D97" i="15"/>
  <c r="G97" i="15" s="1"/>
  <c r="J97" i="15" s="1"/>
  <c r="D93" i="15"/>
  <c r="G93" i="15" s="1"/>
  <c r="J93" i="15" s="1"/>
  <c r="C42" i="16"/>
  <c r="D42" i="16"/>
  <c r="D47" i="15"/>
  <c r="D51" i="15"/>
  <c r="H47" i="2"/>
  <c r="D10" i="15"/>
  <c r="D28" i="15"/>
  <c r="D90" i="15"/>
  <c r="G90" i="15" s="1"/>
  <c r="J90" i="15" s="1"/>
  <c r="D88" i="15"/>
  <c r="G88" i="15" s="1"/>
  <c r="J88" i="15" s="1"/>
  <c r="D52" i="15"/>
  <c r="D69" i="15"/>
  <c r="D13" i="15"/>
  <c r="D30" i="15"/>
  <c r="D12" i="15"/>
  <c r="D9" i="15"/>
  <c r="D31" i="15"/>
  <c r="D26" i="15"/>
  <c r="H45" i="2"/>
  <c r="D27" i="15"/>
  <c r="D7" i="15"/>
  <c r="D8" i="15"/>
  <c r="D25" i="15"/>
  <c r="D29" i="15"/>
  <c r="D11" i="15"/>
  <c r="C28" i="15"/>
  <c r="C95" i="15"/>
  <c r="F95" i="15" s="1"/>
  <c r="I95" i="15" s="1"/>
  <c r="C71" i="15"/>
  <c r="C50" i="15"/>
  <c r="C91" i="15"/>
  <c r="F91" i="15" s="1"/>
  <c r="I91" i="15" s="1"/>
  <c r="C93" i="15"/>
  <c r="F93" i="15" s="1"/>
  <c r="I93" i="15" s="1"/>
  <c r="C10" i="15"/>
  <c r="D47" i="2"/>
  <c r="C98" i="15"/>
  <c r="F98" i="15" s="1"/>
  <c r="I98" i="15" s="1"/>
  <c r="C96" i="15"/>
  <c r="F96" i="15" s="1"/>
  <c r="I96" i="15" s="1"/>
  <c r="C69" i="15"/>
  <c r="C73" i="15"/>
  <c r="C48" i="15"/>
  <c r="C52" i="15"/>
  <c r="E18" i="12"/>
  <c r="C51" i="15"/>
  <c r="C49" i="15"/>
  <c r="C94" i="15"/>
  <c r="F94" i="15" s="1"/>
  <c r="I94" i="15" s="1"/>
  <c r="C74" i="15"/>
  <c r="C88" i="15"/>
  <c r="F88" i="15" s="1"/>
  <c r="I88" i="15" s="1"/>
  <c r="C46" i="15"/>
  <c r="C47" i="15"/>
  <c r="C70" i="15"/>
  <c r="C72" i="15"/>
  <c r="C68" i="15"/>
  <c r="C90" i="15"/>
  <c r="F90" i="15" s="1"/>
  <c r="I90" i="15" s="1"/>
  <c r="E28" i="1"/>
  <c r="C92" i="15"/>
  <c r="F92" i="15" s="1"/>
  <c r="I92" i="15" s="1"/>
  <c r="C89" i="15"/>
  <c r="F89" i="15" s="1"/>
  <c r="I89" i="15" s="1"/>
  <c r="C97" i="15"/>
  <c r="F97" i="15" s="1"/>
  <c r="I97" i="15" s="1"/>
  <c r="C35" i="2"/>
  <c r="C39" i="2" s="1"/>
  <c r="D25" i="2"/>
  <c r="D35" i="2" s="1"/>
  <c r="D39" i="2" s="1"/>
  <c r="B169" i="17"/>
  <c r="E170" i="17"/>
  <c r="D170" i="17"/>
  <c r="F8" i="11" l="1"/>
  <c r="F7" i="11"/>
  <c r="H22" i="1"/>
  <c r="H51" i="2"/>
  <c r="C29" i="15"/>
  <c r="C30" i="15"/>
  <c r="C12" i="15"/>
  <c r="D45" i="2"/>
  <c r="C9" i="15"/>
  <c r="C13" i="15"/>
  <c r="C11" i="15"/>
  <c r="C7" i="15"/>
  <c r="C26" i="15"/>
  <c r="C25" i="15"/>
  <c r="C8" i="15"/>
  <c r="C27" i="15"/>
  <c r="C31" i="15"/>
  <c r="E169" i="17"/>
  <c r="B168" i="17"/>
  <c r="D169" i="17"/>
  <c r="D51" i="2" l="1"/>
  <c r="E22" i="1"/>
  <c r="B58" i="13" s="1"/>
  <c r="E168" i="17"/>
  <c r="D168" i="17"/>
  <c r="B167" i="17"/>
  <c r="B166" i="17" l="1"/>
  <c r="D167" i="17"/>
  <c r="E167" i="17"/>
  <c r="D166" i="17" l="1"/>
  <c r="B165" i="17"/>
  <c r="E166" i="17"/>
  <c r="D165" i="17" l="1"/>
  <c r="E165" i="17"/>
  <c r="B164" i="17"/>
  <c r="E164" i="17" l="1"/>
  <c r="B163" i="17"/>
  <c r="D164" i="17"/>
  <c r="D163" i="17" l="1"/>
  <c r="B162" i="17"/>
  <c r="E163" i="17"/>
  <c r="D162" i="17" l="1"/>
  <c r="B161" i="17"/>
  <c r="E162" i="17"/>
  <c r="E161" i="17" l="1"/>
  <c r="B160" i="17"/>
  <c r="D161" i="17"/>
  <c r="E160" i="17" l="1"/>
  <c r="B159" i="17"/>
  <c r="D160" i="17"/>
  <c r="D159" i="17" l="1"/>
  <c r="B158" i="17"/>
  <c r="E159" i="17"/>
  <c r="D158" i="17" l="1"/>
  <c r="E158" i="17"/>
  <c r="B157" i="17"/>
  <c r="B156" i="17" l="1"/>
  <c r="E157" i="17"/>
  <c r="D157" i="17"/>
  <c r="D156" i="17" l="1"/>
  <c r="E156" i="17"/>
  <c r="B155" i="17"/>
  <c r="E155" i="17" l="1"/>
  <c r="B154" i="17"/>
  <c r="D155" i="17"/>
  <c r="E154" i="17" l="1"/>
  <c r="B153" i="17"/>
  <c r="D154" i="17"/>
  <c r="E153" i="17" l="1"/>
  <c r="D153" i="17"/>
  <c r="B152" i="17"/>
  <c r="B151" i="17" l="1"/>
  <c r="D152" i="17"/>
  <c r="E152" i="17"/>
  <c r="D151" i="17" l="1"/>
  <c r="E151" i="17"/>
  <c r="B150" i="17"/>
  <c r="B149" i="17" l="1"/>
  <c r="E150" i="17"/>
  <c r="D150" i="17"/>
  <c r="D149" i="17" l="1"/>
  <c r="E149" i="17"/>
  <c r="B148" i="17"/>
  <c r="E148" i="17" l="1"/>
  <c r="B147" i="17"/>
  <c r="D148" i="17"/>
  <c r="D147" i="17" l="1"/>
  <c r="E147" i="17"/>
  <c r="B146" i="17"/>
  <c r="D146" i="17" l="1"/>
  <c r="E146" i="17"/>
  <c r="B145" i="17"/>
  <c r="B144" i="17" l="1"/>
  <c r="E145" i="17"/>
  <c r="D145" i="17"/>
  <c r="D144" i="17" l="1"/>
  <c r="B143" i="17"/>
  <c r="E144" i="17"/>
  <c r="E143" i="17" l="1"/>
  <c r="D143" i="17"/>
  <c r="B142" i="17"/>
  <c r="E142" i="17" l="1"/>
  <c r="D142" i="17"/>
  <c r="B141" i="17"/>
  <c r="E141" i="17" l="1"/>
  <c r="B140" i="17"/>
  <c r="D141" i="17"/>
  <c r="E140" i="17" l="1"/>
  <c r="D140" i="17"/>
  <c r="B139" i="17"/>
  <c r="D139" i="17" l="1"/>
  <c r="E139" i="17"/>
  <c r="B138" i="17"/>
  <c r="B137" i="17" l="1"/>
  <c r="D138" i="17"/>
  <c r="E138" i="17"/>
  <c r="B136" i="17" l="1"/>
  <c r="D137" i="17"/>
  <c r="E137" i="17"/>
  <c r="B135" i="17" l="1"/>
  <c r="E136" i="17"/>
  <c r="D136" i="17"/>
  <c r="D135" i="17" l="1"/>
  <c r="E135" i="17"/>
  <c r="B134" i="17"/>
  <c r="B133" i="17" l="1"/>
  <c r="D134" i="17"/>
  <c r="E134" i="17"/>
  <c r="D133" i="17" l="1"/>
  <c r="B132" i="17"/>
  <c r="E133" i="17"/>
  <c r="D132" i="17" l="1"/>
  <c r="E132" i="17"/>
  <c r="B131" i="17"/>
  <c r="B130" i="17" l="1"/>
  <c r="E131" i="17"/>
  <c r="D131" i="17"/>
  <c r="E130" i="17" l="1"/>
  <c r="D130" i="17"/>
  <c r="B129" i="17"/>
  <c r="B128" i="17" l="1"/>
  <c r="E129" i="17"/>
  <c r="D129" i="17"/>
  <c r="B127" i="17" l="1"/>
  <c r="D128" i="17"/>
  <c r="E128" i="17"/>
  <c r="B126" i="17" l="1"/>
  <c r="E127" i="17"/>
  <c r="D127" i="17"/>
  <c r="E126" i="17" l="1"/>
  <c r="B125" i="17"/>
  <c r="D126" i="17"/>
  <c r="E125" i="17" l="1"/>
  <c r="B124" i="17"/>
  <c r="D125" i="17"/>
  <c r="E124" i="17" l="1"/>
  <c r="D124" i="17"/>
  <c r="B123" i="17"/>
  <c r="E123" i="17" l="1"/>
  <c r="D123" i="17"/>
  <c r="B122" i="17"/>
  <c r="D122" i="17" l="1"/>
  <c r="B121" i="17"/>
  <c r="E122" i="17"/>
  <c r="E121" i="17" l="1"/>
  <c r="B120" i="17"/>
  <c r="D121" i="17"/>
  <c r="E120" i="17" l="1"/>
  <c r="D120" i="17"/>
  <c r="B119" i="17"/>
  <c r="D119" i="17" l="1"/>
  <c r="E119" i="17"/>
  <c r="B118" i="17"/>
  <c r="E118" i="17" l="1"/>
  <c r="D118" i="17"/>
  <c r="B117" i="17"/>
  <c r="E117" i="17" l="1"/>
  <c r="D117" i="17"/>
  <c r="B116" i="17"/>
  <c r="D116" i="17" l="1"/>
  <c r="B115" i="17"/>
  <c r="E116" i="17"/>
  <c r="E115" i="17" l="1"/>
  <c r="D115" i="17"/>
  <c r="B114" i="17"/>
  <c r="D114" i="17" l="1"/>
  <c r="B113" i="17"/>
  <c r="E114" i="17"/>
  <c r="D113" i="17" l="1"/>
  <c r="B112" i="17"/>
  <c r="E113" i="17"/>
  <c r="B111" i="17" l="1"/>
  <c r="E112" i="17"/>
  <c r="D112" i="17"/>
  <c r="E111" i="17" l="1"/>
  <c r="D111" i="17"/>
  <c r="B110" i="17"/>
  <c r="B109" i="17" l="1"/>
  <c r="D110" i="17"/>
  <c r="E110" i="17"/>
  <c r="B108" i="17" l="1"/>
  <c r="E109" i="17"/>
  <c r="D109" i="17"/>
  <c r="B107" i="17" l="1"/>
  <c r="D108" i="17"/>
  <c r="E108" i="17"/>
  <c r="E107" i="17" l="1"/>
  <c r="B106" i="17"/>
  <c r="D107" i="17"/>
  <c r="B105" i="17" l="1"/>
  <c r="E106" i="17"/>
  <c r="D106" i="17"/>
  <c r="E105" i="17" l="1"/>
  <c r="D105" i="17"/>
  <c r="B104" i="17"/>
  <c r="E104" i="17" l="1"/>
  <c r="B103" i="17"/>
  <c r="D104" i="17"/>
  <c r="D103" i="17" l="1"/>
  <c r="E103" i="17"/>
  <c r="B102" i="17"/>
  <c r="D102" i="17" l="1"/>
  <c r="E102" i="17"/>
  <c r="B101" i="17"/>
  <c r="D101" i="17" l="1"/>
  <c r="B100" i="17"/>
  <c r="E101" i="17"/>
  <c r="B99" i="17" l="1"/>
  <c r="D100" i="17"/>
  <c r="E100" i="17"/>
  <c r="E99" i="17" l="1"/>
  <c r="D99" i="17"/>
  <c r="B98" i="17"/>
  <c r="D98" i="17" l="1"/>
  <c r="B97" i="17"/>
  <c r="E98" i="17"/>
  <c r="B96" i="17" l="1"/>
  <c r="E97" i="17"/>
  <c r="D97" i="17"/>
  <c r="E96" i="17" l="1"/>
  <c r="D96" i="17"/>
  <c r="B95" i="17"/>
  <c r="B94" i="17" l="1"/>
  <c r="E95" i="17"/>
  <c r="D95" i="17"/>
  <c r="D94" i="17" l="1"/>
  <c r="B93" i="17"/>
  <c r="E94" i="17"/>
  <c r="E93" i="17" l="1"/>
  <c r="D93" i="17"/>
  <c r="B92" i="17"/>
  <c r="E92" i="17" l="1"/>
  <c r="D92" i="17"/>
  <c r="B91" i="17"/>
  <c r="E91" i="17" l="1"/>
  <c r="D9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C4" authorId="0" shapeId="0" xr:uid="{00000000-0006-0000-03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C5" authorId="0" shapeId="0" xr:uid="{00000000-0006-0000-03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C10" authorId="0" shapeId="0" xr:uid="{00000000-0006-0000-0300-000003000000}">
      <text>
        <r>
          <rPr>
            <sz val="9"/>
            <color indexed="81"/>
            <rFont val="Tahoma"/>
            <family val="2"/>
          </rPr>
          <t>Premium costs are shared 40 per cent by the producer, 36 per cent by the Government of Canada, and 24 per cent by the Province of Manitoba.</t>
        </r>
      </text>
    </comment>
    <comment ref="C17" authorId="0" shapeId="0" xr:uid="{00000000-0006-0000-0300-000004000000}">
      <text>
        <r>
          <rPr>
            <sz val="9"/>
            <color indexed="81"/>
            <rFont val="Tahoma"/>
            <family val="2"/>
          </rPr>
          <t>The livestock numbers, pasture acres, and the date livestock were placed on pasture must be reported on a Pasture Days Spring Declaration by June 30.</t>
        </r>
      </text>
    </comment>
    <comment ref="D17" authorId="0" shapeId="0" xr:uid="{00000000-0006-0000-0300-000005000000}">
      <text>
        <r>
          <rPr>
            <sz val="9"/>
            <color indexed="81"/>
            <rFont val="Tahoma"/>
            <family val="2"/>
          </rPr>
          <t>MASC requires a minimum total of 30 'Animal Units' (AU) of eligible livestock types on pasture.</t>
        </r>
      </text>
    </comment>
    <comment ref="B36" authorId="0" shapeId="0" xr:uid="{00000000-0006-0000-03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B39" authorId="0" shapeId="0" xr:uid="{00000000-0006-0000-03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Roy Arnott</author>
    <author>PBlawat</author>
  </authors>
  <commentList>
    <comment ref="E8" authorId="0" shapeId="0" xr:uid="{00000000-0006-0000-0400-000001000000}">
      <text>
        <r>
          <rPr>
            <sz val="9"/>
            <color indexed="81"/>
            <rFont val="Tahoma"/>
            <family val="2"/>
          </rPr>
          <t>Verify #head pastured on aum/carrying capacity worksheet to meet the appropriate vegetative association</t>
        </r>
      </text>
    </comment>
    <comment ref="H8" authorId="0" shapeId="0" xr:uid="{00000000-0006-0000-0400-000002000000}">
      <text>
        <r>
          <rPr>
            <sz val="9"/>
            <color indexed="81"/>
            <rFont val="Tahoma"/>
            <family val="2"/>
          </rPr>
          <t>Verify #head pastured on aum/carrying capacity worksheet to meet the appropriate vegetative association</t>
        </r>
      </text>
    </comment>
    <comment ref="B34" authorId="1" shapeId="0" xr:uid="{00000000-0006-0000-0400-000003000000}">
      <text>
        <r>
          <rPr>
            <sz val="8"/>
            <color indexed="81"/>
            <rFont val="Tahoma"/>
            <family val="2"/>
          </rPr>
          <t xml:space="preserve">Minimum of 3 passes with a disc &amp; cultivator.
</t>
        </r>
      </text>
    </comment>
    <comment ref="H54" authorId="0" shapeId="0" xr:uid="{00000000-0006-0000-0400-000004000000}">
      <text>
        <r>
          <rPr>
            <sz val="9"/>
            <color indexed="81"/>
            <rFont val="Tahoma"/>
            <family val="2"/>
          </rPr>
          <t>User can select the type of nitrogen ferilizer used on their farm.  Allocation must add to 100%.</t>
        </r>
      </text>
    </comment>
    <comment ref="J54" authorId="0" shapeId="0" xr:uid="{00000000-0006-0000-0400-000005000000}">
      <text>
        <r>
          <rPr>
            <sz val="9"/>
            <color indexed="81"/>
            <rFont val="Tahoma"/>
            <family val="2"/>
          </rPr>
          <t>User can select the type of sulphur fertilizer used on their farm.  Allocation must add to 100%.</t>
        </r>
      </text>
    </comment>
    <comment ref="D83" authorId="0" shapeId="0" xr:uid="{00000000-0006-0000-0400-000006000000}">
      <text>
        <r>
          <rPr>
            <sz val="9"/>
            <color indexed="81"/>
            <rFont val="Tahoma"/>
            <family val="2"/>
          </rPr>
          <t xml:space="preserve">
glyphosate pre-seed burnoff plus broadleaf 
</t>
        </r>
      </text>
    </comment>
    <comment ref="A107" authorId="0" shapeId="0" xr:uid="{00000000-0006-0000-0400-000007000000}">
      <text>
        <r>
          <rPr>
            <sz val="9"/>
            <color indexed="81"/>
            <rFont val="Tahoma"/>
            <family val="2"/>
          </rPr>
          <t>For Custom Grazing, labour costs need to be included.  Approx. range is 0.5 to 2 hours per acre, depending on grazing system and herd health requirements.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D8" authorId="0" shapeId="0" xr:uid="{00000000-0006-0000-09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D9" authorId="0" shapeId="0" xr:uid="{00000000-0006-0000-09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D14" authorId="0" shapeId="0" xr:uid="{00000000-0006-0000-0900-000003000000}">
      <text>
        <r>
          <rPr>
            <sz val="9"/>
            <color indexed="81"/>
            <rFont val="Tahoma"/>
            <family val="2"/>
          </rPr>
          <t>Premium costs are shared 40 per cent by the producer, 36 per cent by the Government of Canada, and 24 per cent by the Province of Manitoba.</t>
        </r>
      </text>
    </comment>
    <comment ref="E26" authorId="0" shapeId="0" xr:uid="{00000000-0006-0000-0900-000004000000}">
      <text>
        <r>
          <rPr>
            <sz val="9"/>
            <color indexed="81"/>
            <rFont val="Tahoma"/>
            <family val="2"/>
          </rPr>
          <t>The livestock numbers, pasture acres, and the date livestock were placed on pasture must be reported on a Pasture Days Spring Declaration by June 30.</t>
        </r>
      </text>
    </comment>
    <comment ref="G26" authorId="0" shapeId="0" xr:uid="{00000000-0006-0000-0900-000005000000}">
      <text>
        <r>
          <rPr>
            <sz val="9"/>
            <color indexed="81"/>
            <rFont val="Tahoma"/>
            <family val="2"/>
          </rPr>
          <t xml:space="preserve"> MASC requires a minimum total of 30 'Animal Units' (AU) of eligible livestock types on pasture.</t>
        </r>
      </text>
    </comment>
    <comment ref="D44" authorId="0" shapeId="0" xr:uid="{00000000-0006-0000-09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D48" authorId="0" shapeId="0" xr:uid="{00000000-0006-0000-09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sharedStrings.xml><?xml version="1.0" encoding="utf-8"?>
<sst xmlns="http://schemas.openxmlformats.org/spreadsheetml/2006/main" count="691" uniqueCount="412">
  <si>
    <t>Total Operating and Fixed</t>
  </si>
  <si>
    <t xml:space="preserve">    2.01 Land </t>
  </si>
  <si>
    <t>$/Acre</t>
  </si>
  <si>
    <t>Seeding</t>
  </si>
  <si>
    <t xml:space="preserve">  %</t>
  </si>
  <si>
    <t xml:space="preserve">Investment interest rate </t>
  </si>
  <si>
    <t>/acre</t>
  </si>
  <si>
    <t>Total</t>
  </si>
  <si>
    <t>A.  Operating Costs</t>
  </si>
  <si>
    <t>B.  Fixed Costs</t>
  </si>
  <si>
    <t>2.0 Investment</t>
  </si>
  <si>
    <t>3.0 Depreciation</t>
  </si>
  <si>
    <t>C. Labour</t>
  </si>
  <si>
    <t>Total Cost of Production</t>
  </si>
  <si>
    <t>Your Cost</t>
  </si>
  <si>
    <t xml:space="preserve">    Total Fixed Costs</t>
  </si>
  <si>
    <t>Salvage</t>
  </si>
  <si>
    <t>Total Acres</t>
  </si>
  <si>
    <t>acres</t>
  </si>
  <si>
    <t>Interest on Operating</t>
  </si>
  <si>
    <t xml:space="preserve"> acres</t>
  </si>
  <si>
    <t>$/lb</t>
  </si>
  <si>
    <t>$/acre</t>
  </si>
  <si>
    <t>Grazing period</t>
  </si>
  <si>
    <t>Days</t>
  </si>
  <si>
    <t>Months</t>
  </si>
  <si>
    <t>$/head</t>
  </si>
  <si>
    <t>Season</t>
  </si>
  <si>
    <t>Daily</t>
  </si>
  <si>
    <t>Vegetative Associations</t>
  </si>
  <si>
    <t xml:space="preserve"> days</t>
  </si>
  <si>
    <t xml:space="preserve"> months</t>
  </si>
  <si>
    <t>Water Development</t>
  </si>
  <si>
    <t xml:space="preserve">Useful </t>
  </si>
  <si>
    <t>Value</t>
  </si>
  <si>
    <t>years</t>
  </si>
  <si>
    <t>Estimated average  weight on pasture</t>
  </si>
  <si>
    <t>Handling facilities</t>
  </si>
  <si>
    <t>Nitrogen</t>
  </si>
  <si>
    <t>Potash</t>
  </si>
  <si>
    <t>Number of head pastured/season</t>
  </si>
  <si>
    <t>Number of head pastured/acre</t>
  </si>
  <si>
    <t xml:space="preserve">    2.02 Facilities</t>
  </si>
  <si>
    <t xml:space="preserve">    3.01 Facilities</t>
  </si>
  <si>
    <t>Pounds liveweight per acre</t>
  </si>
  <si>
    <t>Value %</t>
  </si>
  <si>
    <t>Life Yrs</t>
  </si>
  <si>
    <t>Light</t>
  </si>
  <si>
    <t>Medium</t>
  </si>
  <si>
    <t>Heavy</t>
  </si>
  <si>
    <t>Soil Groups</t>
  </si>
  <si>
    <t>Bush</t>
  </si>
  <si>
    <t>Woodland</t>
  </si>
  <si>
    <t>Meadow</t>
  </si>
  <si>
    <t>Improved</t>
  </si>
  <si>
    <t>Poor tame forage</t>
  </si>
  <si>
    <t>Hay regrowth</t>
  </si>
  <si>
    <t>Lowland meadow</t>
  </si>
  <si>
    <t>Open woodland</t>
  </si>
  <si>
    <t>Harvested woodland</t>
  </si>
  <si>
    <t>Boreal forest</t>
  </si>
  <si>
    <t>Upland grass</t>
  </si>
  <si>
    <t>Transitional grassland</t>
  </si>
  <si>
    <t>Fair tame forage</t>
  </si>
  <si>
    <t>Good tame forage</t>
  </si>
  <si>
    <t>Annual</t>
  </si>
  <si>
    <t>Annual crop land</t>
  </si>
  <si>
    <t>Crop stubble</t>
  </si>
  <si>
    <t>Fall seeded cereal</t>
  </si>
  <si>
    <t>Source Manitoba Crown Lands</t>
  </si>
  <si>
    <t>Stocking rates are a critical aspect of any grazing system. This budget takes into account options to consider when calculating the stocking rate or Animal Unit Months (AUM) for your soil type and climatic conditions.</t>
  </si>
  <si>
    <t>Animal Unit Month (AUM) Available per Acre</t>
  </si>
  <si>
    <t>Total pounds on pasture</t>
  </si>
  <si>
    <t>Your Farm</t>
  </si>
  <si>
    <t>Example</t>
  </si>
  <si>
    <t>Grazing period in months</t>
  </si>
  <si>
    <t>(1 ÷ 2)</t>
  </si>
  <si>
    <t>AUM's available per acre for I month</t>
  </si>
  <si>
    <t>(3 ÷ 4)</t>
  </si>
  <si>
    <t>AUM's available per acre for total period</t>
  </si>
  <si>
    <t>Total Acres in Pasture</t>
  </si>
  <si>
    <t>(5 x 6)</t>
  </si>
  <si>
    <t>Calculating Pasture Capacity - Number of Head Pastured</t>
  </si>
  <si>
    <t>Carrying Capacity of Pasture (# of Head)</t>
  </si>
  <si>
    <t>1.</t>
  </si>
  <si>
    <t>2.</t>
  </si>
  <si>
    <t>3.</t>
  </si>
  <si>
    <t>4.</t>
  </si>
  <si>
    <t>5.</t>
  </si>
  <si>
    <t>6.</t>
  </si>
  <si>
    <t>7.</t>
  </si>
  <si>
    <t>Carrying Capacity</t>
  </si>
  <si>
    <t>(see table; soil group 3 veg assoc. 11)</t>
  </si>
  <si>
    <t>* One Animal Unit Month (AUM) is defined as a 1000 lb beef cow, with or without a nursing calf, with a daily requirement of 26 lbs dry matter forage. Therefore 1 AUM is equal to 780 lbs of dry matter forage.</t>
  </si>
  <si>
    <r>
      <t>Animal Unit Month Available per acre</t>
    </r>
    <r>
      <rPr>
        <b/>
        <sz val="12"/>
        <rFont val="Arial"/>
        <family val="2"/>
      </rPr>
      <t>*</t>
    </r>
  </si>
  <si>
    <r>
      <t>Animal Unit Equivalents</t>
    </r>
    <r>
      <rPr>
        <b/>
        <sz val="12"/>
        <rFont val="Arial"/>
        <family val="2"/>
      </rPr>
      <t>**</t>
    </r>
  </si>
  <si>
    <t>Fence Costs</t>
  </si>
  <si>
    <t xml:space="preserve">. . . . . . . . . . . . . . . . . . . . . . . . . . . . . . . . . . . . . . . . . . . . . . . . . </t>
  </si>
  <si>
    <t>Guidelines For Estimating</t>
  </si>
  <si>
    <t xml:space="preserve">This tool is available as an Excel worksheet at: </t>
  </si>
  <si>
    <t xml:space="preserve">                                                                                          is also available to help</t>
  </si>
  <si>
    <t>determine machinery costs.</t>
  </si>
  <si>
    <t>These budgets may be adjusted by putting in your own figures.  As a producer, you are encouraged to calculate your own costs of production for your pasture and grazing system.  On each farm, costs and yields differ due to soil type, climate and agronomic practices.</t>
  </si>
  <si>
    <t>Improved &amp; Unimproved</t>
  </si>
  <si>
    <t>Total Operating Costs</t>
  </si>
  <si>
    <t xml:space="preserve">Improved Pasture </t>
  </si>
  <si>
    <t xml:space="preserve">Unimproved Pasture </t>
  </si>
  <si>
    <r>
      <rPr>
        <b/>
        <sz val="10"/>
        <rFont val="Arial"/>
        <family val="2"/>
      </rPr>
      <t>Note:</t>
    </r>
    <r>
      <rPr>
        <sz val="10"/>
        <rFont val="Arial"/>
        <family val="2"/>
      </rPr>
      <t xml:space="preserve"> This budget is only a guide and is not intended as an in depth study of the cost of production of this industry. Interpretation and utilization of this information is the responsibility of the user.</t>
    </r>
  </si>
  <si>
    <t>Operating Costs</t>
  </si>
  <si>
    <t xml:space="preserve">Unmproved Pasture </t>
  </si>
  <si>
    <t>lbs/head</t>
  </si>
  <si>
    <t>head</t>
  </si>
  <si>
    <t>Hd/acre</t>
  </si>
  <si>
    <t>Number of Passes</t>
  </si>
  <si>
    <t>Custom Work</t>
  </si>
  <si>
    <t>Land Clearing</t>
  </si>
  <si>
    <t>Cost/Ac</t>
  </si>
  <si>
    <t>Total/Ac</t>
  </si>
  <si>
    <t>Harrowing</t>
  </si>
  <si>
    <t>Bulk Price</t>
  </si>
  <si>
    <t>Actual Nutrient</t>
  </si>
  <si>
    <t>Sulphur</t>
  </si>
  <si>
    <t>Fertilizer Type</t>
  </si>
  <si>
    <t>$/tonne</t>
  </si>
  <si>
    <t>Usage</t>
  </si>
  <si>
    <t>Nitrogen: (urea) 46-0-0</t>
  </si>
  <si>
    <t xml:space="preserve"> -</t>
  </si>
  <si>
    <t>Nitrogen: (NH3) 82-0-0</t>
  </si>
  <si>
    <t>Nitrogen: (liquid) 28-0-0</t>
  </si>
  <si>
    <t>Phosphorus:   11-52-0</t>
  </si>
  <si>
    <t>Potash:   0-0-60</t>
  </si>
  <si>
    <t>Sulphur:   20.5-0-0-24</t>
  </si>
  <si>
    <t>Amount of Actual Pounds of Elements Applied Per Acre</t>
  </si>
  <si>
    <t>Phosphorus</t>
  </si>
  <si>
    <t>lbs</t>
  </si>
  <si>
    <t>Oat greenfeed (nurse crop)</t>
  </si>
  <si>
    <t>Improved Pasture</t>
  </si>
  <si>
    <t>Unimproved Pasture</t>
  </si>
  <si>
    <t>Annual Production</t>
  </si>
  <si>
    <t>Establishment (nurse crop)</t>
  </si>
  <si>
    <r>
      <t>Fertilizer</t>
    </r>
    <r>
      <rPr>
        <b/>
        <vertAlign val="superscript"/>
        <sz val="14"/>
        <color indexed="9"/>
        <rFont val="Arial"/>
        <family val="2"/>
      </rPr>
      <t xml:space="preserve"> </t>
    </r>
  </si>
  <si>
    <t>Pasture Input</t>
  </si>
  <si>
    <t>Land Breaking &amp; Tillage</t>
  </si>
  <si>
    <t>Land Base</t>
  </si>
  <si>
    <t>Seeding Rate</t>
  </si>
  <si>
    <t>Price</t>
  </si>
  <si>
    <t>Cost</t>
  </si>
  <si>
    <t>per Acre</t>
  </si>
  <si>
    <t>per Unit</t>
  </si>
  <si>
    <t>lb</t>
  </si>
  <si>
    <t>/bu</t>
  </si>
  <si>
    <t>/lb</t>
  </si>
  <si>
    <t>bu</t>
  </si>
  <si>
    <t>Number of Productive Years</t>
  </si>
  <si>
    <t>Chemicals</t>
  </si>
  <si>
    <t>Weed</t>
  </si>
  <si>
    <t xml:space="preserve">Insect </t>
  </si>
  <si>
    <t>Control</t>
  </si>
  <si>
    <t>(Annual Cost Amortization)</t>
  </si>
  <si>
    <t>Spot</t>
  </si>
  <si>
    <t>Spray</t>
  </si>
  <si>
    <t>Other - Misc.</t>
  </si>
  <si>
    <t>Land Development &amp; Forage Establishment - Rental &amp; Custom</t>
  </si>
  <si>
    <t>Land Development &amp; Forage Establishment - Seed &amp; Treatment</t>
  </si>
  <si>
    <t>Custom Application - Fertilizer</t>
  </si>
  <si>
    <t>Improved Pasture acres fertilized annually</t>
  </si>
  <si>
    <t xml:space="preserve">Land Taxes </t>
  </si>
  <si>
    <t>Other Capital Costs</t>
  </si>
  <si>
    <t>Total Other Capital Costs</t>
  </si>
  <si>
    <t>Labour Costs</t>
  </si>
  <si>
    <t>Total hours/season</t>
  </si>
  <si>
    <t>Rate per hour</t>
  </si>
  <si>
    <t>Miscellaneous</t>
  </si>
  <si>
    <r>
      <t>Maintenance &amp; Repairs</t>
    </r>
    <r>
      <rPr>
        <sz val="12"/>
        <rFont val="Arial"/>
        <family val="2"/>
      </rPr>
      <t xml:space="preserve"> (total cost/year)</t>
    </r>
  </si>
  <si>
    <t>Fence Maintenance</t>
  </si>
  <si>
    <t>Fence Maintenance (% of investment cost)</t>
  </si>
  <si>
    <t>Other Capital Depreciation Cost</t>
  </si>
  <si>
    <t>Unimproved Pasture acres fertilized annually</t>
  </si>
  <si>
    <t>Custom Application - Herbicide</t>
  </si>
  <si>
    <t>Electric Wire (4 strand)</t>
  </si>
  <si>
    <t>Electric Wire (2 strand)</t>
  </si>
  <si>
    <t>Page Wire (w/optional top wire)</t>
  </si>
  <si>
    <t>Number of miles of Fence Required</t>
  </si>
  <si>
    <t>Materials</t>
  </si>
  <si>
    <t>Labour</t>
  </si>
  <si>
    <t>Equipment</t>
  </si>
  <si>
    <t>Cost Per Mile of Fence</t>
  </si>
  <si>
    <t xml:space="preserve">For more information on fence costs, </t>
  </si>
  <si>
    <t>Improved Pasture Total Cost</t>
  </si>
  <si>
    <t>Un-Improved Pasture Total Cost</t>
  </si>
  <si>
    <t>Fence Cost</t>
  </si>
  <si>
    <t>Days on Pasture</t>
  </si>
  <si>
    <t>Land Development</t>
  </si>
  <si>
    <t>Herbicide</t>
  </si>
  <si>
    <t>Land Taxes</t>
  </si>
  <si>
    <t>Maintenance &amp; Repairs</t>
  </si>
  <si>
    <t>Fertilizer - Annual</t>
  </si>
  <si>
    <t>Sub-total Operating Cost</t>
  </si>
  <si>
    <t>Facilities Maintenance (% of investment cost)</t>
  </si>
  <si>
    <t>Facilities Maintenance</t>
  </si>
  <si>
    <t>Total Pasture Cost Per AUM</t>
  </si>
  <si>
    <t>Cost Analysis</t>
  </si>
  <si>
    <t>Other Assumptions</t>
  </si>
  <si>
    <t>Land Taxes:</t>
  </si>
  <si>
    <t>Interest On Operating:</t>
  </si>
  <si>
    <r>
      <t xml:space="preserve">Market Value </t>
    </r>
    <r>
      <rPr>
        <sz val="10"/>
        <rFont val="Arial"/>
        <family val="2"/>
      </rPr>
      <t>(excluding fence, water, facilities)</t>
    </r>
  </si>
  <si>
    <t>Miscellaneous Costs:</t>
  </si>
  <si>
    <t>Includes overhead expenses: hydro, telephone, accounting, supplies and insurance, etc.</t>
  </si>
  <si>
    <t>Land Development &amp; Forage Establishment - Greenfeed Production</t>
  </si>
  <si>
    <t>ton/acre</t>
  </si>
  <si>
    <t>Yield</t>
  </si>
  <si>
    <t>(establishment year only)</t>
  </si>
  <si>
    <t>Land Development Costs:</t>
  </si>
  <si>
    <t>Fence Maintenace Costs:</t>
  </si>
  <si>
    <t>Facilities Maintenace Costs:</t>
  </si>
  <si>
    <t>Other Capital Investment Cost:</t>
  </si>
  <si>
    <t>Grazing Formulas:</t>
  </si>
  <si>
    <t>Electric Wire (1 strand)</t>
  </si>
  <si>
    <t>Other Capital Depreciation Cost:</t>
  </si>
  <si>
    <t>-</t>
  </si>
  <si>
    <r>
      <t>Estimated Carrying Capacity</t>
    </r>
    <r>
      <rPr>
        <sz val="11"/>
        <rFont val="Arial"/>
        <family val="2"/>
      </rPr>
      <t>: Pick the soil group and vegetative association (from the table above) that most closely represents your land.</t>
    </r>
  </si>
  <si>
    <t>Metabolic Animal Unit Value</t>
  </si>
  <si>
    <t>(Average weight of animals^.75 ÷ 1000 ^.75lbs)</t>
  </si>
  <si>
    <t xml:space="preserve">A more accurate estimate of daily or monthly forage demand of livestock on a grazing system can be reached by using the metabolic weight of the livestock rather than the live weight of the animals. It has been found that metabolic weight accounts for significant variation in dry matter intake among animals of different size (NRC 1996). Metabolic weight is the live weight to the 0.75 power. Beef cattle animal unit equivalents can be determined for animals of different sizes by calculating their metabolic weight as a percentage of the metabolic weight of a 1000 pound cow. </t>
  </si>
  <si>
    <t>Perennial Pasture Production</t>
  </si>
  <si>
    <t>Barbed Wire (4 strand)</t>
  </si>
  <si>
    <t>Forage seed</t>
  </si>
  <si>
    <t xml:space="preserve">Total Animal Unit Months (AUM's) </t>
  </si>
  <si>
    <t xml:space="preserve">  Finance Rate &amp; Term</t>
  </si>
  <si>
    <t>Years</t>
  </si>
  <si>
    <t xml:space="preserve">  Principle &amp; Interest Cost</t>
  </si>
  <si>
    <t xml:space="preserve">  Owned Land Opportunity Cost</t>
  </si>
  <si>
    <t xml:space="preserve">  Total Cost</t>
  </si>
  <si>
    <t xml:space="preserve">  Owned Land Equity</t>
  </si>
  <si>
    <t xml:space="preserve">  Land Financed</t>
  </si>
  <si>
    <r>
      <t xml:space="preserve">  Land Opportunity Cost </t>
    </r>
    <r>
      <rPr>
        <sz val="10"/>
        <rFont val="Arial"/>
        <family val="2"/>
      </rPr>
      <t xml:space="preserve">(Investment Rate) </t>
    </r>
  </si>
  <si>
    <t xml:space="preserve">Total AUM's - Available Per Acre </t>
  </si>
  <si>
    <t>Pasture Investment per AUM</t>
  </si>
  <si>
    <t>Land cost</t>
  </si>
  <si>
    <t>Pasture Investment per Head on Pasture</t>
  </si>
  <si>
    <t>AUM Analysis</t>
  </si>
  <si>
    <t>Pasture Efficency Analysis</t>
  </si>
  <si>
    <t>Land Cost:</t>
  </si>
  <si>
    <t>Acre/head</t>
  </si>
  <si>
    <t>Number of pasture acres/head</t>
  </si>
  <si>
    <t>/day</t>
  </si>
  <si>
    <t>Pasture Land Costs</t>
  </si>
  <si>
    <r>
      <t xml:space="preserve">  Depreciation Cost = </t>
    </r>
    <r>
      <rPr>
        <u/>
        <sz val="12"/>
        <rFont val="Arial"/>
        <family val="2"/>
      </rPr>
      <t>Original Cost - Salvage Value</t>
    </r>
  </si>
  <si>
    <r>
      <t xml:space="preserve">Investment Cost = </t>
    </r>
    <r>
      <rPr>
        <u/>
        <sz val="12"/>
        <rFont val="Arial"/>
        <family val="2"/>
      </rPr>
      <t>Original Cost + Salvage Value</t>
    </r>
    <r>
      <rPr>
        <sz val="12"/>
        <rFont val="Arial"/>
        <family val="2"/>
      </rPr>
      <t xml:space="preserve"> x Investment Rate</t>
    </r>
  </si>
  <si>
    <t>Land P&amp;I Costs:</t>
  </si>
  <si>
    <t>Land Investment Costs:</t>
  </si>
  <si>
    <t>Other Capital Investment Costs:</t>
  </si>
  <si>
    <t>Other Capital Depreciation Costs:</t>
  </si>
  <si>
    <t>Total Annual Cost</t>
  </si>
  <si>
    <t>Pasture Cost / Head / Day</t>
  </si>
  <si>
    <t>Pasture Investment per Head</t>
  </si>
  <si>
    <t>Pasture Cost / AUM</t>
  </si>
  <si>
    <t>Percent Change in Owned Land Equity</t>
  </si>
  <si>
    <t>Change in Land Value</t>
  </si>
  <si>
    <t>Change in Stocking Rate</t>
  </si>
  <si>
    <t>Change in Grazing Days</t>
  </si>
  <si>
    <t>Cost / Day</t>
  </si>
  <si>
    <t>Amount</t>
  </si>
  <si>
    <t>Added</t>
  </si>
  <si>
    <t>Risk &amp; Sensitivity Analysis (Stress Test)</t>
  </si>
  <si>
    <t xml:space="preserve">This guide is designed to provide planning information and a format for calculating the costs of improved and unimproved (marginal) grass pasture for the purpose of grazing livestock in Manitoba.  General Department recommendations are assumed in using fertilizers and chemical inputs.  These figures provide an economic evaluation of pastures and estimated cost per head per day.  Costs include operating, investment and depreciation, but do not include managment costs, nor do they necessarily represent the average cost of production in Manitoba.  
</t>
  </si>
  <si>
    <t xml:space="preserve">Pasture Total Cost per Head </t>
  </si>
  <si>
    <t>Changed</t>
  </si>
  <si>
    <t>Stocking Rate</t>
  </si>
  <si>
    <t>Land Value</t>
  </si>
  <si>
    <t>Owned Equity</t>
  </si>
  <si>
    <t>MES S15:  13-33-0-15</t>
  </si>
  <si>
    <t>***HIDE***</t>
  </si>
  <si>
    <t>82-0-0</t>
  </si>
  <si>
    <t>28-0-0</t>
  </si>
  <si>
    <t>46-0-0</t>
  </si>
  <si>
    <t>11-52-0</t>
  </si>
  <si>
    <t>0-0-60</t>
  </si>
  <si>
    <t>20.5-0-0-24</t>
  </si>
  <si>
    <t>13-33-0-15</t>
  </si>
  <si>
    <t>preseed</t>
  </si>
  <si>
    <t>suppl</t>
  </si>
  <si>
    <t xml:space="preserve">blend </t>
  </si>
  <si>
    <t>blend</t>
  </si>
  <si>
    <t>N phos</t>
  </si>
  <si>
    <t>N actual</t>
  </si>
  <si>
    <t>N lbs</t>
  </si>
  <si>
    <t>N MT</t>
  </si>
  <si>
    <t>N cost</t>
  </si>
  <si>
    <t>N  sul1</t>
  </si>
  <si>
    <t>N  sul2</t>
  </si>
  <si>
    <t>N urea</t>
  </si>
  <si>
    <t>phos lbs</t>
  </si>
  <si>
    <t>phos MT</t>
  </si>
  <si>
    <t>phos cost</t>
  </si>
  <si>
    <t>potash</t>
  </si>
  <si>
    <t>pot MT</t>
  </si>
  <si>
    <t>pot cost</t>
  </si>
  <si>
    <t>sul 1 lbs</t>
  </si>
  <si>
    <t>sul 1 MT</t>
  </si>
  <si>
    <t>sul 1 cost</t>
  </si>
  <si>
    <t>sul 2 lbs</t>
  </si>
  <si>
    <t>sul 2 MT</t>
  </si>
  <si>
    <t>sul 2 cost</t>
  </si>
  <si>
    <r>
      <rPr>
        <b/>
        <sz val="11"/>
        <rFont val="Arial"/>
        <family val="2"/>
      </rPr>
      <t xml:space="preserve">Note: </t>
    </r>
    <r>
      <rPr>
        <sz val="11"/>
        <rFont val="Arial"/>
        <family val="2"/>
      </rPr>
      <t>This budget is only a guide and is not intended as an in depth study of the cost of production of this industry. Interpretation and use of this information is the responsibility of the user. If you need help with a budget, contact a Farm Management Specialist.</t>
    </r>
  </si>
  <si>
    <t>Pasture Land</t>
  </si>
  <si>
    <t>1 Mature cow (open cow) = 1.0 A.U.</t>
  </si>
  <si>
    <t>1 Bull, bred cow or cow/calf pair = 1.3 A.U.</t>
  </si>
  <si>
    <t>1 yearling calf, steer or heifer = 0.6 A.U.</t>
  </si>
  <si>
    <t>(Select Animal Type)</t>
  </si>
  <si>
    <t>Number of Head</t>
  </si>
  <si>
    <t>Animal Unit (AU)</t>
  </si>
  <si>
    <t>Coverage</t>
  </si>
  <si>
    <t>days</t>
  </si>
  <si>
    <t>Historic grazing period or Individual 10-year average</t>
  </si>
  <si>
    <t>Coverage Level of of Normal AU days</t>
  </si>
  <si>
    <t>Dollar Coverage per Animal Unit for each AU day</t>
  </si>
  <si>
    <t>Animal Inventory</t>
  </si>
  <si>
    <t>Coverage Calculation</t>
  </si>
  <si>
    <t>AU Days</t>
  </si>
  <si>
    <t>Livestock removed from pasture after</t>
  </si>
  <si>
    <t>Premium Calculation</t>
  </si>
  <si>
    <t>Data List</t>
  </si>
  <si>
    <t>Premium Rate</t>
  </si>
  <si>
    <t>Premium share (producer)</t>
  </si>
  <si>
    <t>Premium = Expected number of Grazing Days x Animal Units x coverage Level x Insurable Value x Premium Rate %</t>
  </si>
  <si>
    <t>Pasture Days Insurance</t>
  </si>
  <si>
    <t>Animal Unit Days</t>
  </si>
  <si>
    <t>Pasture Guarantee Days</t>
  </si>
  <si>
    <t>Estimated Dollar Coverage</t>
  </si>
  <si>
    <t>Premium</t>
  </si>
  <si>
    <t>Est. Premium ($/Acre)</t>
  </si>
  <si>
    <t>Est. Premium ($/head/day)</t>
  </si>
  <si>
    <t>Est. Premium ($/head/season)</t>
  </si>
  <si>
    <t>months</t>
  </si>
  <si>
    <t xml:space="preserve">or </t>
  </si>
  <si>
    <t>Indemnity Calculation</t>
  </si>
  <si>
    <t>Date livestock placed on pasture</t>
  </si>
  <si>
    <t xml:space="preserve">(coverage would last until </t>
  </si>
  <si>
    <t>Printed:</t>
  </si>
  <si>
    <r>
      <t xml:space="preserve">*** Enter/select changes to items in </t>
    </r>
    <r>
      <rPr>
        <b/>
        <sz val="10"/>
        <color indexed="12"/>
        <rFont val="Arial"/>
        <family val="2"/>
      </rPr>
      <t xml:space="preserve">BLUE </t>
    </r>
    <r>
      <rPr>
        <b/>
        <sz val="10"/>
        <rFont val="Arial"/>
        <family val="2"/>
      </rPr>
      <t>only ***</t>
    </r>
  </si>
  <si>
    <t xml:space="preserve">. . . . . . . . . . . . . . . . . . . . . . . . . . . . . . . . . . . . . . . . . . . . . . . . . . . . . . . . . . . . . . . . </t>
  </si>
  <si>
    <t>Pasture Days Insurance Calculator</t>
  </si>
  <si>
    <r>
      <t>Note:</t>
    </r>
    <r>
      <rPr>
        <sz val="10"/>
        <rFont val="Arial"/>
        <family val="2"/>
      </rPr>
      <t xml:space="preserve"> This budget is only a guide and is not intended to be an in-depth study of the pasture costs.  Interpretation and utilization of this information is the responsibility of the user. </t>
    </r>
  </si>
  <si>
    <t>Est. Avg. Coverage ($/head/season)</t>
  </si>
  <si>
    <t xml:space="preserve">Est. Avg. Coverage ($/head/day) </t>
  </si>
  <si>
    <t>Date livestock placed on pasture (enter M/DD)</t>
  </si>
  <si>
    <t>Date livestock removed from pasture (enter M/DD)</t>
  </si>
  <si>
    <t>Calculated actual days on pasture before removal</t>
  </si>
  <si>
    <t>April, 2022</t>
  </si>
  <si>
    <t>Breakeven Analysis</t>
  </si>
  <si>
    <t>Pasture Insurance Indemnity</t>
  </si>
  <si>
    <t>Breakeven</t>
  </si>
  <si>
    <t>Indemnity</t>
  </si>
  <si>
    <t>Number of Pasture Days Covered by AgriInsurance</t>
  </si>
  <si>
    <t>Number of Pasture Days Uncovered by AgriInsurance</t>
  </si>
  <si>
    <t>Historic Grazing Days</t>
  </si>
  <si>
    <t>Pasture Days Covered by AgriInsurance</t>
  </si>
  <si>
    <t>or</t>
  </si>
  <si>
    <t xml:space="preserve">Estimated Indemnity </t>
  </si>
  <si>
    <t>Est. Indemnity ($/Acre)</t>
  </si>
  <si>
    <t>Est. Indemnity ($/head/season)</t>
  </si>
  <si>
    <t>Est. Indemnity ($/head/day)</t>
  </si>
  <si>
    <t>maybe interest rates??</t>
  </si>
  <si>
    <t>MASC Pasture Days Insurance Factsheet</t>
  </si>
  <si>
    <t>Rams, Bred Ewes, Ewe/Lamb pairs = 0.25 A.U.</t>
  </si>
  <si>
    <t>Open Ewes = 0.20 A.U.</t>
  </si>
  <si>
    <t>Weaned Lambs, Yearlings, Wethers = 0.15 A.U.</t>
  </si>
  <si>
    <t>Sheep</t>
  </si>
  <si>
    <t>Goats</t>
  </si>
  <si>
    <t>Bucks, Bred Does, Does with Kids = 0.20 A.U.</t>
  </si>
  <si>
    <t>Open Does = 0.10 A.U.</t>
  </si>
  <si>
    <t>Weaned Lambs, Yearlings, Wethers = 0.05 A.U.</t>
  </si>
  <si>
    <t>Horses</t>
  </si>
  <si>
    <t>Mature Stallions, Male Mules, Bred Mares, Mare/Foal Pairs = 1.5 A.U.</t>
  </si>
  <si>
    <t>Open Mares, Female Mules = 1.30 A.U.</t>
  </si>
  <si>
    <t>Weanling Colts or Fillies or Mules = 0.75 A.U.</t>
  </si>
  <si>
    <t>Cows</t>
  </si>
  <si>
    <t>Donkeys and Ponies</t>
  </si>
  <si>
    <t>Open Mares, Open Jennies = 0.50 A.U.</t>
  </si>
  <si>
    <t>Weanling Colts/Fillies, Geldings = 0.40 A.U.</t>
  </si>
  <si>
    <t>Mature Stallions, Jacks, Bred Mares, Bred Jennies, Mare/Foal Pairs, Jenny/Colt Pairs = 0.65 A.U.</t>
  </si>
  <si>
    <t>Llamas and Alpacas</t>
  </si>
  <si>
    <t>Studs, Bred Dams, Dam/Cria Pairs = 0.30 A.U.</t>
  </si>
  <si>
    <t>Open Girls = 0.25 A.U.</t>
  </si>
  <si>
    <t>Maiden Girls, Immature Stud, Geldings = 0.20 A.U.</t>
  </si>
  <si>
    <t>Elk</t>
  </si>
  <si>
    <t>Weaners, Yearling Calves, Steers or Heifers = 0.4 A.U.</t>
  </si>
  <si>
    <t>Deer</t>
  </si>
  <si>
    <t>Bucks, Bred Does, Doe/Fawn pairs = 0.25 A.U.</t>
  </si>
  <si>
    <t>Open Dowes = 0.20 A.U.</t>
  </si>
  <si>
    <t>Weaned Fawns, Yearlings, Havier = 0.15 A.U.</t>
  </si>
  <si>
    <t>Bison</t>
  </si>
  <si>
    <t>Bulls, Bred Cow or Cow/Calf pair = 1.30 A.U.</t>
  </si>
  <si>
    <t>Open Cows = 1.0 A.U.</t>
  </si>
  <si>
    <t>Yearling Calves, Steers or Heifers = 0.6 A.U.</t>
  </si>
  <si>
    <t>Yearling Calves, Steers and Heifers = 0.6 A.U.</t>
  </si>
  <si>
    <t>Open Cows = 0.6 A.U.</t>
  </si>
  <si>
    <t>Bulls, Bred Cows, Cow/Calf pairs = 1.3 A.U.</t>
  </si>
  <si>
    <t>Bulls, Bred Cows, Cow/Calf pairs = 0.75 A.U.</t>
  </si>
  <si>
    <t>Animal'</t>
  </si>
  <si>
    <t>Donkeys_and_ Ponies</t>
  </si>
  <si>
    <t>Llamas_and_Alpacas</t>
  </si>
  <si>
    <t>Step #1</t>
  </si>
  <si>
    <t>Step #2 -  Select Category</t>
  </si>
  <si>
    <t>MASC Pasture Days Insurance Calculator</t>
  </si>
  <si>
    <t>Interest Rate</t>
  </si>
  <si>
    <t>Change in Interest Rate</t>
  </si>
  <si>
    <t>Pasture Days Insurance Cost &amp; Analysis</t>
  </si>
  <si>
    <t>Actual Animal Unit Days</t>
  </si>
  <si>
    <t xml:space="preserve">Pasture Shortfall </t>
  </si>
  <si>
    <t>Date: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</si>
</sst>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quot;$&quot;#,##0"/>
    <numFmt numFmtId="6" formatCode="&quot;$&quot;#,##0;[Red]\-&quot;$&quot;#,##0"/>
    <numFmt numFmtId="7" formatCode="&quot;$&quot;#,##0.00;\-&quot;$&quot;#,##0.00"/>
    <numFmt numFmtId="8" formatCode="&quot;$&quot;#,##0.00;[Red]\-&quot;$&quot;#,##0.00"/>
    <numFmt numFmtId="164" formatCode="&quot;$&quot;#,##0_);\(&quot;$&quot;#,##0\)"/>
    <numFmt numFmtId="165" formatCode="&quot;$&quot;#,##0.00_);[Red]\(&quot;$&quot;#,##0.00\)"/>
    <numFmt numFmtId="166" formatCode="_(&quot;$&quot;* #,##0.00_);_(&quot;$&quot;* \(#,##0.00\);_(&quot;$&quot;* &quot;-&quot;??_);_(@_)"/>
    <numFmt numFmtId="167" formatCode="#,##0.0"/>
    <numFmt numFmtId="168" formatCode="&quot;$&quot;#,##0.00"/>
    <numFmt numFmtId="169" formatCode="0.0"/>
    <numFmt numFmtId="170" formatCode="&quot;$&quot;#,##0.00\ ;\(&quot;$&quot;#,##0.00\)"/>
    <numFmt numFmtId="171" formatCode="&quot;$&quot;#,##0"/>
    <numFmt numFmtId="172" formatCode="&quot;$&quot;#,##0.000"/>
    <numFmt numFmtId="173" formatCode="#,##0.000"/>
    <numFmt numFmtId="174" formatCode="#,##0_ ;\-#,##0\ "/>
    <numFmt numFmtId="175" formatCode="&quot;$&quot;#,##0.00_);[Red]\-&quot;$&quot;#,##0.00"/>
    <numFmt numFmtId="176" formatCode="0.000%"/>
    <numFmt numFmtId="177" formatCode="&quot;$&quot;#,##0.000;\-&quot;$&quot;#,##0.000"/>
    <numFmt numFmtId="178" formatCode="&quot;$&quot;#,##0.0000"/>
    <numFmt numFmtId="179" formatCode="[$-1009]mmmm\ d;@"/>
  </numFmts>
  <fonts count="58" x14ac:knownFonts="1">
    <font>
      <sz val="10"/>
      <name val="Arial"/>
    </font>
    <font>
      <sz val="10"/>
      <name val="Arial"/>
      <family val="2"/>
    </font>
    <font>
      <sz val="12"/>
      <name val="Arial"/>
      <family val="2"/>
    </font>
    <font>
      <sz val="12"/>
      <name val="Arial"/>
      <family val="2"/>
    </font>
    <font>
      <b/>
      <sz val="12"/>
      <name val="Arial"/>
      <family val="2"/>
    </font>
    <font>
      <b/>
      <u/>
      <sz val="12"/>
      <name val="Arial"/>
      <family val="2"/>
    </font>
    <font>
      <b/>
      <sz val="14"/>
      <color indexed="18"/>
      <name val="Arial"/>
      <family val="2"/>
    </font>
    <font>
      <b/>
      <sz val="12"/>
      <color indexed="12"/>
      <name val="Arial"/>
      <family val="2"/>
    </font>
    <font>
      <b/>
      <sz val="12"/>
      <color indexed="18"/>
      <name val="Arial"/>
      <family val="2"/>
    </font>
    <font>
      <u/>
      <sz val="12"/>
      <name val="Arial"/>
      <family val="2"/>
    </font>
    <font>
      <b/>
      <u/>
      <sz val="12"/>
      <color indexed="12"/>
      <name val="Arial"/>
      <family val="2"/>
    </font>
    <font>
      <b/>
      <sz val="16"/>
      <name val="Arial"/>
      <family val="2"/>
    </font>
    <font>
      <sz val="14"/>
      <name val="Arial"/>
      <family val="2"/>
    </font>
    <font>
      <sz val="12"/>
      <color indexed="10"/>
      <name val="Arial"/>
      <family val="2"/>
    </font>
    <font>
      <b/>
      <sz val="12"/>
      <color indexed="10"/>
      <name val="Arial"/>
      <family val="2"/>
    </font>
    <font>
      <sz val="8"/>
      <name val="Arial"/>
      <family val="2"/>
    </font>
    <font>
      <sz val="8"/>
      <color indexed="81"/>
      <name val="Tahoma"/>
      <family val="2"/>
    </font>
    <font>
      <b/>
      <sz val="14"/>
      <name val="Arial"/>
      <family val="2"/>
    </font>
    <font>
      <b/>
      <u/>
      <sz val="12"/>
      <color indexed="18"/>
      <name val="Arial"/>
      <family val="2"/>
    </font>
    <font>
      <sz val="22"/>
      <name val="Arial"/>
      <family val="2"/>
    </font>
    <font>
      <sz val="8"/>
      <name val="Arial"/>
      <family val="2"/>
    </font>
    <font>
      <b/>
      <sz val="14"/>
      <color indexed="13"/>
      <name val="Arial"/>
      <family val="2"/>
    </font>
    <font>
      <b/>
      <sz val="10"/>
      <color indexed="12"/>
      <name val="Arial"/>
      <family val="2"/>
    </font>
    <font>
      <sz val="10"/>
      <name val="Arial"/>
      <family val="2"/>
    </font>
    <font>
      <b/>
      <sz val="10"/>
      <name val="Arial"/>
      <family val="2"/>
    </font>
    <font>
      <sz val="16"/>
      <color indexed="18"/>
      <name val="Arial"/>
      <family val="2"/>
    </font>
    <font>
      <b/>
      <sz val="20"/>
      <color indexed="18"/>
      <name val="Arial"/>
      <family val="2"/>
    </font>
    <font>
      <sz val="10"/>
      <name val="Arial"/>
      <family val="2"/>
    </font>
    <font>
      <sz val="11"/>
      <name val="Arial"/>
      <family val="2"/>
    </font>
    <font>
      <b/>
      <sz val="11"/>
      <name val="Arial"/>
      <family val="2"/>
    </font>
    <font>
      <sz val="9"/>
      <color indexed="81"/>
      <name val="Tahoma"/>
      <family val="2"/>
    </font>
    <font>
      <b/>
      <vertAlign val="superscript"/>
      <sz val="14"/>
      <color indexed="9"/>
      <name val="Arial"/>
      <family val="2"/>
    </font>
    <font>
      <sz val="10"/>
      <name val="Arial"/>
      <family val="2"/>
    </font>
    <font>
      <u/>
      <sz val="10"/>
      <name val="Arial"/>
      <family val="2"/>
    </font>
    <font>
      <sz val="12"/>
      <name val="Calibri"/>
      <family val="2"/>
    </font>
    <font>
      <b/>
      <sz val="9"/>
      <color indexed="81"/>
      <name val="Tahoma"/>
      <family val="2"/>
    </font>
    <font>
      <sz val="26"/>
      <color indexed="10"/>
      <name val="Times New Roman"/>
      <family val="1"/>
    </font>
    <font>
      <i/>
      <sz val="8"/>
      <name val="Arial"/>
      <family val="2"/>
    </font>
    <font>
      <u/>
      <sz val="11"/>
      <color theme="10"/>
      <name val="Calibri"/>
      <family val="2"/>
    </font>
    <font>
      <sz val="12"/>
      <color rgb="FFFF0000"/>
      <name val="Arial"/>
      <family val="2"/>
    </font>
    <font>
      <sz val="10"/>
      <color rgb="FFFF0000"/>
      <name val="Arial"/>
      <family val="2"/>
    </font>
    <font>
      <b/>
      <sz val="12"/>
      <color rgb="FF0000FF"/>
      <name val="Arial"/>
      <family val="2"/>
    </font>
    <font>
      <sz val="10"/>
      <color theme="1"/>
      <name val="Arial"/>
      <family val="2"/>
    </font>
    <font>
      <b/>
      <sz val="10"/>
      <color theme="1"/>
      <name val="Arial"/>
      <family val="2"/>
    </font>
    <font>
      <b/>
      <sz val="12"/>
      <color theme="1"/>
      <name val="Arial"/>
      <family val="2"/>
    </font>
    <font>
      <b/>
      <u/>
      <sz val="11"/>
      <color theme="10"/>
      <name val="Arial"/>
      <family val="2"/>
    </font>
    <font>
      <b/>
      <sz val="12"/>
      <color theme="0"/>
      <name val="Arial"/>
      <family val="2"/>
    </font>
    <font>
      <b/>
      <sz val="10"/>
      <color theme="3" tint="0.39997558519241921"/>
      <name val="Arial"/>
      <family val="2"/>
    </font>
    <font>
      <b/>
      <sz val="12"/>
      <color theme="3" tint="0.39997558519241921"/>
      <name val="Arial"/>
      <family val="2"/>
    </font>
    <font>
      <b/>
      <sz val="14"/>
      <color theme="1"/>
      <name val="Arial"/>
      <family val="2"/>
    </font>
    <font>
      <sz val="11"/>
      <color theme="1"/>
      <name val="Arial"/>
      <family val="2"/>
    </font>
    <font>
      <sz val="8"/>
      <color theme="1"/>
      <name val="Arial"/>
      <family val="2"/>
    </font>
    <font>
      <b/>
      <sz val="14"/>
      <color rgb="FF008000"/>
      <name val="Calibri"/>
      <family val="2"/>
      <scheme val="minor"/>
    </font>
    <font>
      <b/>
      <sz val="14"/>
      <color theme="0"/>
      <name val="Arial"/>
      <family val="2"/>
    </font>
    <font>
      <b/>
      <sz val="16"/>
      <color theme="0"/>
      <name val="Arial"/>
      <family val="2"/>
    </font>
    <font>
      <b/>
      <sz val="11"/>
      <color rgb="FF0000FF"/>
      <name val="Arial"/>
      <family val="2"/>
    </font>
    <font>
      <u/>
      <sz val="10"/>
      <color theme="10"/>
      <name val="Arial"/>
      <family val="2"/>
    </font>
    <font>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1"/>
        <bgColor indexed="64"/>
      </patternFill>
    </fill>
  </fills>
  <borders count="2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rgb="FF0000FF"/>
      </bottom>
      <diagonal/>
    </border>
    <border>
      <left/>
      <right/>
      <top style="medium">
        <color rgb="FF0000FF"/>
      </top>
      <bottom style="medium">
        <color rgb="FF0000FF"/>
      </bottom>
      <diagonal/>
    </border>
    <border>
      <left style="medium">
        <color rgb="FF0000FF"/>
      </left>
      <right style="medium">
        <color rgb="FF0000FF"/>
      </right>
      <top style="medium">
        <color rgb="FF0000FF"/>
      </top>
      <bottom style="medium">
        <color rgb="FF0000FF"/>
      </bottom>
      <diagonal/>
    </border>
  </borders>
  <cellStyleXfs count="12">
    <xf numFmtId="0" fontId="0" fillId="0" borderId="0"/>
    <xf numFmtId="166" fontId="1" fillId="0" borderId="0" applyFont="0" applyFill="0" applyBorder="0" applyAlignment="0" applyProtection="0"/>
    <xf numFmtId="0" fontId="38" fillId="0" borderId="0" applyNumberFormat="0" applyFill="0" applyBorder="0" applyAlignment="0" applyProtection="0">
      <alignment vertical="top"/>
      <protection locked="0"/>
    </xf>
    <xf numFmtId="0" fontId="27" fillId="0" borderId="0">
      <alignment vertical="top"/>
    </xf>
    <xf numFmtId="0" fontId="23" fillId="0" borderId="0">
      <alignment vertical="top"/>
    </xf>
    <xf numFmtId="0" fontId="2" fillId="0" borderId="0">
      <alignment vertical="top"/>
    </xf>
    <xf numFmtId="0" fontId="2" fillId="0" borderId="0">
      <alignment vertical="top"/>
    </xf>
    <xf numFmtId="0" fontId="23" fillId="0" borderId="0"/>
    <xf numFmtId="0" fontId="32" fillId="0" borderId="0">
      <alignment vertical="top"/>
    </xf>
    <xf numFmtId="168" fontId="2" fillId="0" borderId="0">
      <alignment vertical="top"/>
    </xf>
    <xf numFmtId="9" fontId="1" fillId="0" borderId="0" applyFont="0" applyFill="0" applyBorder="0" applyAlignment="0" applyProtection="0"/>
    <xf numFmtId="0" fontId="56" fillId="0" borderId="0" applyNumberFormat="0" applyFill="0" applyBorder="0" applyAlignment="0" applyProtection="0"/>
  </cellStyleXfs>
  <cellXfs count="358">
    <xf numFmtId="0" fontId="0" fillId="0" borderId="0" xfId="0"/>
    <xf numFmtId="0" fontId="2" fillId="0" borderId="0" xfId="0" applyFont="1"/>
    <xf numFmtId="0" fontId="3" fillId="0" borderId="0" xfId="0" applyFont="1"/>
    <xf numFmtId="0" fontId="4" fillId="0" borderId="0" xfId="0" applyFont="1"/>
    <xf numFmtId="0" fontId="7" fillId="0" borderId="0" xfId="0" applyFont="1" applyProtection="1">
      <protection locked="0"/>
    </xf>
    <xf numFmtId="167" fontId="7" fillId="0" borderId="0" xfId="0" applyNumberFormat="1" applyFont="1" applyProtection="1">
      <protection locked="0"/>
    </xf>
    <xf numFmtId="3" fontId="7" fillId="0" borderId="0" xfId="0" applyNumberFormat="1" applyFont="1" applyProtection="1">
      <protection locked="0"/>
    </xf>
    <xf numFmtId="168" fontId="7" fillId="0" borderId="0" xfId="0" applyNumberFormat="1" applyFont="1" applyProtection="1">
      <protection locked="0"/>
    </xf>
    <xf numFmtId="0" fontId="3" fillId="0" borderId="0" xfId="0" applyFont="1" applyAlignment="1">
      <alignment horizontal="left"/>
    </xf>
    <xf numFmtId="0" fontId="3" fillId="0" borderId="1" xfId="0" applyFont="1" applyBorder="1"/>
    <xf numFmtId="0" fontId="9" fillId="0" borderId="0" xfId="0" applyFont="1"/>
    <xf numFmtId="168" fontId="4" fillId="0" borderId="0" xfId="0" applyNumberFormat="1" applyFont="1"/>
    <xf numFmtId="0" fontId="5" fillId="0" borderId="0" xfId="0" applyFont="1"/>
    <xf numFmtId="0" fontId="2" fillId="0" borderId="0" xfId="0" applyFont="1" applyProtection="1">
      <protection locked="0"/>
    </xf>
    <xf numFmtId="0" fontId="0" fillId="0" borderId="0" xfId="0" applyAlignment="1">
      <alignment horizontal="center"/>
    </xf>
    <xf numFmtId="0" fontId="5" fillId="0" borderId="0" xfId="0" applyFont="1" applyAlignment="1">
      <alignment horizontal="center"/>
    </xf>
    <xf numFmtId="5" fontId="4" fillId="0" borderId="0" xfId="0" applyNumberFormat="1" applyFont="1" applyProtection="1">
      <protection locked="0"/>
    </xf>
    <xf numFmtId="0" fontId="4" fillId="0" borderId="0" xfId="0" applyFont="1" applyAlignment="1">
      <alignment horizontal="center"/>
    </xf>
    <xf numFmtId="2" fontId="2" fillId="0" borderId="0" xfId="0" applyNumberFormat="1" applyFont="1"/>
    <xf numFmtId="171" fontId="7" fillId="0" borderId="0" xfId="0" applyNumberFormat="1" applyFont="1" applyProtection="1">
      <protection locked="0"/>
    </xf>
    <xf numFmtId="0" fontId="13" fillId="0" borderId="0" xfId="0" applyFont="1"/>
    <xf numFmtId="0" fontId="14" fillId="0" borderId="0" xfId="0" applyFont="1" applyAlignment="1">
      <alignment horizontal="center"/>
    </xf>
    <xf numFmtId="3" fontId="7" fillId="0" borderId="0" xfId="0" applyNumberFormat="1" applyFont="1" applyAlignment="1">
      <alignment horizontal="right"/>
    </xf>
    <xf numFmtId="171" fontId="7" fillId="0" borderId="0" xfId="0" applyNumberFormat="1" applyFont="1"/>
    <xf numFmtId="3" fontId="7" fillId="0" borderId="0" xfId="0" applyNumberFormat="1" applyFont="1"/>
    <xf numFmtId="0" fontId="7" fillId="0" borderId="0" xfId="0" applyFont="1"/>
    <xf numFmtId="171" fontId="4" fillId="0" borderId="0" xfId="0" applyNumberFormat="1" applyFont="1"/>
    <xf numFmtId="0" fontId="3" fillId="0" borderId="0" xfId="0" quotePrefix="1" applyFont="1"/>
    <xf numFmtId="0" fontId="2" fillId="0" borderId="0" xfId="0" applyFont="1" applyAlignment="1">
      <alignment horizontal="center"/>
    </xf>
    <xf numFmtId="1" fontId="0" fillId="0" borderId="0" xfId="0" applyNumberFormat="1"/>
    <xf numFmtId="169" fontId="3" fillId="0" borderId="0" xfId="0" applyNumberFormat="1" applyFont="1"/>
    <xf numFmtId="2" fontId="3" fillId="0" borderId="0" xfId="0" applyNumberFormat="1" applyFont="1"/>
    <xf numFmtId="1" fontId="3" fillId="0" borderId="0" xfId="0" applyNumberFormat="1" applyFont="1"/>
    <xf numFmtId="0" fontId="18" fillId="0" borderId="0" xfId="0" applyFont="1" applyAlignment="1">
      <alignment horizontal="right"/>
    </xf>
    <xf numFmtId="1" fontId="3" fillId="0" borderId="0" xfId="0" quotePrefix="1" applyNumberFormat="1" applyFont="1"/>
    <xf numFmtId="0" fontId="12" fillId="0" borderId="0" xfId="0" applyFont="1"/>
    <xf numFmtId="0" fontId="3" fillId="0" borderId="0" xfId="0" applyFont="1" applyAlignment="1">
      <alignment vertical="top"/>
    </xf>
    <xf numFmtId="0" fontId="3" fillId="0" borderId="0" xfId="0" applyFont="1" applyAlignment="1">
      <alignment horizontal="right"/>
    </xf>
    <xf numFmtId="0" fontId="5" fillId="0" borderId="1" xfId="0" applyFont="1" applyBorder="1" applyAlignment="1">
      <alignment horizontal="center"/>
    </xf>
    <xf numFmtId="0" fontId="39" fillId="0" borderId="0" xfId="0" applyFont="1"/>
    <xf numFmtId="0" fontId="40" fillId="0" borderId="0" xfId="0" applyFont="1"/>
    <xf numFmtId="168" fontId="2" fillId="0" borderId="0" xfId="9">
      <alignment vertical="top"/>
    </xf>
    <xf numFmtId="168" fontId="19" fillId="0" borderId="0" xfId="9" applyFont="1" applyAlignment="1">
      <alignment vertical="center"/>
    </xf>
    <xf numFmtId="168" fontId="2" fillId="0" borderId="0" xfId="9" applyAlignment="1">
      <alignment vertical="center"/>
    </xf>
    <xf numFmtId="17" fontId="17" fillId="0" borderId="0" xfId="9" applyNumberFormat="1" applyFont="1" applyAlignment="1">
      <alignment horizontal="right" vertical="top"/>
    </xf>
    <xf numFmtId="0" fontId="17" fillId="0" borderId="0" xfId="9" applyNumberFormat="1" applyFont="1" applyAlignment="1">
      <alignment horizontal="left" vertical="top"/>
    </xf>
    <xf numFmtId="168" fontId="12" fillId="0" borderId="0" xfId="9" applyFont="1" applyAlignment="1">
      <alignment horizontal="left" vertical="top" wrapText="1"/>
    </xf>
    <xf numFmtId="168" fontId="12" fillId="0" borderId="0" xfId="9" applyFont="1" applyAlignment="1">
      <alignment vertical="top" wrapText="1"/>
    </xf>
    <xf numFmtId="168" fontId="12" fillId="0" borderId="0" xfId="9" applyFont="1" applyAlignment="1">
      <alignment horizontal="center" vertical="top" wrapText="1"/>
    </xf>
    <xf numFmtId="168" fontId="12" fillId="0" borderId="0" xfId="9" applyFont="1">
      <alignment vertical="top"/>
    </xf>
    <xf numFmtId="168" fontId="12" fillId="0" borderId="0" xfId="9" applyFont="1" applyAlignment="1">
      <alignment vertical="center"/>
    </xf>
    <xf numFmtId="3" fontId="12" fillId="0" borderId="0" xfId="3" applyNumberFormat="1" applyFont="1">
      <alignment vertical="top"/>
    </xf>
    <xf numFmtId="168" fontId="28" fillId="0" borderId="0" xfId="9" applyFont="1" applyAlignment="1">
      <alignment vertical="top" wrapText="1"/>
    </xf>
    <xf numFmtId="168" fontId="2" fillId="0" borderId="0" xfId="0" applyNumberFormat="1" applyFont="1"/>
    <xf numFmtId="170" fontId="2" fillId="0" borderId="0" xfId="0" applyNumberFormat="1" applyFont="1"/>
    <xf numFmtId="168" fontId="9" fillId="0" borderId="0" xfId="0" applyNumberFormat="1" applyFont="1"/>
    <xf numFmtId="170" fontId="9" fillId="0" borderId="0" xfId="0" applyNumberFormat="1" applyFont="1"/>
    <xf numFmtId="170" fontId="4" fillId="0" borderId="0" xfId="0" applyNumberFormat="1" applyFont="1"/>
    <xf numFmtId="0" fontId="4" fillId="0" borderId="1" xfId="0" applyFont="1" applyBorder="1"/>
    <xf numFmtId="4" fontId="7" fillId="0" borderId="0" xfId="0" applyNumberFormat="1" applyFont="1" applyProtection="1">
      <protection locked="0"/>
    </xf>
    <xf numFmtId="0" fontId="23" fillId="0" borderId="0" xfId="0" applyFont="1"/>
    <xf numFmtId="0" fontId="23" fillId="0" borderId="6" xfId="0" applyFont="1" applyBorder="1"/>
    <xf numFmtId="0" fontId="4" fillId="0" borderId="6" xfId="0" applyFont="1" applyBorder="1" applyAlignment="1">
      <alignment horizontal="left"/>
    </xf>
    <xf numFmtId="0" fontId="2" fillId="0" borderId="0" xfId="0" applyFont="1" applyAlignment="1">
      <alignment vertical="top"/>
    </xf>
    <xf numFmtId="0" fontId="28" fillId="0" borderId="0" xfId="0" applyFont="1"/>
    <xf numFmtId="0" fontId="4" fillId="0" borderId="1" xfId="0" applyFont="1" applyBorder="1" applyAlignment="1">
      <alignment horizontal="center"/>
    </xf>
    <xf numFmtId="0" fontId="6" fillId="0" borderId="0" xfId="0" applyFont="1" applyAlignment="1">
      <alignment horizontal="center"/>
    </xf>
    <xf numFmtId="0" fontId="8" fillId="0" borderId="0" xfId="0" applyFont="1" applyAlignment="1">
      <alignment horizontal="center"/>
    </xf>
    <xf numFmtId="0" fontId="2" fillId="0" borderId="0" xfId="0" applyFont="1" applyAlignment="1">
      <alignment vertical="center"/>
    </xf>
    <xf numFmtId="172" fontId="4" fillId="0" borderId="0" xfId="0" applyNumberFormat="1" applyFont="1"/>
    <xf numFmtId="7" fontId="2" fillId="0" borderId="0" xfId="0" applyNumberFormat="1" applyFont="1"/>
    <xf numFmtId="9" fontId="7" fillId="0" borderId="0" xfId="0" applyNumberFormat="1" applyFont="1" applyProtection="1">
      <protection locked="0"/>
    </xf>
    <xf numFmtId="7" fontId="2" fillId="0" borderId="0" xfId="0" applyNumberFormat="1" applyFont="1" applyAlignment="1">
      <alignment horizontal="center"/>
    </xf>
    <xf numFmtId="175" fontId="4" fillId="0" borderId="0" xfId="0" applyNumberFormat="1" applyFont="1"/>
    <xf numFmtId="0" fontId="29" fillId="0" borderId="0" xfId="0" applyFont="1" applyAlignment="1">
      <alignment horizontal="left"/>
    </xf>
    <xf numFmtId="0" fontId="29" fillId="0" borderId="0" xfId="0" applyFont="1"/>
    <xf numFmtId="0" fontId="7" fillId="0" borderId="0" xfId="0" applyFont="1" applyAlignment="1" applyProtection="1">
      <alignment horizontal="center"/>
      <protection locked="0"/>
    </xf>
    <xf numFmtId="175" fontId="4" fillId="0" borderId="0" xfId="0" applyNumberFormat="1" applyFont="1" applyAlignment="1">
      <alignment horizontal="center"/>
    </xf>
    <xf numFmtId="0" fontId="7" fillId="0" borderId="0" xfId="0" applyFont="1" applyAlignment="1">
      <alignment horizontal="center"/>
    </xf>
    <xf numFmtId="0" fontId="0" fillId="0" borderId="1" xfId="0" applyBorder="1"/>
    <xf numFmtId="0" fontId="4" fillId="0" borderId="0" xfId="0" applyFont="1" applyAlignment="1">
      <alignment horizontal="centerContinuous"/>
    </xf>
    <xf numFmtId="0" fontId="5" fillId="0" borderId="0" xfId="0" applyFont="1" applyAlignment="1">
      <alignment horizontal="left"/>
    </xf>
    <xf numFmtId="0" fontId="5" fillId="0" borderId="0" xfId="0" applyFont="1" applyAlignment="1">
      <alignment horizontal="centerContinuous"/>
    </xf>
    <xf numFmtId="7" fontId="7" fillId="0" borderId="0" xfId="0" applyNumberFormat="1" applyFont="1" applyProtection="1">
      <protection locked="0"/>
    </xf>
    <xf numFmtId="168" fontId="7" fillId="0" borderId="0" xfId="0" applyNumberFormat="1" applyFont="1"/>
    <xf numFmtId="2" fontId="7" fillId="0" borderId="0" xfId="0" applyNumberFormat="1" applyFont="1" applyProtection="1">
      <protection locked="0"/>
    </xf>
    <xf numFmtId="7" fontId="7" fillId="0" borderId="0" xfId="0" applyNumberFormat="1" applyFont="1"/>
    <xf numFmtId="4" fontId="2" fillId="0" borderId="0" xfId="0" applyNumberFormat="1" applyFont="1"/>
    <xf numFmtId="168" fontId="5" fillId="0" borderId="0" xfId="0" applyNumberFormat="1" applyFont="1"/>
    <xf numFmtId="0" fontId="4" fillId="0" borderId="1" xfId="0" applyFont="1" applyBorder="1" applyAlignment="1">
      <alignment horizontal="center" wrapText="1"/>
    </xf>
    <xf numFmtId="0" fontId="2" fillId="0" borderId="0" xfId="3" applyFont="1" applyAlignment="1"/>
    <xf numFmtId="7" fontId="4" fillId="0" borderId="0" xfId="3" applyNumberFormat="1" applyFont="1" applyAlignment="1"/>
    <xf numFmtId="3" fontId="7" fillId="0" borderId="0" xfId="0" applyNumberFormat="1" applyFont="1" applyAlignment="1" applyProtection="1">
      <alignment horizontal="right"/>
      <protection locked="0"/>
    </xf>
    <xf numFmtId="0" fontId="11" fillId="0" borderId="0" xfId="0" applyFont="1" applyAlignment="1">
      <alignment horizontal="center"/>
    </xf>
    <xf numFmtId="5" fontId="4" fillId="0" borderId="0" xfId="3" applyNumberFormat="1" applyFont="1" applyAlignment="1"/>
    <xf numFmtId="0" fontId="4" fillId="0" borderId="7" xfId="0" applyFont="1" applyBorder="1" applyAlignment="1">
      <alignment horizontal="center"/>
    </xf>
    <xf numFmtId="4" fontId="7" fillId="0" borderId="0" xfId="0" applyNumberFormat="1" applyFont="1"/>
    <xf numFmtId="0" fontId="10" fillId="0" borderId="0" xfId="0" applyFont="1" applyProtection="1">
      <protection locked="0"/>
    </xf>
    <xf numFmtId="171" fontId="5" fillId="0" borderId="0" xfId="0" applyNumberFormat="1" applyFont="1"/>
    <xf numFmtId="3" fontId="4" fillId="0" borderId="0" xfId="0" applyNumberFormat="1" applyFont="1"/>
    <xf numFmtId="0" fontId="29" fillId="0" borderId="7" xfId="0" applyFont="1" applyBorder="1" applyProtection="1">
      <protection locked="0"/>
    </xf>
    <xf numFmtId="7" fontId="29" fillId="0" borderId="7" xfId="3" applyNumberFormat="1" applyFont="1" applyBorder="1" applyAlignment="1"/>
    <xf numFmtId="5" fontId="29" fillId="0" borderId="7" xfId="3" applyNumberFormat="1" applyFont="1" applyBorder="1" applyAlignment="1"/>
    <xf numFmtId="0" fontId="23" fillId="0" borderId="0" xfId="0" applyFont="1" applyProtection="1">
      <protection locked="0"/>
    </xf>
    <xf numFmtId="5" fontId="4" fillId="0" borderId="0" xfId="3" applyNumberFormat="1" applyFont="1" applyAlignment="1">
      <alignment horizontal="right"/>
    </xf>
    <xf numFmtId="0" fontId="24" fillId="0" borderId="1" xfId="0" applyFont="1" applyBorder="1" applyAlignment="1">
      <alignment horizontal="center" wrapText="1"/>
    </xf>
    <xf numFmtId="0" fontId="14" fillId="0" borderId="0" xfId="0" applyFont="1" applyAlignment="1" applyProtection="1">
      <alignment horizontal="center"/>
      <protection locked="0"/>
    </xf>
    <xf numFmtId="0" fontId="4" fillId="0" borderId="0" xfId="0" applyFont="1" applyAlignment="1">
      <alignment horizontal="right"/>
    </xf>
    <xf numFmtId="0" fontId="4" fillId="0" borderId="0" xfId="0" applyFont="1" applyAlignment="1">
      <alignment horizontal="left"/>
    </xf>
    <xf numFmtId="2" fontId="4" fillId="0" borderId="0" xfId="0" applyNumberFormat="1" applyFont="1" applyAlignment="1">
      <alignment horizontal="center"/>
    </xf>
    <xf numFmtId="168" fontId="41" fillId="0" borderId="20" xfId="0" applyNumberFormat="1" applyFont="1" applyBorder="1" applyProtection="1">
      <protection locked="0"/>
    </xf>
    <xf numFmtId="7" fontId="4" fillId="0" borderId="21" xfId="0" applyNumberFormat="1" applyFont="1" applyBorder="1"/>
    <xf numFmtId="168" fontId="4" fillId="0" borderId="6" xfId="0" applyNumberFormat="1" applyFont="1" applyBorder="1"/>
    <xf numFmtId="168" fontId="28" fillId="0" borderId="0" xfId="9" applyFont="1">
      <alignment vertical="top"/>
    </xf>
    <xf numFmtId="0" fontId="42" fillId="0" borderId="1" xfId="0" applyFont="1" applyBorder="1" applyAlignment="1">
      <alignment horizontal="left" vertical="center"/>
    </xf>
    <xf numFmtId="0" fontId="43" fillId="0" borderId="1" xfId="0" applyFont="1" applyBorder="1"/>
    <xf numFmtId="168" fontId="2" fillId="0" borderId="0" xfId="9" applyAlignment="1">
      <alignment horizontal="right" vertical="top"/>
    </xf>
    <xf numFmtId="168" fontId="4" fillId="0" borderId="0" xfId="9" applyFont="1">
      <alignment vertical="top"/>
    </xf>
    <xf numFmtId="0" fontId="0" fillId="0" borderId="1" xfId="8" applyFont="1" applyBorder="1" applyAlignment="1"/>
    <xf numFmtId="0" fontId="44" fillId="0" borderId="1" xfId="8" applyFont="1" applyBorder="1" applyAlignment="1">
      <alignment horizontal="right"/>
    </xf>
    <xf numFmtId="0" fontId="0" fillId="0" borderId="0" xfId="8" applyFont="1" applyAlignment="1"/>
    <xf numFmtId="0" fontId="44" fillId="0" borderId="0" xfId="8" applyFont="1" applyAlignment="1">
      <alignment horizontal="right"/>
    </xf>
    <xf numFmtId="0" fontId="0" fillId="0" borderId="0" xfId="8" applyFont="1" applyAlignment="1">
      <alignment horizontal="right"/>
    </xf>
    <xf numFmtId="169" fontId="0" fillId="0" borderId="0" xfId="8" applyNumberFormat="1" applyFont="1" applyAlignment="1"/>
    <xf numFmtId="168" fontId="0" fillId="0" borderId="0" xfId="8" applyNumberFormat="1" applyFont="1" applyAlignment="1"/>
    <xf numFmtId="0" fontId="28" fillId="0" borderId="0" xfId="8" applyFont="1" applyAlignment="1"/>
    <xf numFmtId="168" fontId="5" fillId="0" borderId="0" xfId="9" applyFont="1">
      <alignment vertical="top"/>
    </xf>
    <xf numFmtId="0" fontId="0" fillId="0" borderId="6" xfId="0" applyBorder="1" applyAlignment="1">
      <alignment wrapText="1"/>
    </xf>
    <xf numFmtId="0" fontId="0" fillId="0" borderId="0" xfId="0" applyAlignment="1">
      <alignment wrapText="1"/>
    </xf>
    <xf numFmtId="0" fontId="15" fillId="0" borderId="8" xfId="0" applyFont="1" applyBorder="1"/>
    <xf numFmtId="0" fontId="3" fillId="0" borderId="9" xfId="0" applyFont="1" applyBorder="1"/>
    <xf numFmtId="0" fontId="4" fillId="0" borderId="9" xfId="0" applyFont="1" applyBorder="1" applyAlignment="1">
      <alignment vertical="center"/>
    </xf>
    <xf numFmtId="0" fontId="4" fillId="0" borderId="9" xfId="0" applyFont="1" applyBorder="1"/>
    <xf numFmtId="169" fontId="3" fillId="0" borderId="9" xfId="0" applyNumberFormat="1" applyFont="1" applyBorder="1" applyAlignment="1">
      <alignment horizontal="center"/>
    </xf>
    <xf numFmtId="169" fontId="3" fillId="0" borderId="10" xfId="0" applyNumberFormat="1" applyFont="1" applyBorder="1" applyAlignment="1">
      <alignment horizontal="center"/>
    </xf>
    <xf numFmtId="0" fontId="29" fillId="0" borderId="11" xfId="0" applyFont="1" applyBorder="1"/>
    <xf numFmtId="0" fontId="0" fillId="0" borderId="6" xfId="0" applyBorder="1"/>
    <xf numFmtId="0" fontId="0" fillId="0" borderId="12" xfId="0" applyBorder="1"/>
    <xf numFmtId="2" fontId="4" fillId="0" borderId="0" xfId="0" applyNumberFormat="1" applyFont="1"/>
    <xf numFmtId="0" fontId="2" fillId="0" borderId="0" xfId="0" applyFont="1" applyAlignment="1">
      <alignment horizontal="left"/>
    </xf>
    <xf numFmtId="0" fontId="15" fillId="0" borderId="0" xfId="0" applyFont="1" applyAlignment="1">
      <alignment horizontal="right"/>
    </xf>
    <xf numFmtId="164" fontId="45" fillId="0" borderId="0" xfId="2" applyNumberFormat="1" applyFont="1" applyAlignment="1" applyProtection="1"/>
    <xf numFmtId="168" fontId="23" fillId="0" borderId="0" xfId="9" applyFont="1" applyAlignment="1">
      <alignment horizontal="left" vertical="top" wrapText="1"/>
    </xf>
    <xf numFmtId="0" fontId="5" fillId="0" borderId="0" xfId="4" applyFont="1" applyAlignment="1"/>
    <xf numFmtId="0" fontId="2" fillId="0" borderId="0" xfId="4" applyFont="1" applyAlignment="1"/>
    <xf numFmtId="176" fontId="7" fillId="0" borderId="0" xfId="0" applyNumberFormat="1" applyFont="1" applyProtection="1">
      <protection locked="0"/>
    </xf>
    <xf numFmtId="3" fontId="41" fillId="0" borderId="0" xfId="4" applyNumberFormat="1" applyFont="1" applyAlignment="1" applyProtection="1">
      <alignment horizontal="right"/>
      <protection locked="0"/>
    </xf>
    <xf numFmtId="8" fontId="4" fillId="0" borderId="0" xfId="4" applyNumberFormat="1" applyFont="1" applyAlignment="1"/>
    <xf numFmtId="168" fontId="5" fillId="0" borderId="0" xfId="4" applyNumberFormat="1" applyFont="1" applyAlignment="1"/>
    <xf numFmtId="0" fontId="4" fillId="0" borderId="0" xfId="4" applyFont="1" applyAlignment="1"/>
    <xf numFmtId="7" fontId="4" fillId="0" borderId="0" xfId="4" applyNumberFormat="1" applyFont="1" applyAlignment="1"/>
    <xf numFmtId="5" fontId="7" fillId="0" borderId="0" xfId="4" applyNumberFormat="1" applyFont="1" applyAlignment="1" applyProtection="1">
      <protection locked="0"/>
    </xf>
    <xf numFmtId="9" fontId="4" fillId="0" borderId="0" xfId="4" applyNumberFormat="1" applyFont="1" applyAlignment="1"/>
    <xf numFmtId="10" fontId="7" fillId="0" borderId="0" xfId="0" applyNumberFormat="1" applyFont="1" applyAlignment="1" applyProtection="1">
      <alignment horizontal="right"/>
      <protection locked="0"/>
    </xf>
    <xf numFmtId="0" fontId="46" fillId="0" borderId="0" xfId="0" applyFont="1" applyAlignment="1">
      <alignment horizontal="center"/>
    </xf>
    <xf numFmtId="6" fontId="4" fillId="0" borderId="0" xfId="0" applyNumberFormat="1" applyFont="1"/>
    <xf numFmtId="6" fontId="5" fillId="0" borderId="0" xfId="0" applyNumberFormat="1" applyFont="1"/>
    <xf numFmtId="5" fontId="4" fillId="0" borderId="0" xfId="4" applyNumberFormat="1" applyFont="1" applyAlignment="1"/>
    <xf numFmtId="1" fontId="4" fillId="0" borderId="0" xfId="0" applyNumberFormat="1" applyFont="1"/>
    <xf numFmtId="168" fontId="2" fillId="0" borderId="0" xfId="9" applyAlignment="1">
      <alignment vertical="top" wrapText="1"/>
    </xf>
    <xf numFmtId="1" fontId="4" fillId="0" borderId="0" xfId="0" applyNumberFormat="1" applyFont="1" applyAlignment="1">
      <alignment horizontal="center"/>
    </xf>
    <xf numFmtId="0" fontId="4" fillId="0" borderId="0" xfId="3" applyFont="1" applyAlignment="1"/>
    <xf numFmtId="0" fontId="23" fillId="0" borderId="0" xfId="4" applyAlignment="1"/>
    <xf numFmtId="168" fontId="2" fillId="0" borderId="0" xfId="9" applyAlignment="1">
      <alignment horizontal="left" wrapText="1"/>
    </xf>
    <xf numFmtId="168" fontId="2" fillId="0" borderId="0" xfId="9" applyAlignment="1"/>
    <xf numFmtId="168" fontId="23" fillId="0" borderId="0" xfId="9" applyFont="1" applyAlignment="1">
      <alignment horizontal="left"/>
    </xf>
    <xf numFmtId="168" fontId="23" fillId="0" borderId="0" xfId="9" applyFont="1" applyAlignment="1">
      <alignment horizontal="left" wrapText="1"/>
    </xf>
    <xf numFmtId="168" fontId="33" fillId="0" borderId="0" xfId="9" applyFont="1" applyAlignment="1"/>
    <xf numFmtId="168" fontId="23" fillId="0" borderId="0" xfId="9" applyFont="1">
      <alignment vertical="top"/>
    </xf>
    <xf numFmtId="169" fontId="2" fillId="0" borderId="0" xfId="0" applyNumberFormat="1" applyFont="1"/>
    <xf numFmtId="0" fontId="15" fillId="0" borderId="0" xfId="0" applyFont="1" applyAlignment="1">
      <alignment vertical="top"/>
    </xf>
    <xf numFmtId="0" fontId="2" fillId="0" borderId="0" xfId="0" applyFont="1" applyAlignment="1">
      <alignment horizontal="right"/>
    </xf>
    <xf numFmtId="171" fontId="7" fillId="0" borderId="0" xfId="0" applyNumberFormat="1" applyFont="1" applyAlignment="1" applyProtection="1">
      <alignment horizontal="center"/>
      <protection locked="0"/>
    </xf>
    <xf numFmtId="9" fontId="7" fillId="0" borderId="0" xfId="0" applyNumberFormat="1" applyFont="1" applyAlignment="1" applyProtection="1">
      <alignment horizontal="center"/>
      <protection locked="0"/>
    </xf>
    <xf numFmtId="177" fontId="7" fillId="0" borderId="0" xfId="0" applyNumberFormat="1" applyFont="1" applyProtection="1">
      <protection locked="0"/>
    </xf>
    <xf numFmtId="0" fontId="2" fillId="0" borderId="0" xfId="4" applyFont="1" applyAlignment="1">
      <alignment horizontal="center"/>
    </xf>
    <xf numFmtId="8" fontId="2" fillId="0" borderId="0" xfId="4" applyNumberFormat="1" applyFont="1" applyAlignment="1"/>
    <xf numFmtId="8" fontId="4" fillId="2" borderId="0" xfId="4" applyNumberFormat="1" applyFont="1" applyFill="1" applyAlignment="1"/>
    <xf numFmtId="9" fontId="4" fillId="0" borderId="0" xfId="1" applyNumberFormat="1" applyFont="1" applyAlignment="1">
      <alignment horizontal="right" vertical="justify"/>
    </xf>
    <xf numFmtId="171" fontId="41" fillId="0" borderId="0" xfId="0" applyNumberFormat="1" applyFont="1" applyProtection="1">
      <protection locked="0"/>
    </xf>
    <xf numFmtId="9" fontId="41" fillId="0" borderId="0" xfId="1" applyNumberFormat="1" applyFont="1" applyAlignment="1">
      <alignment horizontal="right" vertical="justify"/>
    </xf>
    <xf numFmtId="0" fontId="0" fillId="3" borderId="0" xfId="0" applyFill="1"/>
    <xf numFmtId="0" fontId="2" fillId="3" borderId="0" xfId="4" applyFont="1" applyFill="1" applyAlignment="1"/>
    <xf numFmtId="0" fontId="2" fillId="0" borderId="0" xfId="4" applyFont="1" applyAlignment="1">
      <alignment wrapText="1"/>
    </xf>
    <xf numFmtId="9" fontId="41" fillId="0" borderId="0" xfId="1" applyNumberFormat="1" applyFont="1" applyFill="1" applyAlignment="1">
      <alignment horizontal="right" vertical="justify"/>
    </xf>
    <xf numFmtId="6" fontId="0" fillId="0" borderId="0" xfId="0" applyNumberFormat="1"/>
    <xf numFmtId="6" fontId="2" fillId="0" borderId="0" xfId="4" applyNumberFormat="1" applyFont="1" applyAlignment="1"/>
    <xf numFmtId="173" fontId="4" fillId="0" borderId="0" xfId="0" applyNumberFormat="1" applyFont="1"/>
    <xf numFmtId="174" fontId="41" fillId="0" borderId="0" xfId="0" applyNumberFormat="1" applyFont="1"/>
    <xf numFmtId="0" fontId="4" fillId="2" borderId="0" xfId="4" applyFont="1" applyFill="1" applyAlignment="1"/>
    <xf numFmtId="0" fontId="2" fillId="2" borderId="0" xfId="4" applyFont="1" applyFill="1" applyAlignment="1"/>
    <xf numFmtId="0" fontId="2" fillId="0" borderId="15" xfId="4" applyFont="1" applyBorder="1" applyAlignment="1"/>
    <xf numFmtId="0" fontId="2" fillId="0" borderId="8" xfId="4" applyFont="1" applyBorder="1" applyAlignment="1"/>
    <xf numFmtId="0" fontId="2" fillId="0" borderId="9" xfId="4" applyFont="1" applyBorder="1" applyAlignment="1"/>
    <xf numFmtId="0" fontId="2" fillId="0" borderId="10" xfId="4" applyFont="1" applyBorder="1" applyAlignment="1"/>
    <xf numFmtId="0" fontId="2" fillId="0" borderId="16" xfId="4" applyFont="1" applyBorder="1" applyAlignment="1"/>
    <xf numFmtId="0" fontId="2" fillId="0" borderId="14" xfId="4" applyFont="1" applyBorder="1" applyAlignment="1"/>
    <xf numFmtId="0" fontId="2" fillId="0" borderId="13" xfId="4" applyFont="1" applyBorder="1" applyAlignment="1"/>
    <xf numFmtId="0" fontId="2" fillId="0" borderId="0" xfId="4" applyFont="1" applyAlignment="1">
      <alignment horizontal="right"/>
    </xf>
    <xf numFmtId="7" fontId="4" fillId="0" borderId="0" xfId="0" applyNumberFormat="1" applyFont="1"/>
    <xf numFmtId="0" fontId="47" fillId="0" borderId="0" xfId="0" applyFont="1"/>
    <xf numFmtId="0" fontId="2" fillId="2" borderId="0" xfId="0" applyFont="1" applyFill="1"/>
    <xf numFmtId="0" fontId="48" fillId="0" borderId="0" xfId="0" applyFont="1"/>
    <xf numFmtId="0" fontId="2" fillId="2" borderId="8" xfId="0" applyFont="1" applyFill="1" applyBorder="1"/>
    <xf numFmtId="0" fontId="2" fillId="2" borderId="10" xfId="0" applyFont="1" applyFill="1" applyBorder="1"/>
    <xf numFmtId="0" fontId="2" fillId="2" borderId="14" xfId="0" applyFont="1" applyFill="1" applyBorder="1"/>
    <xf numFmtId="0" fontId="2" fillId="2" borderId="13" xfId="0" applyFont="1" applyFill="1" applyBorder="1"/>
    <xf numFmtId="0" fontId="2" fillId="2" borderId="11" xfId="0" applyFont="1" applyFill="1" applyBorder="1"/>
    <xf numFmtId="0" fontId="2" fillId="2" borderId="12" xfId="0" applyFont="1" applyFill="1" applyBorder="1"/>
    <xf numFmtId="0" fontId="2" fillId="0" borderId="6" xfId="0" applyFont="1" applyBorder="1"/>
    <xf numFmtId="0" fontId="41" fillId="0" borderId="0" xfId="0" applyFont="1"/>
    <xf numFmtId="3" fontId="2" fillId="0" borderId="0" xfId="0" applyNumberFormat="1" applyFont="1"/>
    <xf numFmtId="3" fontId="2" fillId="0" borderId="1" xfId="0" applyNumberFormat="1" applyFont="1" applyBorder="1"/>
    <xf numFmtId="0" fontId="23" fillId="0" borderId="0" xfId="0" applyFont="1" applyAlignment="1">
      <alignment vertical="center"/>
    </xf>
    <xf numFmtId="3" fontId="4" fillId="0" borderId="0" xfId="0" applyNumberFormat="1" applyFont="1" applyAlignment="1">
      <alignment horizontal="center"/>
    </xf>
    <xf numFmtId="3" fontId="2" fillId="0" borderId="0" xfId="0" applyNumberFormat="1" applyFont="1" applyAlignment="1">
      <alignment horizontal="center"/>
    </xf>
    <xf numFmtId="0" fontId="29" fillId="0" borderId="1" xfId="0" applyFont="1" applyBorder="1" applyAlignment="1">
      <alignment horizontal="center" wrapText="1"/>
    </xf>
    <xf numFmtId="178" fontId="4" fillId="0" borderId="0" xfId="0" applyNumberFormat="1" applyFont="1"/>
    <xf numFmtId="0" fontId="34" fillId="0" borderId="0" xfId="0" applyFont="1"/>
    <xf numFmtId="16" fontId="2" fillId="0" borderId="0" xfId="0" applyNumberFormat="1" applyFont="1"/>
    <xf numFmtId="179" fontId="2" fillId="0" borderId="0" xfId="0" applyNumberFormat="1" applyFont="1"/>
    <xf numFmtId="0" fontId="36" fillId="0" borderId="0" xfId="0" applyFont="1" applyAlignment="1">
      <alignment vertical="center"/>
    </xf>
    <xf numFmtId="0" fontId="0" fillId="0" borderId="0" xfId="0" applyAlignment="1">
      <alignment vertical="center"/>
    </xf>
    <xf numFmtId="0" fontId="19" fillId="0" borderId="0" xfId="0" applyFont="1" applyAlignment="1">
      <alignment vertical="center"/>
    </xf>
    <xf numFmtId="0" fontId="37" fillId="0" borderId="0" xfId="0" applyFont="1" applyAlignment="1">
      <alignment vertical="center"/>
    </xf>
    <xf numFmtId="0" fontId="49" fillId="0" borderId="0" xfId="0" applyFont="1"/>
    <xf numFmtId="0" fontId="50" fillId="0" borderId="0" xfId="0" applyFont="1" applyAlignment="1">
      <alignment horizontal="center"/>
    </xf>
    <xf numFmtId="0" fontId="51" fillId="0" borderId="0" xfId="0" applyFont="1" applyAlignment="1">
      <alignment horizontal="right"/>
    </xf>
    <xf numFmtId="14" fontId="15" fillId="0" borderId="0" xfId="0" applyNumberFormat="1" applyFont="1"/>
    <xf numFmtId="14" fontId="15" fillId="0" borderId="0" xfId="0" applyNumberFormat="1" applyFont="1" applyAlignment="1">
      <alignment horizontal="right"/>
    </xf>
    <xf numFmtId="0" fontId="24" fillId="0" borderId="0" xfId="0" applyFont="1" applyAlignment="1">
      <alignment vertical="center"/>
    </xf>
    <xf numFmtId="0" fontId="52" fillId="0" borderId="0" xfId="0" applyFont="1" applyAlignment="1">
      <alignment wrapText="1"/>
    </xf>
    <xf numFmtId="3" fontId="24" fillId="0" borderId="0" xfId="0" applyNumberFormat="1" applyFont="1" applyAlignment="1">
      <alignment vertical="top" wrapText="1"/>
    </xf>
    <xf numFmtId="3" fontId="12" fillId="0" borderId="0" xfId="0" applyNumberFormat="1" applyFont="1"/>
    <xf numFmtId="0" fontId="24" fillId="0" borderId="1" xfId="0" applyFont="1" applyBorder="1"/>
    <xf numFmtId="3" fontId="41" fillId="0" borderId="0" xfId="0" applyNumberFormat="1" applyFont="1" applyProtection="1">
      <protection locked="0"/>
    </xf>
    <xf numFmtId="9" fontId="41" fillId="0" borderId="0" xfId="10" applyFont="1" applyProtection="1">
      <protection locked="0"/>
    </xf>
    <xf numFmtId="179" fontId="41" fillId="0" borderId="0" xfId="10" applyNumberFormat="1" applyFont="1" applyProtection="1">
      <protection locked="0"/>
    </xf>
    <xf numFmtId="0" fontId="41" fillId="0" borderId="0" xfId="0" applyFont="1" applyProtection="1">
      <protection locked="0"/>
    </xf>
    <xf numFmtId="3" fontId="41" fillId="0" borderId="1" xfId="0" applyNumberFormat="1" applyFont="1" applyBorder="1" applyProtection="1">
      <protection locked="0"/>
    </xf>
    <xf numFmtId="168" fontId="4" fillId="0" borderId="0" xfId="1" applyNumberFormat="1" applyFont="1" applyProtection="1"/>
    <xf numFmtId="10" fontId="4" fillId="0" borderId="0" xfId="10" applyNumberFormat="1" applyFont="1" applyProtection="1"/>
    <xf numFmtId="9" fontId="4" fillId="0" borderId="0" xfId="10" applyFont="1" applyProtection="1"/>
    <xf numFmtId="10" fontId="2" fillId="0" borderId="0" xfId="10" applyNumberFormat="1" applyFont="1"/>
    <xf numFmtId="0" fontId="44" fillId="0" borderId="1" xfId="8" applyFont="1" applyBorder="1" applyAlignment="1"/>
    <xf numFmtId="0" fontId="43" fillId="0" borderId="1" xfId="8" applyFont="1" applyBorder="1" applyAlignment="1">
      <alignment horizontal="right"/>
    </xf>
    <xf numFmtId="0" fontId="23" fillId="0" borderId="0" xfId="0" applyFont="1" applyAlignment="1">
      <alignment horizontal="right"/>
    </xf>
    <xf numFmtId="9" fontId="4" fillId="0" borderId="0" xfId="10" applyFont="1" applyProtection="1">
      <protection locked="0"/>
    </xf>
    <xf numFmtId="3" fontId="2" fillId="0" borderId="0" xfId="0" applyNumberFormat="1" applyFont="1" applyAlignment="1">
      <alignment horizontal="left"/>
    </xf>
    <xf numFmtId="179" fontId="4" fillId="0" borderId="0" xfId="0" applyNumberFormat="1" applyFont="1"/>
    <xf numFmtId="3" fontId="4" fillId="0" borderId="0" xfId="0" applyNumberFormat="1" applyFont="1" applyProtection="1">
      <protection locked="0"/>
    </xf>
    <xf numFmtId="171" fontId="0" fillId="0" borderId="0" xfId="0" applyNumberFormat="1"/>
    <xf numFmtId="179" fontId="0" fillId="0" borderId="0" xfId="0" applyNumberFormat="1"/>
    <xf numFmtId="171" fontId="0" fillId="0" borderId="0" xfId="0" applyNumberFormat="1" applyAlignment="1">
      <alignment vertical="center"/>
    </xf>
    <xf numFmtId="3" fontId="0" fillId="0" borderId="0" xfId="0" applyNumberFormat="1"/>
    <xf numFmtId="168" fontId="0" fillId="0" borderId="0" xfId="0" applyNumberFormat="1"/>
    <xf numFmtId="0" fontId="0" fillId="2" borderId="0" xfId="0" applyFill="1"/>
    <xf numFmtId="3" fontId="0" fillId="2" borderId="0" xfId="0" applyNumberFormat="1" applyFill="1"/>
    <xf numFmtId="168" fontId="0" fillId="2" borderId="0" xfId="0" applyNumberFormat="1" applyFill="1"/>
    <xf numFmtId="0" fontId="23" fillId="2" borderId="0" xfId="0" applyFont="1" applyFill="1"/>
    <xf numFmtId="0" fontId="2" fillId="0" borderId="0" xfId="0" applyFont="1" applyAlignment="1">
      <alignment horizontal="left" vertical="top" wrapText="1"/>
    </xf>
    <xf numFmtId="0" fontId="55" fillId="4" borderId="22" xfId="0" applyFont="1" applyFill="1" applyBorder="1" applyProtection="1">
      <protection locked="0"/>
    </xf>
    <xf numFmtId="0" fontId="33" fillId="0" borderId="0" xfId="0" applyFont="1" applyAlignment="1">
      <alignment horizontal="center" vertical="center"/>
    </xf>
    <xf numFmtId="0" fontId="1" fillId="2" borderId="0" xfId="0" applyFont="1" applyFill="1"/>
    <xf numFmtId="0" fontId="2" fillId="2" borderId="0" xfId="0" quotePrefix="1" applyFont="1" applyFill="1"/>
    <xf numFmtId="0" fontId="2" fillId="0" borderId="8" xfId="0" applyFont="1" applyBorder="1"/>
    <xf numFmtId="0" fontId="44" fillId="0" borderId="0" xfId="0" applyFont="1" applyAlignment="1">
      <alignment horizontal="center"/>
    </xf>
    <xf numFmtId="171" fontId="44" fillId="0" borderId="0" xfId="0" applyNumberFormat="1" applyFont="1" applyAlignment="1">
      <alignment horizontal="center"/>
    </xf>
    <xf numFmtId="0" fontId="44" fillId="0" borderId="0" xfId="1" applyNumberFormat="1" applyFont="1" applyAlignment="1">
      <alignment horizontal="right" vertical="justify"/>
    </xf>
    <xf numFmtId="171" fontId="44" fillId="0" borderId="0" xfId="1" applyNumberFormat="1" applyFont="1" applyAlignment="1">
      <alignment horizontal="right" vertical="justify"/>
    </xf>
    <xf numFmtId="9" fontId="44" fillId="0" borderId="0" xfId="1" applyNumberFormat="1" applyFont="1" applyAlignment="1">
      <alignment horizontal="right" vertical="justify"/>
    </xf>
    <xf numFmtId="9" fontId="44" fillId="0" borderId="0" xfId="0" applyNumberFormat="1" applyFont="1" applyAlignment="1">
      <alignment horizontal="center"/>
    </xf>
    <xf numFmtId="10" fontId="7" fillId="0" borderId="0" xfId="0" applyNumberFormat="1" applyFont="1" applyAlignment="1" applyProtection="1">
      <alignment horizontal="center"/>
      <protection locked="0"/>
    </xf>
    <xf numFmtId="10" fontId="0" fillId="0" borderId="0" xfId="0" applyNumberFormat="1"/>
    <xf numFmtId="10" fontId="4" fillId="0" borderId="0" xfId="0" applyNumberFormat="1" applyFont="1" applyAlignment="1">
      <alignment horizontal="center"/>
    </xf>
    <xf numFmtId="10" fontId="44" fillId="0" borderId="0" xfId="1" applyNumberFormat="1" applyFont="1" applyAlignment="1">
      <alignment horizontal="right" vertical="justify"/>
    </xf>
    <xf numFmtId="10" fontId="4" fillId="0" borderId="0" xfId="1" applyNumberFormat="1" applyFont="1" applyAlignment="1">
      <alignment horizontal="right" vertical="justify"/>
    </xf>
    <xf numFmtId="0" fontId="1" fillId="0" borderId="0" xfId="0" applyFont="1"/>
    <xf numFmtId="171" fontId="7" fillId="0" borderId="0" xfId="3" applyNumberFormat="1" applyFont="1" applyAlignment="1" applyProtection="1">
      <protection locked="0"/>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4" xfId="0" applyFont="1" applyBorder="1" applyAlignment="1">
      <alignment vertical="center"/>
    </xf>
    <xf numFmtId="0" fontId="21" fillId="0" borderId="0" xfId="0" applyFont="1" applyAlignment="1">
      <alignment vertical="center"/>
    </xf>
    <xf numFmtId="0" fontId="21" fillId="0" borderId="13" xfId="0" applyFont="1" applyBorder="1" applyAlignment="1">
      <alignment vertical="center"/>
    </xf>
    <xf numFmtId="0" fontId="21" fillId="0" borderId="11" xfId="0" applyFont="1" applyBorder="1" applyAlignment="1">
      <alignment vertical="center"/>
    </xf>
    <xf numFmtId="0" fontId="21" fillId="0" borderId="6" xfId="0" applyFont="1" applyBorder="1" applyAlignment="1">
      <alignment vertical="center"/>
    </xf>
    <xf numFmtId="0" fontId="21" fillId="0" borderId="12" xfId="0" applyFont="1" applyBorder="1" applyAlignment="1">
      <alignment vertical="center"/>
    </xf>
    <xf numFmtId="0" fontId="4" fillId="0" borderId="5" xfId="0" applyFont="1" applyBorder="1" applyAlignment="1">
      <alignment horizontal="center"/>
    </xf>
    <xf numFmtId="0" fontId="3" fillId="0" borderId="2" xfId="0" applyFont="1" applyBorder="1"/>
    <xf numFmtId="0" fontId="3" fillId="0" borderId="3" xfId="0" applyFont="1" applyBorder="1"/>
    <xf numFmtId="0" fontId="4" fillId="0" borderId="4" xfId="0" applyFont="1" applyBorder="1" applyAlignment="1">
      <alignment vertical="center"/>
    </xf>
    <xf numFmtId="169" fontId="4" fillId="0" borderId="5" xfId="0" applyNumberFormat="1" applyFont="1" applyBorder="1" applyAlignment="1">
      <alignment horizontal="center"/>
    </xf>
    <xf numFmtId="169" fontId="4" fillId="0" borderId="3" xfId="0" applyNumberFormat="1" applyFont="1" applyBorder="1" applyAlignment="1">
      <alignment horizontal="center"/>
    </xf>
    <xf numFmtId="1" fontId="4" fillId="0" borderId="5" xfId="0" applyNumberFormat="1" applyFont="1" applyBorder="1" applyAlignment="1">
      <alignment horizontal="center"/>
    </xf>
    <xf numFmtId="0" fontId="4" fillId="0" borderId="4" xfId="0" applyFont="1" applyBorder="1"/>
    <xf numFmtId="165" fontId="44" fillId="0" borderId="0" xfId="0" applyNumberFormat="1" applyFont="1" applyAlignment="1">
      <alignment horizontal="center"/>
    </xf>
    <xf numFmtId="168" fontId="44" fillId="0" borderId="0" xfId="0" applyNumberFormat="1" applyFont="1" applyAlignment="1">
      <alignment horizontal="center"/>
    </xf>
    <xf numFmtId="0" fontId="42" fillId="0" borderId="0" xfId="0" applyFont="1"/>
    <xf numFmtId="0" fontId="57" fillId="0" borderId="0" xfId="0" applyFont="1" applyAlignment="1">
      <alignment horizontal="center"/>
    </xf>
    <xf numFmtId="168" fontId="28" fillId="0" borderId="0" xfId="9" applyFont="1" applyAlignment="1">
      <alignment horizontal="left" vertical="top" wrapText="1"/>
    </xf>
    <xf numFmtId="168" fontId="26" fillId="0" borderId="0" xfId="9" applyFont="1" applyAlignment="1">
      <alignment horizontal="center"/>
    </xf>
    <xf numFmtId="168" fontId="25" fillId="0" borderId="0" xfId="9" applyFont="1" applyAlignment="1">
      <alignment horizontal="center"/>
    </xf>
    <xf numFmtId="168" fontId="26" fillId="0" borderId="0" xfId="9" applyFont="1" applyAlignment="1">
      <alignment horizontal="center" vertical="center"/>
    </xf>
    <xf numFmtId="168" fontId="12" fillId="0" borderId="0" xfId="9" applyFont="1" applyAlignment="1">
      <alignment horizontal="left" vertical="top" wrapText="1"/>
    </xf>
    <xf numFmtId="168" fontId="23" fillId="0" borderId="0" xfId="9" applyFont="1" applyAlignment="1">
      <alignment horizontal="left" vertical="top" wrapText="1"/>
    </xf>
    <xf numFmtId="0" fontId="46" fillId="5" borderId="0" xfId="0" applyFont="1" applyFill="1" applyAlignment="1">
      <alignment horizontal="center"/>
    </xf>
    <xf numFmtId="0" fontId="23" fillId="0" borderId="0" xfId="0" applyFont="1" applyAlignment="1">
      <alignment horizontal="right" vertical="center"/>
    </xf>
    <xf numFmtId="0" fontId="23" fillId="0" borderId="0" xfId="0" applyFont="1" applyAlignment="1">
      <alignment horizontal="center" vertical="center"/>
    </xf>
    <xf numFmtId="0" fontId="53" fillId="5" borderId="0" xfId="0" applyFont="1" applyFill="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53" fillId="5" borderId="0" xfId="0" applyFont="1" applyFill="1" applyAlignment="1">
      <alignment horizontal="center" vertical="center"/>
    </xf>
    <xf numFmtId="0" fontId="2" fillId="0" borderId="0" xfId="0" applyFont="1" applyAlignment="1">
      <alignment horizontal="left" vertical="top" wrapText="1"/>
    </xf>
    <xf numFmtId="179" fontId="4" fillId="0" borderId="0" xfId="0" applyNumberFormat="1" applyFont="1" applyAlignment="1">
      <alignment horizontal="left"/>
    </xf>
    <xf numFmtId="179" fontId="41" fillId="0" borderId="0" xfId="10" applyNumberFormat="1" applyFont="1" applyAlignment="1" applyProtection="1">
      <alignment horizontal="right"/>
      <protection locked="0"/>
    </xf>
    <xf numFmtId="179" fontId="41" fillId="0" borderId="0" xfId="10" applyNumberFormat="1" applyFont="1" applyAlignment="1" applyProtection="1">
      <alignment horizontal="center"/>
      <protection locked="0"/>
    </xf>
    <xf numFmtId="179" fontId="4" fillId="0" borderId="0" xfId="0" applyNumberFormat="1" applyFont="1" applyAlignment="1">
      <alignment horizontal="center"/>
    </xf>
    <xf numFmtId="0" fontId="56" fillId="0" borderId="0" xfId="11" applyAlignment="1">
      <alignment horizontal="center" vertical="center"/>
    </xf>
    <xf numFmtId="0" fontId="5" fillId="0" borderId="17" xfId="0" applyFont="1" applyBorder="1" applyAlignment="1">
      <alignment horizontal="center"/>
    </xf>
    <xf numFmtId="0" fontId="53" fillId="5" borderId="18" xfId="0" applyFont="1" applyFill="1" applyBorder="1" applyAlignment="1">
      <alignment horizontal="center" vertical="center"/>
    </xf>
    <xf numFmtId="0" fontId="53" fillId="5" borderId="7" xfId="0" applyFont="1" applyFill="1" applyBorder="1" applyAlignment="1">
      <alignment horizontal="center" vertical="center"/>
    </xf>
    <xf numFmtId="0" fontId="2" fillId="0" borderId="0" xfId="0" applyFont="1" applyAlignment="1">
      <alignment horizontal="left"/>
    </xf>
    <xf numFmtId="0" fontId="24" fillId="0" borderId="1" xfId="0" applyFont="1" applyBorder="1" applyAlignment="1" applyProtection="1">
      <alignment horizontal="center" wrapText="1"/>
      <protection locked="0"/>
    </xf>
    <xf numFmtId="0" fontId="4" fillId="0" borderId="1" xfId="0" applyFont="1" applyBorder="1" applyAlignment="1" applyProtection="1">
      <alignment horizontal="center"/>
      <protection locked="0"/>
    </xf>
    <xf numFmtId="0" fontId="24" fillId="0" borderId="0" xfId="0" applyFont="1" applyAlignment="1">
      <alignment horizontal="center" wrapText="1"/>
    </xf>
    <xf numFmtId="0" fontId="24" fillId="0" borderId="1" xfId="0" applyFont="1" applyBorder="1" applyAlignment="1">
      <alignment horizontal="center" wrapText="1"/>
    </xf>
    <xf numFmtId="168" fontId="54" fillId="5" borderId="0" xfId="9" applyFont="1" applyFill="1" applyAlignment="1">
      <alignment horizontal="center" vertical="top"/>
    </xf>
    <xf numFmtId="168" fontId="2" fillId="0" borderId="0" xfId="9" applyAlignment="1">
      <alignment horizontal="left" vertical="top" wrapText="1"/>
    </xf>
    <xf numFmtId="168" fontId="2" fillId="0" borderId="0" xfId="9" applyAlignment="1">
      <alignment vertical="top" wrapText="1"/>
    </xf>
    <xf numFmtId="0" fontId="0" fillId="0" borderId="0" xfId="8" applyFont="1" applyAlignment="1">
      <alignment vertical="top" wrapText="1"/>
    </xf>
    <xf numFmtId="0" fontId="2" fillId="0" borderId="0" xfId="0" applyFont="1" applyAlignment="1">
      <alignment vertical="top" wrapText="1"/>
    </xf>
    <xf numFmtId="0" fontId="0" fillId="0" borderId="0" xfId="0" applyAlignment="1">
      <alignment wrapText="1"/>
    </xf>
    <xf numFmtId="0" fontId="3" fillId="0" borderId="0" xfId="0" applyFont="1" applyAlignment="1">
      <alignment vertical="top" wrapText="1"/>
    </xf>
    <xf numFmtId="0" fontId="0" fillId="0" borderId="0" xfId="0" applyAlignment="1">
      <alignment vertical="top" wrapText="1"/>
    </xf>
    <xf numFmtId="0" fontId="53" fillId="5" borderId="0" xfId="0" applyFont="1" applyFill="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4" fillId="0" borderId="8" xfId="0" applyFont="1" applyBorder="1" applyAlignment="1">
      <alignment horizontal="center" wrapText="1"/>
    </xf>
    <xf numFmtId="0" fontId="44" fillId="0" borderId="9" xfId="0" applyFont="1" applyBorder="1" applyAlignment="1">
      <alignment horizontal="center" wrapText="1"/>
    </xf>
    <xf numFmtId="0" fontId="44" fillId="0" borderId="10" xfId="0" applyFont="1" applyBorder="1" applyAlignment="1">
      <alignment horizontal="center" wrapText="1"/>
    </xf>
    <xf numFmtId="0" fontId="44" fillId="0" borderId="14" xfId="0" applyFont="1" applyBorder="1" applyAlignment="1">
      <alignment horizontal="center" wrapText="1"/>
    </xf>
    <xf numFmtId="0" fontId="44" fillId="0" borderId="0" xfId="0" applyFont="1" applyAlignment="1">
      <alignment horizontal="center" wrapText="1"/>
    </xf>
    <xf numFmtId="0" fontId="44" fillId="0" borderId="13" xfId="0" applyFont="1" applyBorder="1" applyAlignment="1">
      <alignment horizontal="center" wrapText="1"/>
    </xf>
    <xf numFmtId="0" fontId="44" fillId="0" borderId="11" xfId="0" applyFont="1" applyBorder="1" applyAlignment="1">
      <alignment horizontal="center" wrapText="1"/>
    </xf>
    <xf numFmtId="0" fontId="44" fillId="0" borderId="6" xfId="0" applyFont="1" applyBorder="1" applyAlignment="1">
      <alignment horizontal="center" wrapText="1"/>
    </xf>
    <xf numFmtId="0" fontId="44" fillId="0" borderId="12" xfId="0" applyFont="1" applyBorder="1" applyAlignment="1">
      <alignment horizont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3" fontId="24" fillId="0" borderId="0" xfId="0" applyNumberFormat="1" applyFont="1" applyAlignment="1">
      <alignment horizontal="left" vertical="top" wrapText="1"/>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cellXfs>
  <cellStyles count="12">
    <cellStyle name="Currency" xfId="1" builtinId="4"/>
    <cellStyle name="Hyperlink" xfId="11" builtinId="8"/>
    <cellStyle name="Hyperlink 2" xfId="2"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_Farrow-Wean 500 2" xfId="9" xr:uid="{00000000-0005-0000-0000-00000A000000}"/>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c:f>
          <c:strCache>
            <c:ptCount val="1"/>
            <c:pt idx="0">
              <c:v>Impact of Stocking Rate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137578454867056"/>
          <c:w val="0.78850474106491597"/>
          <c:h val="0.45476115485564311"/>
        </c:manualLayout>
      </c:layout>
      <c:lineChart>
        <c:grouping val="standard"/>
        <c:varyColors val="0"/>
        <c:ser>
          <c:idx val="1"/>
          <c:order val="0"/>
          <c:tx>
            <c:strRef>
              <c:f>'Chart (HIDE)'!$C$6</c:f>
              <c:strCache>
                <c:ptCount val="1"/>
                <c:pt idx="0">
                  <c:v>Improved Pasture (from 94 hd)</c:v>
                </c:pt>
              </c:strCache>
            </c:strRef>
          </c:tx>
          <c:marker>
            <c:symbol val="none"/>
          </c:marker>
          <c:dPt>
            <c:idx val="3"/>
            <c:marker>
              <c:symbol val="auto"/>
            </c:marker>
            <c:bubble3D val="0"/>
            <c:spPr/>
            <c:extLst>
              <c:ext xmlns:c16="http://schemas.microsoft.com/office/drawing/2014/chart" uri="{C3380CC4-5D6E-409C-BE32-E72D297353CC}">
                <c16:uniqueId val="{00000001-7845-4BC1-A526-FEF5B85EFFEE}"/>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45-4BC1-A526-FEF5B85EFFE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(HIDE)'!$B$7:$B$13</c:f>
              <c:numCache>
                <c:formatCode>General</c:formatCode>
                <c:ptCount val="7"/>
                <c:pt idx="0">
                  <c:v>-6</c:v>
                </c:pt>
                <c:pt idx="1">
                  <c:v>-4</c:v>
                </c:pt>
                <c:pt idx="2">
                  <c:v>-2</c:v>
                </c:pt>
                <c:pt idx="3">
                  <c:v>0</c:v>
                </c:pt>
                <c:pt idx="4">
                  <c:v>2</c:v>
                </c:pt>
                <c:pt idx="5">
                  <c:v>4</c:v>
                </c:pt>
                <c:pt idx="6">
                  <c:v>6</c:v>
                </c:pt>
              </c:numCache>
            </c:numRef>
          </c:cat>
          <c:val>
            <c:numRef>
              <c:f>'Chart (HIDE)'!$C$7:$C$13</c:f>
              <c:numCache>
                <c:formatCode>"$"#,##0.00_);[Red]\("$"#,##0.00\)</c:formatCode>
                <c:ptCount val="7"/>
                <c:pt idx="0">
                  <c:v>1.51</c:v>
                </c:pt>
                <c:pt idx="1">
                  <c:v>1.48</c:v>
                </c:pt>
                <c:pt idx="2">
                  <c:v>1.43</c:v>
                </c:pt>
                <c:pt idx="3">
                  <c:v>1.4094100000000003</c:v>
                </c:pt>
                <c:pt idx="4">
                  <c:v>1.38</c:v>
                </c:pt>
                <c:pt idx="5">
                  <c:v>1.36</c:v>
                </c:pt>
                <c:pt idx="6">
                  <c:v>1.32</c:v>
                </c:pt>
              </c:numCache>
            </c:numRef>
          </c:val>
          <c:smooth val="0"/>
          <c:extLst>
            <c:ext xmlns:c16="http://schemas.microsoft.com/office/drawing/2014/chart" uri="{C3380CC4-5D6E-409C-BE32-E72D297353CC}">
              <c16:uniqueId val="{00000002-7845-4BC1-A526-FEF5B85EFFEE}"/>
            </c:ext>
          </c:extLst>
        </c:ser>
        <c:ser>
          <c:idx val="0"/>
          <c:order val="1"/>
          <c:tx>
            <c:strRef>
              <c:f>'Chart (HIDE)'!$D$6</c:f>
              <c:strCache>
                <c:ptCount val="1"/>
                <c:pt idx="0">
                  <c:v>Marginal Pasture (from 32 hd)</c:v>
                </c:pt>
              </c:strCache>
            </c:strRef>
          </c:tx>
          <c:marker>
            <c:symbol val="none"/>
          </c:marker>
          <c:dPt>
            <c:idx val="3"/>
            <c:marker>
              <c:symbol val="auto"/>
            </c:marker>
            <c:bubble3D val="0"/>
            <c:extLst>
              <c:ext xmlns:c16="http://schemas.microsoft.com/office/drawing/2014/chart" uri="{C3380CC4-5D6E-409C-BE32-E72D297353CC}">
                <c16:uniqueId val="{00000003-7845-4BC1-A526-FEF5B85EFFEE}"/>
              </c:ext>
            </c:extLst>
          </c:dPt>
          <c:dLbls>
            <c:dLbl>
              <c:idx val="0"/>
              <c:delete val="1"/>
              <c:extLst>
                <c:ext xmlns:c15="http://schemas.microsoft.com/office/drawing/2012/chart" uri="{CE6537A1-D6FC-4f65-9D91-7224C49458BB}"/>
                <c:ext xmlns:c16="http://schemas.microsoft.com/office/drawing/2014/chart" uri="{C3380CC4-5D6E-409C-BE32-E72D297353CC}">
                  <c16:uniqueId val="{00000004-7845-4BC1-A526-FEF5B85EFFEE}"/>
                </c:ext>
              </c:extLst>
            </c:dLbl>
            <c:dLbl>
              <c:idx val="1"/>
              <c:delete val="1"/>
              <c:extLst>
                <c:ext xmlns:c15="http://schemas.microsoft.com/office/drawing/2012/chart" uri="{CE6537A1-D6FC-4f65-9D91-7224C49458BB}"/>
                <c:ext xmlns:c16="http://schemas.microsoft.com/office/drawing/2014/chart" uri="{C3380CC4-5D6E-409C-BE32-E72D297353CC}">
                  <c16:uniqueId val="{00000005-7845-4BC1-A526-FEF5B85EFFEE}"/>
                </c:ext>
              </c:extLst>
            </c:dLbl>
            <c:dLbl>
              <c:idx val="2"/>
              <c:delete val="1"/>
              <c:extLst>
                <c:ext xmlns:c15="http://schemas.microsoft.com/office/drawing/2012/chart" uri="{CE6537A1-D6FC-4f65-9D91-7224C49458BB}"/>
                <c:ext xmlns:c16="http://schemas.microsoft.com/office/drawing/2014/chart" uri="{C3380CC4-5D6E-409C-BE32-E72D297353CC}">
                  <c16:uniqueId val="{00000006-7845-4BC1-A526-FEF5B85EFFEE}"/>
                </c:ext>
              </c:extLst>
            </c:dLbl>
            <c:dLbl>
              <c:idx val="4"/>
              <c:delete val="1"/>
              <c:extLst>
                <c:ext xmlns:c15="http://schemas.microsoft.com/office/drawing/2012/chart" uri="{CE6537A1-D6FC-4f65-9D91-7224C49458BB}"/>
                <c:ext xmlns:c16="http://schemas.microsoft.com/office/drawing/2014/chart" uri="{C3380CC4-5D6E-409C-BE32-E72D297353CC}">
                  <c16:uniqueId val="{00000007-7845-4BC1-A526-FEF5B85EFFEE}"/>
                </c:ext>
              </c:extLst>
            </c:dLbl>
            <c:dLbl>
              <c:idx val="5"/>
              <c:delete val="1"/>
              <c:extLst>
                <c:ext xmlns:c15="http://schemas.microsoft.com/office/drawing/2012/chart" uri="{CE6537A1-D6FC-4f65-9D91-7224C49458BB}"/>
                <c:ext xmlns:c16="http://schemas.microsoft.com/office/drawing/2014/chart" uri="{C3380CC4-5D6E-409C-BE32-E72D297353CC}">
                  <c16:uniqueId val="{00000008-7845-4BC1-A526-FEF5B85EFFEE}"/>
                </c:ext>
              </c:extLst>
            </c:dLbl>
            <c:dLbl>
              <c:idx val="6"/>
              <c:delete val="1"/>
              <c:extLst>
                <c:ext xmlns:c15="http://schemas.microsoft.com/office/drawing/2012/chart" uri="{CE6537A1-D6FC-4f65-9D91-7224C49458BB}"/>
                <c:ext xmlns:c16="http://schemas.microsoft.com/office/drawing/2014/chart" uri="{C3380CC4-5D6E-409C-BE32-E72D297353CC}">
                  <c16:uniqueId val="{00000009-7845-4BC1-A526-FEF5B85EFFE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(HIDE)'!$D$7:$D$13</c:f>
              <c:numCache>
                <c:formatCode>"$"#,##0.00_);[Red]\("$"#,##0.00\)</c:formatCode>
                <c:ptCount val="7"/>
                <c:pt idx="0">
                  <c:v>1.7</c:v>
                </c:pt>
                <c:pt idx="1">
                  <c:v>1.51</c:v>
                </c:pt>
                <c:pt idx="2">
                  <c:v>1.43</c:v>
                </c:pt>
                <c:pt idx="3">
                  <c:v>1.3553074602314814</c:v>
                </c:pt>
                <c:pt idx="4">
                  <c:v>1.29</c:v>
                </c:pt>
                <c:pt idx="5">
                  <c:v>1.18</c:v>
                </c:pt>
                <c:pt idx="6">
                  <c:v>1.1299999999999999</c:v>
                </c:pt>
              </c:numCache>
            </c:numRef>
          </c:val>
          <c:smooth val="0"/>
          <c:extLst>
            <c:ext xmlns:c16="http://schemas.microsoft.com/office/drawing/2014/chart" uri="{C3380CC4-5D6E-409C-BE32-E72D297353CC}">
              <c16:uniqueId val="{0000000A-7845-4BC1-A526-FEF5B85EFFEE}"/>
            </c:ext>
          </c:extLst>
        </c:ser>
        <c:dLbls>
          <c:showLegendKey val="0"/>
          <c:showVal val="0"/>
          <c:showCatName val="0"/>
          <c:showSerName val="0"/>
          <c:showPercent val="0"/>
          <c:showBubbleSize val="0"/>
        </c:dLbls>
        <c:smooth val="0"/>
        <c:axId val="207576688"/>
        <c:axId val="1"/>
      </c:lineChart>
      <c:catAx>
        <c:axId val="207576688"/>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Pasture Stocking Rate</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576688"/>
        <c:crosses val="autoZero"/>
        <c:crossBetween val="between"/>
      </c:valAx>
      <c:spPr>
        <a:noFill/>
        <a:ln w="25400">
          <a:noFill/>
        </a:ln>
      </c:spPr>
    </c:plotArea>
    <c:legend>
      <c:legendPos val="b"/>
      <c:layout>
        <c:manualLayout>
          <c:xMode val="edge"/>
          <c:yMode val="edge"/>
          <c:x val="0"/>
          <c:y val="0.82949323642237027"/>
          <c:w val="0.99632241282339706"/>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'Pasture Ins Calc (HIDE)'!$D$90</c:f>
              <c:strCache>
                <c:ptCount val="1"/>
                <c:pt idx="0">
                  <c:v>Pasture Insurance Indemnity</c:v>
                </c:pt>
              </c:strCache>
            </c:strRef>
          </c:tx>
          <c:spPr>
            <a:ln w="28575" cap="rnd">
              <a:solidFill>
                <a:schemeClr val="tx1"/>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(HIDE)'!$H$91:$H$172</c:f>
              <c:numCache>
                <c:formatCode>"$"#,##0</c:formatCode>
                <c:ptCount val="82"/>
                <c:pt idx="0">
                  <c:v>0</c:v>
                </c:pt>
                <c:pt idx="1">
                  <c:v>228</c:v>
                </c:pt>
                <c:pt idx="2">
                  <c:v>608</c:v>
                </c:pt>
                <c:pt idx="3">
                  <c:v>988</c:v>
                </c:pt>
                <c:pt idx="4">
                  <c:v>1368</c:v>
                </c:pt>
                <c:pt idx="5">
                  <c:v>1748</c:v>
                </c:pt>
                <c:pt idx="6">
                  <c:v>2128</c:v>
                </c:pt>
                <c:pt idx="7">
                  <c:v>2508</c:v>
                </c:pt>
                <c:pt idx="8">
                  <c:v>2888</c:v>
                </c:pt>
                <c:pt idx="9">
                  <c:v>3268</c:v>
                </c:pt>
                <c:pt idx="10">
                  <c:v>3648</c:v>
                </c:pt>
                <c:pt idx="11">
                  <c:v>4028</c:v>
                </c:pt>
                <c:pt idx="12">
                  <c:v>4408</c:v>
                </c:pt>
                <c:pt idx="13">
                  <c:v>4788</c:v>
                </c:pt>
                <c:pt idx="14">
                  <c:v>5168</c:v>
                </c:pt>
                <c:pt idx="15">
                  <c:v>5548</c:v>
                </c:pt>
                <c:pt idx="16">
                  <c:v>5928</c:v>
                </c:pt>
                <c:pt idx="17">
                  <c:v>6308</c:v>
                </c:pt>
                <c:pt idx="18">
                  <c:v>6688</c:v>
                </c:pt>
                <c:pt idx="19">
                  <c:v>7068</c:v>
                </c:pt>
                <c:pt idx="20">
                  <c:v>7448</c:v>
                </c:pt>
                <c:pt idx="21">
                  <c:v>7828</c:v>
                </c:pt>
                <c:pt idx="22">
                  <c:v>8208</c:v>
                </c:pt>
                <c:pt idx="23">
                  <c:v>8588</c:v>
                </c:pt>
                <c:pt idx="24">
                  <c:v>8968</c:v>
                </c:pt>
                <c:pt idx="25">
                  <c:v>9348</c:v>
                </c:pt>
                <c:pt idx="26">
                  <c:v>9728</c:v>
                </c:pt>
                <c:pt idx="27">
                  <c:v>10108</c:v>
                </c:pt>
                <c:pt idx="28">
                  <c:v>10488</c:v>
                </c:pt>
                <c:pt idx="29">
                  <c:v>10868</c:v>
                </c:pt>
                <c:pt idx="30">
                  <c:v>11248</c:v>
                </c:pt>
                <c:pt idx="31">
                  <c:v>11628</c:v>
                </c:pt>
                <c:pt idx="32">
                  <c:v>12008</c:v>
                </c:pt>
                <c:pt idx="33">
                  <c:v>12388</c:v>
                </c:pt>
                <c:pt idx="34">
                  <c:v>12768</c:v>
                </c:pt>
                <c:pt idx="35">
                  <c:v>13148</c:v>
                </c:pt>
                <c:pt idx="36">
                  <c:v>13528</c:v>
                </c:pt>
                <c:pt idx="37">
                  <c:v>13908</c:v>
                </c:pt>
                <c:pt idx="38">
                  <c:v>14288</c:v>
                </c:pt>
                <c:pt idx="39">
                  <c:v>14668</c:v>
                </c:pt>
                <c:pt idx="40">
                  <c:v>15048</c:v>
                </c:pt>
                <c:pt idx="41">
                  <c:v>15428</c:v>
                </c:pt>
                <c:pt idx="42">
                  <c:v>15808</c:v>
                </c:pt>
                <c:pt idx="43">
                  <c:v>16188</c:v>
                </c:pt>
                <c:pt idx="44">
                  <c:v>16568</c:v>
                </c:pt>
                <c:pt idx="45">
                  <c:v>16948</c:v>
                </c:pt>
                <c:pt idx="46">
                  <c:v>17328</c:v>
                </c:pt>
                <c:pt idx="47">
                  <c:v>17708</c:v>
                </c:pt>
                <c:pt idx="48">
                  <c:v>18088</c:v>
                </c:pt>
                <c:pt idx="49">
                  <c:v>18468</c:v>
                </c:pt>
                <c:pt idx="50">
                  <c:v>18848</c:v>
                </c:pt>
                <c:pt idx="51">
                  <c:v>19228</c:v>
                </c:pt>
                <c:pt idx="52">
                  <c:v>19608</c:v>
                </c:pt>
                <c:pt idx="53">
                  <c:v>19988</c:v>
                </c:pt>
                <c:pt idx="54">
                  <c:v>20368</c:v>
                </c:pt>
                <c:pt idx="55">
                  <c:v>20748</c:v>
                </c:pt>
                <c:pt idx="56">
                  <c:v>21128</c:v>
                </c:pt>
                <c:pt idx="57">
                  <c:v>21508</c:v>
                </c:pt>
                <c:pt idx="58">
                  <c:v>21888</c:v>
                </c:pt>
                <c:pt idx="59">
                  <c:v>22268</c:v>
                </c:pt>
                <c:pt idx="60">
                  <c:v>22648</c:v>
                </c:pt>
                <c:pt idx="61">
                  <c:v>23028</c:v>
                </c:pt>
                <c:pt idx="62">
                  <c:v>23408</c:v>
                </c:pt>
                <c:pt idx="63">
                  <c:v>23788</c:v>
                </c:pt>
                <c:pt idx="64">
                  <c:v>24168</c:v>
                </c:pt>
                <c:pt idx="65">
                  <c:v>24548</c:v>
                </c:pt>
                <c:pt idx="66">
                  <c:v>24928</c:v>
                </c:pt>
                <c:pt idx="67">
                  <c:v>25308</c:v>
                </c:pt>
                <c:pt idx="68">
                  <c:v>25688</c:v>
                </c:pt>
                <c:pt idx="69">
                  <c:v>26068</c:v>
                </c:pt>
                <c:pt idx="70">
                  <c:v>26448</c:v>
                </c:pt>
                <c:pt idx="71">
                  <c:v>26828</c:v>
                </c:pt>
                <c:pt idx="72">
                  <c:v>27208</c:v>
                </c:pt>
                <c:pt idx="73">
                  <c:v>27588</c:v>
                </c:pt>
                <c:pt idx="74">
                  <c:v>27968</c:v>
                </c:pt>
                <c:pt idx="75">
                  <c:v>28348</c:v>
                </c:pt>
                <c:pt idx="76">
                  <c:v>28728</c:v>
                </c:pt>
                <c:pt idx="77">
                  <c:v>29108</c:v>
                </c:pt>
                <c:pt idx="78">
                  <c:v>29488</c:v>
                </c:pt>
                <c:pt idx="79">
                  <c:v>29868</c:v>
                </c:pt>
                <c:pt idx="80">
                  <c:v>30248</c:v>
                </c:pt>
                <c:pt idx="81">
                  <c:v>30628</c:v>
                </c:pt>
              </c:numCache>
            </c:numRef>
          </c:val>
          <c:smooth val="0"/>
          <c:extLst>
            <c:ext xmlns:c16="http://schemas.microsoft.com/office/drawing/2014/chart" uri="{C3380CC4-5D6E-409C-BE32-E72D297353CC}">
              <c16:uniqueId val="{00000000-355A-47B4-9507-9D80C535FC83}"/>
            </c:ext>
          </c:extLst>
        </c:ser>
        <c:ser>
          <c:idx val="1"/>
          <c:order val="1"/>
          <c:tx>
            <c:strRef>
              <c:f>'Pasture Ins Calc (HIDE)'!$F$90</c:f>
              <c:strCache>
                <c:ptCount val="1"/>
                <c:pt idx="0">
                  <c:v>Breakeven</c:v>
                </c:pt>
              </c:strCache>
            </c:strRef>
          </c:tx>
          <c:spPr>
            <a:ln w="28575" cap="rnd">
              <a:solidFill>
                <a:schemeClr val="tx1"/>
              </a:solidFill>
              <a:prstDash val="dash"/>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(HIDE)'!$F$91:$F$172</c:f>
              <c:numCache>
                <c:formatCode>"$"#,##0</c:formatCode>
                <c:ptCount val="82"/>
                <c:pt idx="0">
                  <c:v>751.57920000000013</c:v>
                </c:pt>
                <c:pt idx="1">
                  <c:v>751.57920000000013</c:v>
                </c:pt>
                <c:pt idx="2">
                  <c:v>751.57920000000013</c:v>
                </c:pt>
                <c:pt idx="3">
                  <c:v>751.57920000000013</c:v>
                </c:pt>
                <c:pt idx="4">
                  <c:v>751.57920000000013</c:v>
                </c:pt>
                <c:pt idx="5">
                  <c:v>751.57920000000013</c:v>
                </c:pt>
                <c:pt idx="6">
                  <c:v>751.57920000000013</c:v>
                </c:pt>
                <c:pt idx="7">
                  <c:v>751.57920000000013</c:v>
                </c:pt>
                <c:pt idx="8">
                  <c:v>751.57920000000013</c:v>
                </c:pt>
                <c:pt idx="9">
                  <c:v>751.57920000000013</c:v>
                </c:pt>
                <c:pt idx="10">
                  <c:v>751.57920000000013</c:v>
                </c:pt>
                <c:pt idx="11">
                  <c:v>751.57920000000013</c:v>
                </c:pt>
                <c:pt idx="12">
                  <c:v>751.57920000000013</c:v>
                </c:pt>
                <c:pt idx="13">
                  <c:v>751.57920000000013</c:v>
                </c:pt>
                <c:pt idx="14">
                  <c:v>751.57920000000013</c:v>
                </c:pt>
                <c:pt idx="15">
                  <c:v>751.57920000000013</c:v>
                </c:pt>
                <c:pt idx="16">
                  <c:v>751.57920000000013</c:v>
                </c:pt>
                <c:pt idx="17">
                  <c:v>751.57920000000013</c:v>
                </c:pt>
                <c:pt idx="18">
                  <c:v>751.57920000000013</c:v>
                </c:pt>
                <c:pt idx="19">
                  <c:v>751.57920000000013</c:v>
                </c:pt>
                <c:pt idx="20">
                  <c:v>751.57920000000013</c:v>
                </c:pt>
                <c:pt idx="21">
                  <c:v>751.57920000000013</c:v>
                </c:pt>
                <c:pt idx="22">
                  <c:v>751.57920000000013</c:v>
                </c:pt>
                <c:pt idx="23">
                  <c:v>751.57920000000013</c:v>
                </c:pt>
                <c:pt idx="24">
                  <c:v>751.57920000000013</c:v>
                </c:pt>
                <c:pt idx="25">
                  <c:v>751.57920000000013</c:v>
                </c:pt>
                <c:pt idx="26">
                  <c:v>751.57920000000013</c:v>
                </c:pt>
                <c:pt idx="27">
                  <c:v>751.57920000000013</c:v>
                </c:pt>
                <c:pt idx="28">
                  <c:v>751.57920000000013</c:v>
                </c:pt>
                <c:pt idx="29">
                  <c:v>751.57920000000013</c:v>
                </c:pt>
                <c:pt idx="30">
                  <c:v>751.57920000000013</c:v>
                </c:pt>
                <c:pt idx="31">
                  <c:v>751.57920000000013</c:v>
                </c:pt>
                <c:pt idx="32">
                  <c:v>751.57920000000013</c:v>
                </c:pt>
                <c:pt idx="33">
                  <c:v>751.57920000000013</c:v>
                </c:pt>
                <c:pt idx="34">
                  <c:v>751.57920000000013</c:v>
                </c:pt>
                <c:pt idx="35">
                  <c:v>751.57920000000013</c:v>
                </c:pt>
                <c:pt idx="36">
                  <c:v>751.57920000000013</c:v>
                </c:pt>
                <c:pt idx="37">
                  <c:v>751.57920000000013</c:v>
                </c:pt>
                <c:pt idx="38">
                  <c:v>751.57920000000013</c:v>
                </c:pt>
                <c:pt idx="39">
                  <c:v>751.57920000000013</c:v>
                </c:pt>
                <c:pt idx="40">
                  <c:v>751.57920000000013</c:v>
                </c:pt>
                <c:pt idx="41">
                  <c:v>751.57920000000013</c:v>
                </c:pt>
                <c:pt idx="42">
                  <c:v>751.57920000000013</c:v>
                </c:pt>
                <c:pt idx="43">
                  <c:v>751.57920000000013</c:v>
                </c:pt>
                <c:pt idx="44">
                  <c:v>751.57920000000013</c:v>
                </c:pt>
                <c:pt idx="45">
                  <c:v>751.57920000000013</c:v>
                </c:pt>
                <c:pt idx="46">
                  <c:v>751.57920000000013</c:v>
                </c:pt>
                <c:pt idx="47">
                  <c:v>751.57920000000013</c:v>
                </c:pt>
                <c:pt idx="48">
                  <c:v>751.57920000000013</c:v>
                </c:pt>
                <c:pt idx="49">
                  <c:v>751.57920000000013</c:v>
                </c:pt>
                <c:pt idx="50">
                  <c:v>751.57920000000013</c:v>
                </c:pt>
                <c:pt idx="51">
                  <c:v>751.57920000000013</c:v>
                </c:pt>
                <c:pt idx="52">
                  <c:v>751.57920000000013</c:v>
                </c:pt>
                <c:pt idx="53">
                  <c:v>751.57920000000013</c:v>
                </c:pt>
                <c:pt idx="54">
                  <c:v>751.57920000000013</c:v>
                </c:pt>
                <c:pt idx="55">
                  <c:v>751.57920000000013</c:v>
                </c:pt>
                <c:pt idx="56">
                  <c:v>751.57920000000013</c:v>
                </c:pt>
                <c:pt idx="57">
                  <c:v>751.57920000000013</c:v>
                </c:pt>
                <c:pt idx="58">
                  <c:v>751.57920000000013</c:v>
                </c:pt>
                <c:pt idx="59">
                  <c:v>751.57920000000013</c:v>
                </c:pt>
                <c:pt idx="60">
                  <c:v>751.57920000000013</c:v>
                </c:pt>
                <c:pt idx="61">
                  <c:v>751.57920000000013</c:v>
                </c:pt>
                <c:pt idx="62">
                  <c:v>751.57920000000013</c:v>
                </c:pt>
                <c:pt idx="63">
                  <c:v>751.57920000000013</c:v>
                </c:pt>
                <c:pt idx="64">
                  <c:v>751.57920000000013</c:v>
                </c:pt>
                <c:pt idx="65">
                  <c:v>751.57920000000013</c:v>
                </c:pt>
                <c:pt idx="66">
                  <c:v>751.57920000000013</c:v>
                </c:pt>
                <c:pt idx="67">
                  <c:v>751.57920000000013</c:v>
                </c:pt>
                <c:pt idx="68">
                  <c:v>751.57920000000013</c:v>
                </c:pt>
                <c:pt idx="69">
                  <c:v>751.57920000000013</c:v>
                </c:pt>
                <c:pt idx="70">
                  <c:v>751.57920000000013</c:v>
                </c:pt>
                <c:pt idx="71">
                  <c:v>751.57920000000013</c:v>
                </c:pt>
                <c:pt idx="72">
                  <c:v>751.57920000000013</c:v>
                </c:pt>
                <c:pt idx="73">
                  <c:v>751.57920000000013</c:v>
                </c:pt>
                <c:pt idx="74">
                  <c:v>751.57920000000013</c:v>
                </c:pt>
                <c:pt idx="75">
                  <c:v>751.57920000000013</c:v>
                </c:pt>
                <c:pt idx="76">
                  <c:v>751.57920000000013</c:v>
                </c:pt>
                <c:pt idx="77">
                  <c:v>751.57920000000013</c:v>
                </c:pt>
                <c:pt idx="78">
                  <c:v>751.57920000000013</c:v>
                </c:pt>
                <c:pt idx="79">
                  <c:v>751.57920000000013</c:v>
                </c:pt>
                <c:pt idx="80">
                  <c:v>751.57920000000013</c:v>
                </c:pt>
                <c:pt idx="81">
                  <c:v>751.57920000000013</c:v>
                </c:pt>
              </c:numCache>
            </c:numRef>
          </c:val>
          <c:smooth val="0"/>
          <c:extLst>
            <c:ext xmlns:c16="http://schemas.microsoft.com/office/drawing/2014/chart" uri="{C3380CC4-5D6E-409C-BE32-E72D297353CC}">
              <c16:uniqueId val="{00000001-355A-47B4-9507-9D80C535FC83}"/>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(HIDE)'!$B$22</c:f>
          <c:strCache>
            <c:ptCount val="1"/>
            <c:pt idx="0">
              <c:v>Impact of Grazing Days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627659574468086"/>
          <c:w val="0.75057622384357914"/>
          <c:h val="0.46986038979170158"/>
        </c:manualLayout>
      </c:layout>
      <c:lineChart>
        <c:grouping val="standard"/>
        <c:varyColors val="0"/>
        <c:ser>
          <c:idx val="1"/>
          <c:order val="0"/>
          <c:tx>
            <c:strRef>
              <c:f>'Chart (HIDE)'!$C$24</c:f>
              <c:strCache>
                <c:ptCount val="1"/>
                <c:pt idx="0">
                  <c:v>Improved Pasture (from 135 days)</c:v>
                </c:pt>
              </c:strCache>
            </c:strRef>
          </c:tx>
          <c:marker>
            <c:symbol val="none"/>
          </c:marker>
          <c:dPt>
            <c:idx val="3"/>
            <c:marker>
              <c:symbol val="auto"/>
            </c:marker>
            <c:bubble3D val="0"/>
            <c:spPr/>
            <c:extLst>
              <c:ext xmlns:c16="http://schemas.microsoft.com/office/drawing/2014/chart" uri="{C3380CC4-5D6E-409C-BE32-E72D297353CC}">
                <c16:uniqueId val="{00000001-6A4A-426E-91D5-761588A87107}"/>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4A-426E-91D5-761588A871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(HIDE)'!$C$25:$C$31</c:f>
              <c:numCache>
                <c:formatCode>"$"#,##0.00_);[Red]\("$"#,##0.00\)</c:formatCode>
                <c:ptCount val="7"/>
                <c:pt idx="0">
                  <c:v>1.58</c:v>
                </c:pt>
                <c:pt idx="1">
                  <c:v>1.52</c:v>
                </c:pt>
                <c:pt idx="2">
                  <c:v>1.46</c:v>
                </c:pt>
                <c:pt idx="3">
                  <c:v>1.4094100000000003</c:v>
                </c:pt>
                <c:pt idx="4">
                  <c:v>1.35</c:v>
                </c:pt>
                <c:pt idx="5">
                  <c:v>1.31</c:v>
                </c:pt>
                <c:pt idx="6">
                  <c:v>1.26</c:v>
                </c:pt>
              </c:numCache>
            </c:numRef>
          </c:val>
          <c:smooth val="0"/>
          <c:extLst>
            <c:ext xmlns:c16="http://schemas.microsoft.com/office/drawing/2014/chart" uri="{C3380CC4-5D6E-409C-BE32-E72D297353CC}">
              <c16:uniqueId val="{00000002-6A4A-426E-91D5-761588A87107}"/>
            </c:ext>
          </c:extLst>
        </c:ser>
        <c:ser>
          <c:idx val="0"/>
          <c:order val="1"/>
          <c:tx>
            <c:strRef>
              <c:f>'Chart (HIDE)'!$D$24</c:f>
              <c:strCache>
                <c:ptCount val="1"/>
                <c:pt idx="0">
                  <c:v>Marginal Pasture (from 135 days)</c:v>
                </c:pt>
              </c:strCache>
            </c:strRef>
          </c:tx>
          <c:dPt>
            <c:idx val="0"/>
            <c:marker>
              <c:symbol val="none"/>
            </c:marker>
            <c:bubble3D val="0"/>
            <c:extLst>
              <c:ext xmlns:c16="http://schemas.microsoft.com/office/drawing/2014/chart" uri="{C3380CC4-5D6E-409C-BE32-E72D297353CC}">
                <c16:uniqueId val="{00000004-6A4A-426E-91D5-761588A87107}"/>
              </c:ext>
            </c:extLst>
          </c:dPt>
          <c:dPt>
            <c:idx val="1"/>
            <c:marker>
              <c:symbol val="none"/>
            </c:marker>
            <c:bubble3D val="0"/>
            <c:extLst>
              <c:ext xmlns:c16="http://schemas.microsoft.com/office/drawing/2014/chart" uri="{C3380CC4-5D6E-409C-BE32-E72D297353CC}">
                <c16:uniqueId val="{00000006-6A4A-426E-91D5-761588A87107}"/>
              </c:ext>
            </c:extLst>
          </c:dPt>
          <c:dPt>
            <c:idx val="2"/>
            <c:marker>
              <c:symbol val="none"/>
            </c:marker>
            <c:bubble3D val="0"/>
            <c:extLst>
              <c:ext xmlns:c16="http://schemas.microsoft.com/office/drawing/2014/chart" uri="{C3380CC4-5D6E-409C-BE32-E72D297353CC}">
                <c16:uniqueId val="{00000008-6A4A-426E-91D5-761588A87107}"/>
              </c:ext>
            </c:extLst>
          </c:dPt>
          <c:dPt>
            <c:idx val="4"/>
            <c:marker>
              <c:symbol val="none"/>
            </c:marker>
            <c:bubble3D val="0"/>
            <c:extLst>
              <c:ext xmlns:c16="http://schemas.microsoft.com/office/drawing/2014/chart" uri="{C3380CC4-5D6E-409C-BE32-E72D297353CC}">
                <c16:uniqueId val="{0000000A-6A4A-426E-91D5-761588A87107}"/>
              </c:ext>
            </c:extLst>
          </c:dPt>
          <c:dPt>
            <c:idx val="5"/>
            <c:marker>
              <c:symbol val="none"/>
            </c:marker>
            <c:bubble3D val="0"/>
            <c:extLst>
              <c:ext xmlns:c16="http://schemas.microsoft.com/office/drawing/2014/chart" uri="{C3380CC4-5D6E-409C-BE32-E72D297353CC}">
                <c16:uniqueId val="{0000000C-6A4A-426E-91D5-761588A87107}"/>
              </c:ext>
            </c:extLst>
          </c:dPt>
          <c:dPt>
            <c:idx val="6"/>
            <c:marker>
              <c:symbol val="none"/>
            </c:marker>
            <c:bubble3D val="0"/>
            <c:extLst>
              <c:ext xmlns:c16="http://schemas.microsoft.com/office/drawing/2014/chart" uri="{C3380CC4-5D6E-409C-BE32-E72D297353CC}">
                <c16:uniqueId val="{0000000E-6A4A-426E-91D5-761588A87107}"/>
              </c:ext>
            </c:extLst>
          </c:dPt>
          <c:dLbls>
            <c:dLbl>
              <c:idx val="0"/>
              <c:delete val="1"/>
              <c:extLst>
                <c:ext xmlns:c15="http://schemas.microsoft.com/office/drawing/2012/chart" uri="{CE6537A1-D6FC-4f65-9D91-7224C49458BB}"/>
                <c:ext xmlns:c16="http://schemas.microsoft.com/office/drawing/2014/chart" uri="{C3380CC4-5D6E-409C-BE32-E72D297353CC}">
                  <c16:uniqueId val="{00000004-6A4A-426E-91D5-761588A87107}"/>
                </c:ext>
              </c:extLst>
            </c:dLbl>
            <c:dLbl>
              <c:idx val="1"/>
              <c:delete val="1"/>
              <c:extLst>
                <c:ext xmlns:c15="http://schemas.microsoft.com/office/drawing/2012/chart" uri="{CE6537A1-D6FC-4f65-9D91-7224C49458BB}"/>
                <c:ext xmlns:c16="http://schemas.microsoft.com/office/drawing/2014/chart" uri="{C3380CC4-5D6E-409C-BE32-E72D297353CC}">
                  <c16:uniqueId val="{00000006-6A4A-426E-91D5-761588A87107}"/>
                </c:ext>
              </c:extLst>
            </c:dLbl>
            <c:dLbl>
              <c:idx val="2"/>
              <c:delete val="1"/>
              <c:extLst>
                <c:ext xmlns:c15="http://schemas.microsoft.com/office/drawing/2012/chart" uri="{CE6537A1-D6FC-4f65-9D91-7224C49458BB}"/>
                <c:ext xmlns:c16="http://schemas.microsoft.com/office/drawing/2014/chart" uri="{C3380CC4-5D6E-409C-BE32-E72D297353CC}">
                  <c16:uniqueId val="{00000008-6A4A-426E-91D5-761588A87107}"/>
                </c:ext>
              </c:extLst>
            </c:dLbl>
            <c:dLbl>
              <c:idx val="4"/>
              <c:delete val="1"/>
              <c:extLst>
                <c:ext xmlns:c15="http://schemas.microsoft.com/office/drawing/2012/chart" uri="{CE6537A1-D6FC-4f65-9D91-7224C49458BB}"/>
                <c:ext xmlns:c16="http://schemas.microsoft.com/office/drawing/2014/chart" uri="{C3380CC4-5D6E-409C-BE32-E72D297353CC}">
                  <c16:uniqueId val="{0000000A-6A4A-426E-91D5-761588A87107}"/>
                </c:ext>
              </c:extLst>
            </c:dLbl>
            <c:dLbl>
              <c:idx val="5"/>
              <c:delete val="1"/>
              <c:extLst>
                <c:ext xmlns:c15="http://schemas.microsoft.com/office/drawing/2012/chart" uri="{CE6537A1-D6FC-4f65-9D91-7224C49458BB}"/>
                <c:ext xmlns:c16="http://schemas.microsoft.com/office/drawing/2014/chart" uri="{C3380CC4-5D6E-409C-BE32-E72D297353CC}">
                  <c16:uniqueId val="{0000000C-6A4A-426E-91D5-761588A87107}"/>
                </c:ext>
              </c:extLst>
            </c:dLbl>
            <c:dLbl>
              <c:idx val="6"/>
              <c:delete val="1"/>
              <c:extLst>
                <c:ext xmlns:c15="http://schemas.microsoft.com/office/drawing/2012/chart" uri="{CE6537A1-D6FC-4f65-9D91-7224C49458BB}"/>
                <c:ext xmlns:c16="http://schemas.microsoft.com/office/drawing/2014/chart" uri="{C3380CC4-5D6E-409C-BE32-E72D297353CC}">
                  <c16:uniqueId val="{0000000E-6A4A-426E-91D5-761588A8710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(HIDE)'!$D$25:$D$31</c:f>
              <c:numCache>
                <c:formatCode>"$"#,##0.00_);[Red]\("$"#,##0.00\)</c:formatCode>
                <c:ptCount val="7"/>
                <c:pt idx="0">
                  <c:v>1.53</c:v>
                </c:pt>
                <c:pt idx="1">
                  <c:v>1.46</c:v>
                </c:pt>
                <c:pt idx="2">
                  <c:v>1.41</c:v>
                </c:pt>
                <c:pt idx="3">
                  <c:v>1.3553074602314814</c:v>
                </c:pt>
                <c:pt idx="4">
                  <c:v>1.31</c:v>
                </c:pt>
                <c:pt idx="5">
                  <c:v>1.26</c:v>
                </c:pt>
                <c:pt idx="6">
                  <c:v>1.22</c:v>
                </c:pt>
              </c:numCache>
            </c:numRef>
          </c:val>
          <c:smooth val="0"/>
          <c:extLst>
            <c:ext xmlns:c16="http://schemas.microsoft.com/office/drawing/2014/chart" uri="{C3380CC4-5D6E-409C-BE32-E72D297353CC}">
              <c16:uniqueId val="{0000000F-6A4A-426E-91D5-761588A87107}"/>
            </c:ext>
          </c:extLst>
        </c:ser>
        <c:dLbls>
          <c:showLegendKey val="0"/>
          <c:showVal val="0"/>
          <c:showCatName val="0"/>
          <c:showSerName val="0"/>
          <c:showPercent val="0"/>
          <c:showBubbleSize val="0"/>
        </c:dLbls>
        <c:smooth val="0"/>
        <c:axId val="206360624"/>
        <c:axId val="1"/>
      </c:lineChart>
      <c:catAx>
        <c:axId val="20636062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Change in Number of </a:t>
                </a:r>
              </a:p>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Grazing Days</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360624"/>
        <c:crosses val="autoZero"/>
        <c:crossBetween val="between"/>
      </c:valAx>
      <c:spPr>
        <a:noFill/>
        <a:ln w="25400">
          <a:noFill/>
        </a:ln>
      </c:spPr>
    </c:plotArea>
    <c:legend>
      <c:legendPos val="b"/>
      <c:layout>
        <c:manualLayout>
          <c:xMode val="edge"/>
          <c:yMode val="edge"/>
          <c:x val="1.127943206683364E-2"/>
          <c:y val="0.85076967473306675"/>
          <c:w val="0.97552212418354156"/>
          <c:h val="6.412389550782593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(HIDE)'!$B$43</c:f>
          <c:strCache>
            <c:ptCount val="1"/>
            <c:pt idx="0">
              <c:v>Impact of Land Value on Pasture Cost Per Day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982269503546098"/>
          <c:w val="0.75057622384357914"/>
          <c:h val="0.51241358128106329"/>
        </c:manualLayout>
      </c:layout>
      <c:lineChart>
        <c:grouping val="standard"/>
        <c:varyColors val="0"/>
        <c:ser>
          <c:idx val="1"/>
          <c:order val="0"/>
          <c:tx>
            <c:strRef>
              <c:f>'Chart (HIDE)'!$C$45</c:f>
              <c:strCache>
                <c:ptCount val="1"/>
                <c:pt idx="0">
                  <c:v>Improved Pasture (from $1,875/ac)</c:v>
                </c:pt>
              </c:strCache>
            </c:strRef>
          </c:tx>
          <c:marker>
            <c:symbol val="none"/>
          </c:marker>
          <c:dPt>
            <c:idx val="3"/>
            <c:marker>
              <c:symbol val="auto"/>
            </c:marker>
            <c:bubble3D val="0"/>
            <c:spPr/>
            <c:extLst>
              <c:ext xmlns:c16="http://schemas.microsoft.com/office/drawing/2014/chart" uri="{C3380CC4-5D6E-409C-BE32-E72D297353CC}">
                <c16:uniqueId val="{00000001-CEE6-4190-909B-B6D6251B17C4}"/>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E6-4190-909B-B6D6251B17C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(HIDE)'!$C$46:$C$52</c:f>
              <c:numCache>
                <c:formatCode>"$"#,##0.00_);[Red]\("$"#,##0.00\)</c:formatCode>
                <c:ptCount val="7"/>
                <c:pt idx="0">
                  <c:v>1.3394100000000002</c:v>
                </c:pt>
                <c:pt idx="1">
                  <c:v>1.3594100000000002</c:v>
                </c:pt>
                <c:pt idx="2">
                  <c:v>1.3894100000000003</c:v>
                </c:pt>
                <c:pt idx="3">
                  <c:v>1.4094100000000003</c:v>
                </c:pt>
                <c:pt idx="4">
                  <c:v>1.4294100000000003</c:v>
                </c:pt>
                <c:pt idx="5">
                  <c:v>1.4594100000000003</c:v>
                </c:pt>
                <c:pt idx="6">
                  <c:v>1.4794100000000003</c:v>
                </c:pt>
              </c:numCache>
            </c:numRef>
          </c:val>
          <c:smooth val="0"/>
          <c:extLst>
            <c:ext xmlns:c16="http://schemas.microsoft.com/office/drawing/2014/chart" uri="{C3380CC4-5D6E-409C-BE32-E72D297353CC}">
              <c16:uniqueId val="{00000002-CEE6-4190-909B-B6D6251B17C4}"/>
            </c:ext>
          </c:extLst>
        </c:ser>
        <c:ser>
          <c:idx val="0"/>
          <c:order val="1"/>
          <c:tx>
            <c:strRef>
              <c:f>'Chart (HIDE)'!$D$45</c:f>
              <c:strCache>
                <c:ptCount val="1"/>
                <c:pt idx="0">
                  <c:v>Marginal Pasture (from $844/ac)</c:v>
                </c:pt>
              </c:strCache>
            </c:strRef>
          </c:tx>
          <c:dPt>
            <c:idx val="0"/>
            <c:marker>
              <c:symbol val="none"/>
            </c:marker>
            <c:bubble3D val="0"/>
            <c:extLst>
              <c:ext xmlns:c16="http://schemas.microsoft.com/office/drawing/2014/chart" uri="{C3380CC4-5D6E-409C-BE32-E72D297353CC}">
                <c16:uniqueId val="{00000004-CEE6-4190-909B-B6D6251B17C4}"/>
              </c:ext>
            </c:extLst>
          </c:dPt>
          <c:dPt>
            <c:idx val="1"/>
            <c:marker>
              <c:symbol val="none"/>
            </c:marker>
            <c:bubble3D val="0"/>
            <c:extLst>
              <c:ext xmlns:c16="http://schemas.microsoft.com/office/drawing/2014/chart" uri="{C3380CC4-5D6E-409C-BE32-E72D297353CC}">
                <c16:uniqueId val="{00000006-CEE6-4190-909B-B6D6251B17C4}"/>
              </c:ext>
            </c:extLst>
          </c:dPt>
          <c:dPt>
            <c:idx val="2"/>
            <c:marker>
              <c:symbol val="none"/>
            </c:marker>
            <c:bubble3D val="0"/>
            <c:extLst>
              <c:ext xmlns:c16="http://schemas.microsoft.com/office/drawing/2014/chart" uri="{C3380CC4-5D6E-409C-BE32-E72D297353CC}">
                <c16:uniqueId val="{00000008-CEE6-4190-909B-B6D6251B17C4}"/>
              </c:ext>
            </c:extLst>
          </c:dPt>
          <c:dPt>
            <c:idx val="4"/>
            <c:marker>
              <c:symbol val="none"/>
            </c:marker>
            <c:bubble3D val="0"/>
            <c:extLst>
              <c:ext xmlns:c16="http://schemas.microsoft.com/office/drawing/2014/chart" uri="{C3380CC4-5D6E-409C-BE32-E72D297353CC}">
                <c16:uniqueId val="{0000000A-CEE6-4190-909B-B6D6251B17C4}"/>
              </c:ext>
            </c:extLst>
          </c:dPt>
          <c:dPt>
            <c:idx val="5"/>
            <c:marker>
              <c:symbol val="none"/>
            </c:marker>
            <c:bubble3D val="0"/>
            <c:extLst>
              <c:ext xmlns:c16="http://schemas.microsoft.com/office/drawing/2014/chart" uri="{C3380CC4-5D6E-409C-BE32-E72D297353CC}">
                <c16:uniqueId val="{0000000C-CEE6-4190-909B-B6D6251B17C4}"/>
              </c:ext>
            </c:extLst>
          </c:dPt>
          <c:dPt>
            <c:idx val="6"/>
            <c:marker>
              <c:symbol val="none"/>
            </c:marker>
            <c:bubble3D val="0"/>
            <c:extLst>
              <c:ext xmlns:c16="http://schemas.microsoft.com/office/drawing/2014/chart" uri="{C3380CC4-5D6E-409C-BE32-E72D297353CC}">
                <c16:uniqueId val="{0000000E-CEE6-4190-909B-B6D6251B17C4}"/>
              </c:ext>
            </c:extLst>
          </c:dPt>
          <c:dLbls>
            <c:dLbl>
              <c:idx val="0"/>
              <c:delete val="1"/>
              <c:extLst>
                <c:ext xmlns:c15="http://schemas.microsoft.com/office/drawing/2012/chart" uri="{CE6537A1-D6FC-4f65-9D91-7224C49458BB}"/>
                <c:ext xmlns:c16="http://schemas.microsoft.com/office/drawing/2014/chart" uri="{C3380CC4-5D6E-409C-BE32-E72D297353CC}">
                  <c16:uniqueId val="{00000004-CEE6-4190-909B-B6D6251B17C4}"/>
                </c:ext>
              </c:extLst>
            </c:dLbl>
            <c:dLbl>
              <c:idx val="1"/>
              <c:delete val="1"/>
              <c:extLst>
                <c:ext xmlns:c15="http://schemas.microsoft.com/office/drawing/2012/chart" uri="{CE6537A1-D6FC-4f65-9D91-7224C49458BB}"/>
                <c:ext xmlns:c16="http://schemas.microsoft.com/office/drawing/2014/chart" uri="{C3380CC4-5D6E-409C-BE32-E72D297353CC}">
                  <c16:uniqueId val="{00000006-CEE6-4190-909B-B6D6251B17C4}"/>
                </c:ext>
              </c:extLst>
            </c:dLbl>
            <c:dLbl>
              <c:idx val="2"/>
              <c:delete val="1"/>
              <c:extLst>
                <c:ext xmlns:c15="http://schemas.microsoft.com/office/drawing/2012/chart" uri="{CE6537A1-D6FC-4f65-9D91-7224C49458BB}"/>
                <c:ext xmlns:c16="http://schemas.microsoft.com/office/drawing/2014/chart" uri="{C3380CC4-5D6E-409C-BE32-E72D297353CC}">
                  <c16:uniqueId val="{00000008-CEE6-4190-909B-B6D6251B17C4}"/>
                </c:ext>
              </c:extLst>
            </c:dLbl>
            <c:dLbl>
              <c:idx val="4"/>
              <c:delete val="1"/>
              <c:extLst>
                <c:ext xmlns:c15="http://schemas.microsoft.com/office/drawing/2012/chart" uri="{CE6537A1-D6FC-4f65-9D91-7224C49458BB}"/>
                <c:ext xmlns:c16="http://schemas.microsoft.com/office/drawing/2014/chart" uri="{C3380CC4-5D6E-409C-BE32-E72D297353CC}">
                  <c16:uniqueId val="{0000000A-CEE6-4190-909B-B6D6251B17C4}"/>
                </c:ext>
              </c:extLst>
            </c:dLbl>
            <c:dLbl>
              <c:idx val="5"/>
              <c:delete val="1"/>
              <c:extLst>
                <c:ext xmlns:c15="http://schemas.microsoft.com/office/drawing/2012/chart" uri="{CE6537A1-D6FC-4f65-9D91-7224C49458BB}"/>
                <c:ext xmlns:c16="http://schemas.microsoft.com/office/drawing/2014/chart" uri="{C3380CC4-5D6E-409C-BE32-E72D297353CC}">
                  <c16:uniqueId val="{0000000C-CEE6-4190-909B-B6D6251B17C4}"/>
                </c:ext>
              </c:extLst>
            </c:dLbl>
            <c:dLbl>
              <c:idx val="6"/>
              <c:delete val="1"/>
              <c:extLst>
                <c:ext xmlns:c15="http://schemas.microsoft.com/office/drawing/2012/chart" uri="{CE6537A1-D6FC-4f65-9D91-7224C49458BB}"/>
                <c:ext xmlns:c16="http://schemas.microsoft.com/office/drawing/2014/chart" uri="{C3380CC4-5D6E-409C-BE32-E72D297353CC}">
                  <c16:uniqueId val="{0000000E-CEE6-4190-909B-B6D6251B17C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(HIDE)'!$D$46:$D$52</c:f>
              <c:numCache>
                <c:formatCode>"$"#,##0.00_);[Red]\("$"#,##0.00\)</c:formatCode>
                <c:ptCount val="7"/>
                <c:pt idx="0">
                  <c:v>1.1353074602314814</c:v>
                </c:pt>
                <c:pt idx="1">
                  <c:v>1.2153074602314815</c:v>
                </c:pt>
                <c:pt idx="2">
                  <c:v>1.2853074602314813</c:v>
                </c:pt>
                <c:pt idx="3">
                  <c:v>1.3553074602314814</c:v>
                </c:pt>
                <c:pt idx="4">
                  <c:v>1.4253074602314815</c:v>
                </c:pt>
                <c:pt idx="5">
                  <c:v>1.5053074602314815</c:v>
                </c:pt>
                <c:pt idx="6">
                  <c:v>1.5753074602314814</c:v>
                </c:pt>
              </c:numCache>
            </c:numRef>
          </c:val>
          <c:smooth val="0"/>
          <c:extLst>
            <c:ext xmlns:c16="http://schemas.microsoft.com/office/drawing/2014/chart" uri="{C3380CC4-5D6E-409C-BE32-E72D297353CC}">
              <c16:uniqueId val="{0000000F-CEE6-4190-909B-B6D6251B17C4}"/>
            </c:ext>
          </c:extLst>
        </c:ser>
        <c:dLbls>
          <c:showLegendKey val="0"/>
          <c:showVal val="0"/>
          <c:showCatName val="0"/>
          <c:showSerName val="0"/>
          <c:showPercent val="0"/>
          <c:showBubbleSize val="0"/>
        </c:dLbls>
        <c:smooth val="0"/>
        <c:axId val="206767536"/>
        <c:axId val="1"/>
      </c:lineChart>
      <c:catAx>
        <c:axId val="20676753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Land Value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67536"/>
        <c:crosses val="autoZero"/>
        <c:crossBetween val="between"/>
      </c:valAx>
      <c:spPr>
        <a:noFill/>
        <a:ln w="25400">
          <a:noFill/>
        </a:ln>
      </c:spPr>
    </c:plotArea>
    <c:legend>
      <c:legendPos val="b"/>
      <c:layout>
        <c:manualLayout>
          <c:xMode val="edge"/>
          <c:yMode val="edge"/>
          <c:x val="0"/>
          <c:y val="0.85076967473306675"/>
          <c:w val="0.99040481575023243"/>
          <c:h val="6.412389550782593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c:f>
          <c:strCache>
            <c:ptCount val="1"/>
            <c:pt idx="0">
              <c:v>Impact of Stocking Rate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137578454867056"/>
          <c:w val="0.75057622384357914"/>
          <c:h val="0.45476115485564311"/>
        </c:manualLayout>
      </c:layout>
      <c:lineChart>
        <c:grouping val="standard"/>
        <c:varyColors val="0"/>
        <c:ser>
          <c:idx val="1"/>
          <c:order val="0"/>
          <c:tx>
            <c:strRef>
              <c:f>'Chart (HIDE)'!$C$6</c:f>
              <c:strCache>
                <c:ptCount val="1"/>
                <c:pt idx="0">
                  <c:v>Improved Pasture (from 94 hd)</c:v>
                </c:pt>
              </c:strCache>
            </c:strRef>
          </c:tx>
          <c:marker>
            <c:symbol val="none"/>
          </c:marker>
          <c:dPt>
            <c:idx val="3"/>
            <c:marker>
              <c:symbol val="auto"/>
            </c:marker>
            <c:bubble3D val="0"/>
            <c:spPr/>
            <c:extLst>
              <c:ext xmlns:c16="http://schemas.microsoft.com/office/drawing/2014/chart" uri="{C3380CC4-5D6E-409C-BE32-E72D297353CC}">
                <c16:uniqueId val="{00000001-45EE-4753-AF51-26B5F06976AA}"/>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EE-4753-AF51-26B5F06976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(HIDE)'!$B$7:$B$13</c:f>
              <c:numCache>
                <c:formatCode>General</c:formatCode>
                <c:ptCount val="7"/>
                <c:pt idx="0">
                  <c:v>-6</c:v>
                </c:pt>
                <c:pt idx="1">
                  <c:v>-4</c:v>
                </c:pt>
                <c:pt idx="2">
                  <c:v>-2</c:v>
                </c:pt>
                <c:pt idx="3">
                  <c:v>0</c:v>
                </c:pt>
                <c:pt idx="4">
                  <c:v>2</c:v>
                </c:pt>
                <c:pt idx="5">
                  <c:v>4</c:v>
                </c:pt>
                <c:pt idx="6">
                  <c:v>6</c:v>
                </c:pt>
              </c:numCache>
            </c:numRef>
          </c:cat>
          <c:val>
            <c:numRef>
              <c:f>'Chart (HIDE)'!$C$7:$C$13</c:f>
              <c:numCache>
                <c:formatCode>"$"#,##0.00_);[Red]\("$"#,##0.00\)</c:formatCode>
                <c:ptCount val="7"/>
                <c:pt idx="0">
                  <c:v>1.51</c:v>
                </c:pt>
                <c:pt idx="1">
                  <c:v>1.48</c:v>
                </c:pt>
                <c:pt idx="2">
                  <c:v>1.43</c:v>
                </c:pt>
                <c:pt idx="3">
                  <c:v>1.4094100000000003</c:v>
                </c:pt>
                <c:pt idx="4">
                  <c:v>1.38</c:v>
                </c:pt>
                <c:pt idx="5">
                  <c:v>1.36</c:v>
                </c:pt>
                <c:pt idx="6">
                  <c:v>1.32</c:v>
                </c:pt>
              </c:numCache>
            </c:numRef>
          </c:val>
          <c:smooth val="0"/>
          <c:extLst>
            <c:ext xmlns:c16="http://schemas.microsoft.com/office/drawing/2014/chart" uri="{C3380CC4-5D6E-409C-BE32-E72D297353CC}">
              <c16:uniqueId val="{00000002-45EE-4753-AF51-26B5F06976AA}"/>
            </c:ext>
          </c:extLst>
        </c:ser>
        <c:ser>
          <c:idx val="0"/>
          <c:order val="1"/>
          <c:tx>
            <c:strRef>
              <c:f>'Chart (HIDE)'!$D$6</c:f>
              <c:strCache>
                <c:ptCount val="1"/>
                <c:pt idx="0">
                  <c:v>Marginal Pasture (from 32 hd)</c:v>
                </c:pt>
              </c:strCache>
            </c:strRef>
          </c:tx>
          <c:marker>
            <c:symbol val="none"/>
          </c:marker>
          <c:dPt>
            <c:idx val="3"/>
            <c:marker>
              <c:symbol val="auto"/>
            </c:marker>
            <c:bubble3D val="0"/>
            <c:extLst>
              <c:ext xmlns:c16="http://schemas.microsoft.com/office/drawing/2014/chart" uri="{C3380CC4-5D6E-409C-BE32-E72D297353CC}">
                <c16:uniqueId val="{00000004-45EE-4753-AF51-26B5F06976AA}"/>
              </c:ext>
            </c:extLst>
          </c:dPt>
          <c:dLbls>
            <c:dLbl>
              <c:idx val="0"/>
              <c:delete val="1"/>
              <c:extLst>
                <c:ext xmlns:c15="http://schemas.microsoft.com/office/drawing/2012/chart" uri="{CE6537A1-D6FC-4f65-9D91-7224C49458BB}"/>
                <c:ext xmlns:c16="http://schemas.microsoft.com/office/drawing/2014/chart" uri="{C3380CC4-5D6E-409C-BE32-E72D297353CC}">
                  <c16:uniqueId val="{00000005-45EE-4753-AF51-26B5F06976AA}"/>
                </c:ext>
              </c:extLst>
            </c:dLbl>
            <c:dLbl>
              <c:idx val="1"/>
              <c:delete val="1"/>
              <c:extLst>
                <c:ext xmlns:c15="http://schemas.microsoft.com/office/drawing/2012/chart" uri="{CE6537A1-D6FC-4f65-9D91-7224C49458BB}"/>
                <c:ext xmlns:c16="http://schemas.microsoft.com/office/drawing/2014/chart" uri="{C3380CC4-5D6E-409C-BE32-E72D297353CC}">
                  <c16:uniqueId val="{00000006-45EE-4753-AF51-26B5F06976AA}"/>
                </c:ext>
              </c:extLst>
            </c:dLbl>
            <c:dLbl>
              <c:idx val="2"/>
              <c:delete val="1"/>
              <c:extLst>
                <c:ext xmlns:c15="http://schemas.microsoft.com/office/drawing/2012/chart" uri="{CE6537A1-D6FC-4f65-9D91-7224C49458BB}"/>
                <c:ext xmlns:c16="http://schemas.microsoft.com/office/drawing/2014/chart" uri="{C3380CC4-5D6E-409C-BE32-E72D297353CC}">
                  <c16:uniqueId val="{00000007-45EE-4753-AF51-26B5F06976AA}"/>
                </c:ext>
              </c:extLst>
            </c:dLbl>
            <c:dLbl>
              <c:idx val="4"/>
              <c:delete val="1"/>
              <c:extLst>
                <c:ext xmlns:c15="http://schemas.microsoft.com/office/drawing/2012/chart" uri="{CE6537A1-D6FC-4f65-9D91-7224C49458BB}"/>
                <c:ext xmlns:c16="http://schemas.microsoft.com/office/drawing/2014/chart" uri="{C3380CC4-5D6E-409C-BE32-E72D297353CC}">
                  <c16:uniqueId val="{00000008-45EE-4753-AF51-26B5F06976AA}"/>
                </c:ext>
              </c:extLst>
            </c:dLbl>
            <c:dLbl>
              <c:idx val="5"/>
              <c:delete val="1"/>
              <c:extLst>
                <c:ext xmlns:c15="http://schemas.microsoft.com/office/drawing/2012/chart" uri="{CE6537A1-D6FC-4f65-9D91-7224C49458BB}"/>
                <c:ext xmlns:c16="http://schemas.microsoft.com/office/drawing/2014/chart" uri="{C3380CC4-5D6E-409C-BE32-E72D297353CC}">
                  <c16:uniqueId val="{00000009-45EE-4753-AF51-26B5F06976AA}"/>
                </c:ext>
              </c:extLst>
            </c:dLbl>
            <c:dLbl>
              <c:idx val="6"/>
              <c:delete val="1"/>
              <c:extLst>
                <c:ext xmlns:c15="http://schemas.microsoft.com/office/drawing/2012/chart" uri="{CE6537A1-D6FC-4f65-9D91-7224C49458BB}"/>
                <c:ext xmlns:c16="http://schemas.microsoft.com/office/drawing/2014/chart" uri="{C3380CC4-5D6E-409C-BE32-E72D297353CC}">
                  <c16:uniqueId val="{0000000A-45EE-4753-AF51-26B5F06976AA}"/>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 (HIDE)'!$D$7:$D$13</c:f>
              <c:numCache>
                <c:formatCode>"$"#,##0.00_);[Red]\("$"#,##0.00\)</c:formatCode>
                <c:ptCount val="7"/>
                <c:pt idx="0">
                  <c:v>1.7</c:v>
                </c:pt>
                <c:pt idx="1">
                  <c:v>1.51</c:v>
                </c:pt>
                <c:pt idx="2">
                  <c:v>1.43</c:v>
                </c:pt>
                <c:pt idx="3">
                  <c:v>1.3553074602314814</c:v>
                </c:pt>
                <c:pt idx="4">
                  <c:v>1.29</c:v>
                </c:pt>
                <c:pt idx="5">
                  <c:v>1.18</c:v>
                </c:pt>
                <c:pt idx="6">
                  <c:v>1.1299999999999999</c:v>
                </c:pt>
              </c:numCache>
            </c:numRef>
          </c:val>
          <c:smooth val="0"/>
          <c:extLst>
            <c:ext xmlns:c16="http://schemas.microsoft.com/office/drawing/2014/chart" uri="{C3380CC4-5D6E-409C-BE32-E72D297353CC}">
              <c16:uniqueId val="{0000000B-45EE-4753-AF51-26B5F06976AA}"/>
            </c:ext>
          </c:extLst>
        </c:ser>
        <c:dLbls>
          <c:showLegendKey val="0"/>
          <c:showVal val="0"/>
          <c:showCatName val="0"/>
          <c:showSerName val="0"/>
          <c:showPercent val="0"/>
          <c:showBubbleSize val="0"/>
        </c:dLbls>
        <c:smooth val="0"/>
        <c:axId val="206729816"/>
        <c:axId val="1"/>
      </c:lineChart>
      <c:catAx>
        <c:axId val="20672981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Pasture Stocking Rate</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29816"/>
        <c:crosses val="autoZero"/>
        <c:crossBetween val="between"/>
      </c:valAx>
      <c:spPr>
        <a:noFill/>
        <a:ln w="25400">
          <a:noFill/>
        </a:ln>
      </c:spPr>
    </c:plotArea>
    <c:legend>
      <c:legendPos val="b"/>
      <c:layout>
        <c:manualLayout>
          <c:xMode val="edge"/>
          <c:yMode val="edge"/>
          <c:x val="7.0237742021377766E-2"/>
          <c:y val="0.82949323642237027"/>
          <c:w val="0.8358557354243763"/>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(HIDE)'!$B$65</c:f>
          <c:strCache>
            <c:ptCount val="1"/>
            <c:pt idx="0">
              <c:v>Impact of Owned Pasture Equity on Pasture Cost Per Day (@6% for 25 yrs) </c:v>
            </c:pt>
          </c:strCache>
        </c:strRef>
      </c:tx>
      <c:layout>
        <c:manualLayout>
          <c:xMode val="edge"/>
          <c:yMode val="edge"/>
          <c:x val="0.16621778046974894"/>
          <c:y val="2.2424665484025517E-2"/>
        </c:manualLayout>
      </c:layout>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(HIDE)'!$C$67</c:f>
              <c:strCache>
                <c:ptCount val="1"/>
                <c:pt idx="0">
                  <c:v>Improved Pasture (from 75% equity)</c:v>
                </c:pt>
              </c:strCache>
            </c:strRef>
          </c:tx>
          <c:marker>
            <c:symbol val="none"/>
          </c:marker>
          <c:dPt>
            <c:idx val="3"/>
            <c:marker>
              <c:symbol val="auto"/>
            </c:marker>
            <c:bubble3D val="0"/>
            <c:spPr/>
            <c:extLst>
              <c:ext xmlns:c16="http://schemas.microsoft.com/office/drawing/2014/chart" uri="{C3380CC4-5D6E-409C-BE32-E72D297353CC}">
                <c16:uniqueId val="{00000001-70D9-41C6-8EDA-ECDB21D24780}"/>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D9-41C6-8EDA-ECDB21D2478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(HIDE)'!$C$68:$C$74</c:f>
              <c:numCache>
                <c:formatCode>"$"#,##0.00_);[Red]\("$"#,##0.00\)</c:formatCode>
                <c:ptCount val="7"/>
                <c:pt idx="0">
                  <c:v>1.6894100000000003</c:v>
                </c:pt>
                <c:pt idx="1">
                  <c:v>1.5894100000000002</c:v>
                </c:pt>
                <c:pt idx="2">
                  <c:v>1.4994100000000004</c:v>
                </c:pt>
                <c:pt idx="3">
                  <c:v>1.4094100000000003</c:v>
                </c:pt>
                <c:pt idx="4">
                  <c:v>1.3194100000000002</c:v>
                </c:pt>
                <c:pt idx="5">
                  <c:v>1.2294100000000003</c:v>
                </c:pt>
                <c:pt idx="6">
                  <c:v>1.1294100000000002</c:v>
                </c:pt>
              </c:numCache>
            </c:numRef>
          </c:val>
          <c:smooth val="0"/>
          <c:extLst>
            <c:ext xmlns:c16="http://schemas.microsoft.com/office/drawing/2014/chart" uri="{C3380CC4-5D6E-409C-BE32-E72D297353CC}">
              <c16:uniqueId val="{00000002-70D9-41C6-8EDA-ECDB21D24780}"/>
            </c:ext>
          </c:extLst>
        </c:ser>
        <c:ser>
          <c:idx val="0"/>
          <c:order val="1"/>
          <c:tx>
            <c:strRef>
              <c:f>'Chart (HIDE)'!$D$67</c:f>
              <c:strCache>
                <c:ptCount val="1"/>
                <c:pt idx="0">
                  <c:v>Marginal Pasture (from 75% equity)</c:v>
                </c:pt>
              </c:strCache>
            </c:strRef>
          </c:tx>
          <c:dPt>
            <c:idx val="0"/>
            <c:marker>
              <c:symbol val="none"/>
            </c:marker>
            <c:bubble3D val="0"/>
            <c:extLst>
              <c:ext xmlns:c16="http://schemas.microsoft.com/office/drawing/2014/chart" uri="{C3380CC4-5D6E-409C-BE32-E72D297353CC}">
                <c16:uniqueId val="{00000004-70D9-41C6-8EDA-ECDB21D24780}"/>
              </c:ext>
            </c:extLst>
          </c:dPt>
          <c:dPt>
            <c:idx val="1"/>
            <c:marker>
              <c:symbol val="none"/>
            </c:marker>
            <c:bubble3D val="0"/>
            <c:extLst>
              <c:ext xmlns:c16="http://schemas.microsoft.com/office/drawing/2014/chart" uri="{C3380CC4-5D6E-409C-BE32-E72D297353CC}">
                <c16:uniqueId val="{00000006-70D9-41C6-8EDA-ECDB21D24780}"/>
              </c:ext>
            </c:extLst>
          </c:dPt>
          <c:dPt>
            <c:idx val="2"/>
            <c:marker>
              <c:symbol val="none"/>
            </c:marker>
            <c:bubble3D val="0"/>
            <c:extLst>
              <c:ext xmlns:c16="http://schemas.microsoft.com/office/drawing/2014/chart" uri="{C3380CC4-5D6E-409C-BE32-E72D297353CC}">
                <c16:uniqueId val="{00000008-70D9-41C6-8EDA-ECDB21D24780}"/>
              </c:ext>
            </c:extLst>
          </c:dPt>
          <c:dPt>
            <c:idx val="4"/>
            <c:marker>
              <c:symbol val="none"/>
            </c:marker>
            <c:bubble3D val="0"/>
            <c:extLst>
              <c:ext xmlns:c16="http://schemas.microsoft.com/office/drawing/2014/chart" uri="{C3380CC4-5D6E-409C-BE32-E72D297353CC}">
                <c16:uniqueId val="{0000000A-70D9-41C6-8EDA-ECDB21D24780}"/>
              </c:ext>
            </c:extLst>
          </c:dPt>
          <c:dPt>
            <c:idx val="5"/>
            <c:marker>
              <c:symbol val="none"/>
            </c:marker>
            <c:bubble3D val="0"/>
            <c:extLst>
              <c:ext xmlns:c16="http://schemas.microsoft.com/office/drawing/2014/chart" uri="{C3380CC4-5D6E-409C-BE32-E72D297353CC}">
                <c16:uniqueId val="{0000000C-70D9-41C6-8EDA-ECDB21D24780}"/>
              </c:ext>
            </c:extLst>
          </c:dPt>
          <c:dPt>
            <c:idx val="6"/>
            <c:marker>
              <c:symbol val="none"/>
            </c:marker>
            <c:bubble3D val="0"/>
            <c:extLst>
              <c:ext xmlns:c16="http://schemas.microsoft.com/office/drawing/2014/chart" uri="{C3380CC4-5D6E-409C-BE32-E72D297353CC}">
                <c16:uniqueId val="{0000000E-70D9-41C6-8EDA-ECDB21D24780}"/>
              </c:ext>
            </c:extLst>
          </c:dPt>
          <c:dLbls>
            <c:dLbl>
              <c:idx val="0"/>
              <c:delete val="1"/>
              <c:extLst>
                <c:ext xmlns:c15="http://schemas.microsoft.com/office/drawing/2012/chart" uri="{CE6537A1-D6FC-4f65-9D91-7224C49458BB}"/>
                <c:ext xmlns:c16="http://schemas.microsoft.com/office/drawing/2014/chart" uri="{C3380CC4-5D6E-409C-BE32-E72D297353CC}">
                  <c16:uniqueId val="{00000004-70D9-41C6-8EDA-ECDB21D24780}"/>
                </c:ext>
              </c:extLst>
            </c:dLbl>
            <c:dLbl>
              <c:idx val="1"/>
              <c:delete val="1"/>
              <c:extLst>
                <c:ext xmlns:c15="http://schemas.microsoft.com/office/drawing/2012/chart" uri="{CE6537A1-D6FC-4f65-9D91-7224C49458BB}"/>
                <c:ext xmlns:c16="http://schemas.microsoft.com/office/drawing/2014/chart" uri="{C3380CC4-5D6E-409C-BE32-E72D297353CC}">
                  <c16:uniqueId val="{00000006-70D9-41C6-8EDA-ECDB21D24780}"/>
                </c:ext>
              </c:extLst>
            </c:dLbl>
            <c:dLbl>
              <c:idx val="2"/>
              <c:delete val="1"/>
              <c:extLst>
                <c:ext xmlns:c15="http://schemas.microsoft.com/office/drawing/2012/chart" uri="{CE6537A1-D6FC-4f65-9D91-7224C49458BB}"/>
                <c:ext xmlns:c16="http://schemas.microsoft.com/office/drawing/2014/chart" uri="{C3380CC4-5D6E-409C-BE32-E72D297353CC}">
                  <c16:uniqueId val="{00000008-70D9-41C6-8EDA-ECDB21D24780}"/>
                </c:ext>
              </c:extLst>
            </c:dLbl>
            <c:dLbl>
              <c:idx val="4"/>
              <c:delete val="1"/>
              <c:extLst>
                <c:ext xmlns:c15="http://schemas.microsoft.com/office/drawing/2012/chart" uri="{CE6537A1-D6FC-4f65-9D91-7224C49458BB}"/>
                <c:ext xmlns:c16="http://schemas.microsoft.com/office/drawing/2014/chart" uri="{C3380CC4-5D6E-409C-BE32-E72D297353CC}">
                  <c16:uniqueId val="{0000000A-70D9-41C6-8EDA-ECDB21D24780}"/>
                </c:ext>
              </c:extLst>
            </c:dLbl>
            <c:dLbl>
              <c:idx val="5"/>
              <c:delete val="1"/>
              <c:extLst>
                <c:ext xmlns:c15="http://schemas.microsoft.com/office/drawing/2012/chart" uri="{CE6537A1-D6FC-4f65-9D91-7224C49458BB}"/>
                <c:ext xmlns:c16="http://schemas.microsoft.com/office/drawing/2014/chart" uri="{C3380CC4-5D6E-409C-BE32-E72D297353CC}">
                  <c16:uniqueId val="{0000000C-70D9-41C6-8EDA-ECDB21D24780}"/>
                </c:ext>
              </c:extLst>
            </c:dLbl>
            <c:dLbl>
              <c:idx val="6"/>
              <c:delete val="1"/>
              <c:extLst>
                <c:ext xmlns:c15="http://schemas.microsoft.com/office/drawing/2012/chart" uri="{CE6537A1-D6FC-4f65-9D91-7224C49458BB}"/>
                <c:ext xmlns:c16="http://schemas.microsoft.com/office/drawing/2014/chart" uri="{C3380CC4-5D6E-409C-BE32-E72D297353CC}">
                  <c16:uniqueId val="{0000000E-70D9-41C6-8EDA-ECDB21D2478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(HIDE)'!$D$68:$D$74</c:f>
              <c:numCache>
                <c:formatCode>"$"#,##0.00_);[Red]\("$"#,##0.00\)</c:formatCode>
                <c:ptCount val="7"/>
                <c:pt idx="0">
                  <c:v>1.7253074602314813</c:v>
                </c:pt>
                <c:pt idx="1">
                  <c:v>1.6053074602314814</c:v>
                </c:pt>
                <c:pt idx="2">
                  <c:v>1.4753074602314813</c:v>
                </c:pt>
                <c:pt idx="3">
                  <c:v>1.3553074602314814</c:v>
                </c:pt>
                <c:pt idx="4">
                  <c:v>1.2353074602314815</c:v>
                </c:pt>
                <c:pt idx="5">
                  <c:v>1.1153074602314814</c:v>
                </c:pt>
                <c:pt idx="6">
                  <c:v>0.98530746023148141</c:v>
                </c:pt>
              </c:numCache>
            </c:numRef>
          </c:val>
          <c:smooth val="0"/>
          <c:extLst>
            <c:ext xmlns:c16="http://schemas.microsoft.com/office/drawing/2014/chart" uri="{C3380CC4-5D6E-409C-BE32-E72D297353CC}">
              <c16:uniqueId val="{0000000F-70D9-41C6-8EDA-ECDB21D24780}"/>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Owned Pasture Equity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(HIDE)'!$B$84</c:f>
          <c:strCache>
            <c:ptCount val="1"/>
            <c:pt idx="0">
              <c:v>Impact of Pasture Equity on Total Pasture Cost Per Day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(HIDE)'!$C$87</c:f>
              <c:strCache>
                <c:ptCount val="1"/>
                <c:pt idx="0">
                  <c:v>Improved Pasture ($1,875/ac, 94 hd,135 days)</c:v>
                </c:pt>
              </c:strCache>
            </c:strRef>
          </c:tx>
          <c:marker>
            <c:symbol val="none"/>
          </c:marker>
          <c:dPt>
            <c:idx val="3"/>
            <c:bubble3D val="0"/>
            <c:spPr/>
            <c:extLst>
              <c:ext xmlns:c16="http://schemas.microsoft.com/office/drawing/2014/chart" uri="{C3380CC4-5D6E-409C-BE32-E72D297353CC}">
                <c16:uniqueId val="{00000001-8781-4D06-A627-FC641B7B502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(HIDE)'!$C$88:$C$98</c:f>
              <c:numCache>
                <c:formatCode>"$"#,##0.00_);[Red]\("$"#,##0.00\)</c:formatCode>
                <c:ptCount val="11"/>
                <c:pt idx="0">
                  <c:v>2.7894100000000002</c:v>
                </c:pt>
                <c:pt idx="1">
                  <c:v>2.6094100000000005</c:v>
                </c:pt>
                <c:pt idx="2">
                  <c:v>2.4194100000000001</c:v>
                </c:pt>
                <c:pt idx="3">
                  <c:v>2.2394100000000003</c:v>
                </c:pt>
                <c:pt idx="4">
                  <c:v>2.0494100000000004</c:v>
                </c:pt>
                <c:pt idx="5">
                  <c:v>1.8694100000000002</c:v>
                </c:pt>
                <c:pt idx="6">
                  <c:v>1.6894100000000003</c:v>
                </c:pt>
                <c:pt idx="7">
                  <c:v>1.4994100000000004</c:v>
                </c:pt>
                <c:pt idx="8">
                  <c:v>1.3194100000000002</c:v>
                </c:pt>
                <c:pt idx="9">
                  <c:v>1.1294100000000002</c:v>
                </c:pt>
                <c:pt idx="10">
                  <c:v>0.94941000000000031</c:v>
                </c:pt>
              </c:numCache>
            </c:numRef>
          </c:val>
          <c:smooth val="0"/>
          <c:extLst>
            <c:ext xmlns:c16="http://schemas.microsoft.com/office/drawing/2014/chart" uri="{C3380CC4-5D6E-409C-BE32-E72D297353CC}">
              <c16:uniqueId val="{00000002-8781-4D06-A627-FC641B7B5020}"/>
            </c:ext>
          </c:extLst>
        </c:ser>
        <c:ser>
          <c:idx val="0"/>
          <c:order val="1"/>
          <c:tx>
            <c:strRef>
              <c:f>'Chart (HIDE)'!$D$87</c:f>
              <c:strCache>
                <c:ptCount val="1"/>
                <c:pt idx="0">
                  <c:v>Marginal Pasture  ($844/ac, 32 hd,135 days)</c:v>
                </c:pt>
              </c:strCache>
            </c:strRef>
          </c:tx>
          <c:marker>
            <c:symbol val="none"/>
          </c:marker>
          <c:dPt>
            <c:idx val="0"/>
            <c:bubble3D val="0"/>
            <c:extLst>
              <c:ext xmlns:c16="http://schemas.microsoft.com/office/drawing/2014/chart" uri="{C3380CC4-5D6E-409C-BE32-E72D297353CC}">
                <c16:uniqueId val="{00000004-8781-4D06-A627-FC641B7B5020}"/>
              </c:ext>
            </c:extLst>
          </c:dPt>
          <c:dPt>
            <c:idx val="1"/>
            <c:bubble3D val="0"/>
            <c:extLst>
              <c:ext xmlns:c16="http://schemas.microsoft.com/office/drawing/2014/chart" uri="{C3380CC4-5D6E-409C-BE32-E72D297353CC}">
                <c16:uniqueId val="{00000006-8781-4D06-A627-FC641B7B5020}"/>
              </c:ext>
            </c:extLst>
          </c:dPt>
          <c:dPt>
            <c:idx val="2"/>
            <c:bubble3D val="0"/>
            <c:extLst>
              <c:ext xmlns:c16="http://schemas.microsoft.com/office/drawing/2014/chart" uri="{C3380CC4-5D6E-409C-BE32-E72D297353CC}">
                <c16:uniqueId val="{00000008-8781-4D06-A627-FC641B7B5020}"/>
              </c:ext>
            </c:extLst>
          </c:dPt>
          <c:dPt>
            <c:idx val="4"/>
            <c:bubble3D val="0"/>
            <c:extLst>
              <c:ext xmlns:c16="http://schemas.microsoft.com/office/drawing/2014/chart" uri="{C3380CC4-5D6E-409C-BE32-E72D297353CC}">
                <c16:uniqueId val="{0000000A-8781-4D06-A627-FC641B7B5020}"/>
              </c:ext>
            </c:extLst>
          </c:dPt>
          <c:dPt>
            <c:idx val="5"/>
            <c:bubble3D val="0"/>
            <c:extLst>
              <c:ext xmlns:c16="http://schemas.microsoft.com/office/drawing/2014/chart" uri="{C3380CC4-5D6E-409C-BE32-E72D297353CC}">
                <c16:uniqueId val="{0000000C-8781-4D06-A627-FC641B7B5020}"/>
              </c:ext>
            </c:extLst>
          </c:dPt>
          <c:dPt>
            <c:idx val="6"/>
            <c:bubble3D val="0"/>
            <c:extLst>
              <c:ext xmlns:c16="http://schemas.microsoft.com/office/drawing/2014/chart" uri="{C3380CC4-5D6E-409C-BE32-E72D297353CC}">
                <c16:uniqueId val="{0000000E-8781-4D06-A627-FC641B7B502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(HIDE)'!$D$88:$D$98</c:f>
              <c:numCache>
                <c:formatCode>"$"#,##0.00_);[Red]\("$"#,##0.00\)</c:formatCode>
                <c:ptCount val="11"/>
                <c:pt idx="0">
                  <c:v>3.1853074602314813</c:v>
                </c:pt>
                <c:pt idx="1">
                  <c:v>2.9453074602314819</c:v>
                </c:pt>
                <c:pt idx="2">
                  <c:v>2.7053074602314817</c:v>
                </c:pt>
                <c:pt idx="3">
                  <c:v>2.4553074602314817</c:v>
                </c:pt>
                <c:pt idx="4">
                  <c:v>2.2153074602314815</c:v>
                </c:pt>
                <c:pt idx="5">
                  <c:v>1.9653074602314815</c:v>
                </c:pt>
                <c:pt idx="6">
                  <c:v>1.7253074602314813</c:v>
                </c:pt>
                <c:pt idx="7">
                  <c:v>1.4753074602314813</c:v>
                </c:pt>
                <c:pt idx="8">
                  <c:v>1.2353074602314815</c:v>
                </c:pt>
                <c:pt idx="9">
                  <c:v>0.98530746023148141</c:v>
                </c:pt>
                <c:pt idx="10">
                  <c:v>0.74530746023148142</c:v>
                </c:pt>
              </c:numCache>
            </c:numRef>
          </c:val>
          <c:smooth val="0"/>
          <c:extLst>
            <c:ext xmlns:c16="http://schemas.microsoft.com/office/drawing/2014/chart" uri="{C3380CC4-5D6E-409C-BE32-E72D297353CC}">
              <c16:uniqueId val="{0000000F-8781-4D06-A627-FC641B7B5020}"/>
            </c:ext>
          </c:extLst>
        </c:ser>
        <c:dLbls>
          <c:showLegendKey val="0"/>
          <c:showVal val="0"/>
          <c:showCatName val="0"/>
          <c:showSerName val="0"/>
          <c:showPercent val="0"/>
          <c:showBubbleSize val="0"/>
        </c:dLbls>
        <c:smooth val="0"/>
        <c:axId val="204954888"/>
        <c:axId val="1"/>
      </c:lineChart>
      <c:catAx>
        <c:axId val="204954888"/>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4888"/>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(HIDE)'!$B$107</c:f>
          <c:strCache>
            <c:ptCount val="1"/>
            <c:pt idx="0">
              <c:v>Impact of Pasture Equity on Payment Per Acre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(HIDE)'!$C$110</c:f>
              <c:strCache>
                <c:ptCount val="1"/>
                <c:pt idx="0">
                  <c:v>Improved Pasture ($1,875/ac)</c:v>
                </c:pt>
              </c:strCache>
            </c:strRef>
          </c:tx>
          <c:marker>
            <c:symbol val="none"/>
          </c:marker>
          <c:dPt>
            <c:idx val="3"/>
            <c:bubble3D val="0"/>
            <c:spPr/>
            <c:extLst>
              <c:ext xmlns:c16="http://schemas.microsoft.com/office/drawing/2014/chart" uri="{C3380CC4-5D6E-409C-BE32-E72D297353CC}">
                <c16:uniqueId val="{00000001-FF91-4EB7-A246-1355D37156D7}"/>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(HIDE)'!$C$111:$C$121</c:f>
              <c:numCache>
                <c:formatCode>"$"#,##0_);[Red]\("$"#,##0\)</c:formatCode>
                <c:ptCount val="11"/>
                <c:pt idx="0">
                  <c:v>146.67509664801372</c:v>
                </c:pt>
                <c:pt idx="1">
                  <c:v>132.00758698321235</c:v>
                </c:pt>
                <c:pt idx="2">
                  <c:v>117.34007731841096</c:v>
                </c:pt>
                <c:pt idx="3">
                  <c:v>102.67256765360959</c:v>
                </c:pt>
                <c:pt idx="4">
                  <c:v>88.005057988808232</c:v>
                </c:pt>
                <c:pt idx="5">
                  <c:v>73.33754832400686</c:v>
                </c:pt>
                <c:pt idx="6">
                  <c:v>58.670038659205481</c:v>
                </c:pt>
                <c:pt idx="7">
                  <c:v>44.002528994404123</c:v>
                </c:pt>
                <c:pt idx="8">
                  <c:v>29.335019329602737</c:v>
                </c:pt>
                <c:pt idx="9">
                  <c:v>14.667509664801369</c:v>
                </c:pt>
                <c:pt idx="10">
                  <c:v>0</c:v>
                </c:pt>
              </c:numCache>
            </c:numRef>
          </c:val>
          <c:smooth val="0"/>
          <c:extLst>
            <c:ext xmlns:c16="http://schemas.microsoft.com/office/drawing/2014/chart" uri="{C3380CC4-5D6E-409C-BE32-E72D297353CC}">
              <c16:uniqueId val="{00000002-FF91-4EB7-A246-1355D37156D7}"/>
            </c:ext>
          </c:extLst>
        </c:ser>
        <c:ser>
          <c:idx val="0"/>
          <c:order val="1"/>
          <c:tx>
            <c:strRef>
              <c:f>'Chart (HIDE)'!$D$110</c:f>
              <c:strCache>
                <c:ptCount val="1"/>
                <c:pt idx="0">
                  <c:v>Marginal Pasture  ($844/ac)</c:v>
                </c:pt>
              </c:strCache>
            </c:strRef>
          </c:tx>
          <c:marker>
            <c:symbol val="none"/>
          </c:marker>
          <c:dPt>
            <c:idx val="0"/>
            <c:bubble3D val="0"/>
            <c:extLst>
              <c:ext xmlns:c16="http://schemas.microsoft.com/office/drawing/2014/chart" uri="{C3380CC4-5D6E-409C-BE32-E72D297353CC}">
                <c16:uniqueId val="{00000004-FF91-4EB7-A246-1355D37156D7}"/>
              </c:ext>
            </c:extLst>
          </c:dPt>
          <c:dPt>
            <c:idx val="1"/>
            <c:bubble3D val="0"/>
            <c:extLst>
              <c:ext xmlns:c16="http://schemas.microsoft.com/office/drawing/2014/chart" uri="{C3380CC4-5D6E-409C-BE32-E72D297353CC}">
                <c16:uniqueId val="{00000006-FF91-4EB7-A246-1355D37156D7}"/>
              </c:ext>
            </c:extLst>
          </c:dPt>
          <c:dPt>
            <c:idx val="2"/>
            <c:bubble3D val="0"/>
            <c:extLst>
              <c:ext xmlns:c16="http://schemas.microsoft.com/office/drawing/2014/chart" uri="{C3380CC4-5D6E-409C-BE32-E72D297353CC}">
                <c16:uniqueId val="{00000008-FF91-4EB7-A246-1355D37156D7}"/>
              </c:ext>
            </c:extLst>
          </c:dPt>
          <c:dPt>
            <c:idx val="4"/>
            <c:bubble3D val="0"/>
            <c:extLst>
              <c:ext xmlns:c16="http://schemas.microsoft.com/office/drawing/2014/chart" uri="{C3380CC4-5D6E-409C-BE32-E72D297353CC}">
                <c16:uniqueId val="{0000000A-FF91-4EB7-A246-1355D37156D7}"/>
              </c:ext>
            </c:extLst>
          </c:dPt>
          <c:dPt>
            <c:idx val="5"/>
            <c:bubble3D val="0"/>
            <c:extLst>
              <c:ext xmlns:c16="http://schemas.microsoft.com/office/drawing/2014/chart" uri="{C3380CC4-5D6E-409C-BE32-E72D297353CC}">
                <c16:uniqueId val="{0000000C-FF91-4EB7-A246-1355D37156D7}"/>
              </c:ext>
            </c:extLst>
          </c:dPt>
          <c:dPt>
            <c:idx val="6"/>
            <c:bubble3D val="0"/>
            <c:extLst>
              <c:ext xmlns:c16="http://schemas.microsoft.com/office/drawing/2014/chart" uri="{C3380CC4-5D6E-409C-BE32-E72D297353CC}">
                <c16:uniqueId val="{0000000E-FF91-4EB7-A246-1355D37156D7}"/>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(HIDE)'!$D$111:$D$121</c:f>
              <c:numCache>
                <c:formatCode>"$"#,##0_);[Red]\("$"#,##0\)</c:formatCode>
                <c:ptCount val="11"/>
                <c:pt idx="0">
                  <c:v>66.003793491606174</c:v>
                </c:pt>
                <c:pt idx="1">
                  <c:v>59.403414142445556</c:v>
                </c:pt>
                <c:pt idx="2">
                  <c:v>52.803034793284937</c:v>
                </c:pt>
                <c:pt idx="3">
                  <c:v>46.202655444124318</c:v>
                </c:pt>
                <c:pt idx="4">
                  <c:v>39.602276094963706</c:v>
                </c:pt>
                <c:pt idx="5">
                  <c:v>33.001896745803087</c:v>
                </c:pt>
                <c:pt idx="6">
                  <c:v>26.401517396642468</c:v>
                </c:pt>
                <c:pt idx="7">
                  <c:v>19.801138047481853</c:v>
                </c:pt>
                <c:pt idx="8">
                  <c:v>13.200758698321232</c:v>
                </c:pt>
                <c:pt idx="9">
                  <c:v>6.6003793491606162</c:v>
                </c:pt>
                <c:pt idx="10">
                  <c:v>0</c:v>
                </c:pt>
              </c:numCache>
            </c:numRef>
          </c:val>
          <c:smooth val="0"/>
          <c:extLst>
            <c:ext xmlns:c16="http://schemas.microsoft.com/office/drawing/2014/chart" uri="{C3380CC4-5D6E-409C-BE32-E72D297353CC}">
              <c16:uniqueId val="{0000000F-FF91-4EB7-A246-1355D37156D7}"/>
            </c:ext>
          </c:extLst>
        </c:ser>
        <c:dLbls>
          <c:showLegendKey val="0"/>
          <c:showVal val="0"/>
          <c:showCatName val="0"/>
          <c:showSerName val="0"/>
          <c:showPercent val="0"/>
          <c:showBubbleSize val="0"/>
        </c:dLbls>
        <c:smooth val="0"/>
        <c:axId val="207090464"/>
        <c:axId val="1"/>
      </c:lineChart>
      <c:catAx>
        <c:axId val="20709046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Acre</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0464"/>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(HIDE)'!$B$108</c:f>
          <c:strCache>
            <c:ptCount val="1"/>
            <c:pt idx="0">
              <c:v>Impact of Pasture Equity on Payment Per Quarter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(HIDE)'!$F$110</c:f>
              <c:strCache>
                <c:ptCount val="1"/>
                <c:pt idx="0">
                  <c:v>Improved Pasture ($1,875/ac)</c:v>
                </c:pt>
              </c:strCache>
            </c:strRef>
          </c:tx>
          <c:marker>
            <c:symbol val="none"/>
          </c:marker>
          <c:dPt>
            <c:idx val="3"/>
            <c:bubble3D val="0"/>
            <c:spPr/>
            <c:extLst>
              <c:ext xmlns:c16="http://schemas.microsoft.com/office/drawing/2014/chart" uri="{C3380CC4-5D6E-409C-BE32-E72D297353CC}">
                <c16:uniqueId val="{00000001-60D0-4ECE-A728-ACA5589F540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(HIDE)'!$F$111:$F$121</c:f>
              <c:numCache>
                <c:formatCode>"$"#,##0_);[Red]\("$"#,##0\)</c:formatCode>
                <c:ptCount val="11"/>
                <c:pt idx="0">
                  <c:v>23468.015463682197</c:v>
                </c:pt>
                <c:pt idx="1">
                  <c:v>21121.213917313977</c:v>
                </c:pt>
                <c:pt idx="2">
                  <c:v>18774.412370945753</c:v>
                </c:pt>
                <c:pt idx="3">
                  <c:v>16427.610824577536</c:v>
                </c:pt>
                <c:pt idx="4">
                  <c:v>14080.809278209317</c:v>
                </c:pt>
                <c:pt idx="5">
                  <c:v>11734.007731841099</c:v>
                </c:pt>
                <c:pt idx="6">
                  <c:v>9387.2061854728763</c:v>
                </c:pt>
                <c:pt idx="7">
                  <c:v>7040.4046391046595</c:v>
                </c:pt>
                <c:pt idx="8">
                  <c:v>4693.6030927364382</c:v>
                </c:pt>
                <c:pt idx="9">
                  <c:v>2346.8015463682191</c:v>
                </c:pt>
                <c:pt idx="10">
                  <c:v>0</c:v>
                </c:pt>
              </c:numCache>
            </c:numRef>
          </c:val>
          <c:smooth val="0"/>
          <c:extLst>
            <c:ext xmlns:c16="http://schemas.microsoft.com/office/drawing/2014/chart" uri="{C3380CC4-5D6E-409C-BE32-E72D297353CC}">
              <c16:uniqueId val="{00000002-60D0-4ECE-A728-ACA5589F5400}"/>
            </c:ext>
          </c:extLst>
        </c:ser>
        <c:ser>
          <c:idx val="0"/>
          <c:order val="1"/>
          <c:tx>
            <c:strRef>
              <c:f>'Chart (HIDE)'!$G$110</c:f>
              <c:strCache>
                <c:ptCount val="1"/>
                <c:pt idx="0">
                  <c:v>Marginal Pasture  ($844/ac)</c:v>
                </c:pt>
              </c:strCache>
            </c:strRef>
          </c:tx>
          <c:marker>
            <c:symbol val="none"/>
          </c:marker>
          <c:dPt>
            <c:idx val="0"/>
            <c:bubble3D val="0"/>
            <c:extLst>
              <c:ext xmlns:c16="http://schemas.microsoft.com/office/drawing/2014/chart" uri="{C3380CC4-5D6E-409C-BE32-E72D297353CC}">
                <c16:uniqueId val="{00000004-60D0-4ECE-A728-ACA5589F5400}"/>
              </c:ext>
            </c:extLst>
          </c:dPt>
          <c:dPt>
            <c:idx val="1"/>
            <c:bubble3D val="0"/>
            <c:extLst>
              <c:ext xmlns:c16="http://schemas.microsoft.com/office/drawing/2014/chart" uri="{C3380CC4-5D6E-409C-BE32-E72D297353CC}">
                <c16:uniqueId val="{00000006-60D0-4ECE-A728-ACA5589F5400}"/>
              </c:ext>
            </c:extLst>
          </c:dPt>
          <c:dPt>
            <c:idx val="2"/>
            <c:bubble3D val="0"/>
            <c:extLst>
              <c:ext xmlns:c16="http://schemas.microsoft.com/office/drawing/2014/chart" uri="{C3380CC4-5D6E-409C-BE32-E72D297353CC}">
                <c16:uniqueId val="{00000008-60D0-4ECE-A728-ACA5589F5400}"/>
              </c:ext>
            </c:extLst>
          </c:dPt>
          <c:dPt>
            <c:idx val="4"/>
            <c:bubble3D val="0"/>
            <c:extLst>
              <c:ext xmlns:c16="http://schemas.microsoft.com/office/drawing/2014/chart" uri="{C3380CC4-5D6E-409C-BE32-E72D297353CC}">
                <c16:uniqueId val="{0000000A-60D0-4ECE-A728-ACA5589F5400}"/>
              </c:ext>
            </c:extLst>
          </c:dPt>
          <c:dPt>
            <c:idx val="5"/>
            <c:bubble3D val="0"/>
            <c:extLst>
              <c:ext xmlns:c16="http://schemas.microsoft.com/office/drawing/2014/chart" uri="{C3380CC4-5D6E-409C-BE32-E72D297353CC}">
                <c16:uniqueId val="{0000000C-60D0-4ECE-A728-ACA5589F5400}"/>
              </c:ext>
            </c:extLst>
          </c:dPt>
          <c:dPt>
            <c:idx val="6"/>
            <c:bubble3D val="0"/>
            <c:extLst>
              <c:ext xmlns:c16="http://schemas.microsoft.com/office/drawing/2014/chart" uri="{C3380CC4-5D6E-409C-BE32-E72D297353CC}">
                <c16:uniqueId val="{0000000E-60D0-4ECE-A728-ACA5589F5400}"/>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(HIDE)'!$G$111:$G$121</c:f>
              <c:numCache>
                <c:formatCode>"$"#,##0_);[Red]\("$"#,##0\)</c:formatCode>
                <c:ptCount val="11"/>
                <c:pt idx="0">
                  <c:v>10560.606958656988</c:v>
                </c:pt>
                <c:pt idx="1">
                  <c:v>9504.5462627912893</c:v>
                </c:pt>
                <c:pt idx="2">
                  <c:v>8448.4855669255903</c:v>
                </c:pt>
                <c:pt idx="3">
                  <c:v>7392.4248710598913</c:v>
                </c:pt>
                <c:pt idx="4">
                  <c:v>6336.3641751941932</c:v>
                </c:pt>
                <c:pt idx="5">
                  <c:v>5280.3034793284942</c:v>
                </c:pt>
                <c:pt idx="6">
                  <c:v>4224.2427834627952</c:v>
                </c:pt>
                <c:pt idx="7">
                  <c:v>3168.1820875970966</c:v>
                </c:pt>
                <c:pt idx="8">
                  <c:v>2112.1213917313971</c:v>
                </c:pt>
                <c:pt idx="9">
                  <c:v>1056.0606958656986</c:v>
                </c:pt>
                <c:pt idx="10">
                  <c:v>0</c:v>
                </c:pt>
              </c:numCache>
            </c:numRef>
          </c:val>
          <c:smooth val="0"/>
          <c:extLst>
            <c:ext xmlns:c16="http://schemas.microsoft.com/office/drawing/2014/chart" uri="{C3380CC4-5D6E-409C-BE32-E72D297353CC}">
              <c16:uniqueId val="{0000000F-60D0-4ECE-A728-ACA5589F5400}"/>
            </c:ext>
          </c:extLst>
        </c:ser>
        <c:dLbls>
          <c:showLegendKey val="0"/>
          <c:showVal val="0"/>
          <c:showCatName val="0"/>
          <c:showSerName val="0"/>
          <c:showPercent val="0"/>
          <c:showBubbleSize val="0"/>
        </c:dLbls>
        <c:smooth val="0"/>
        <c:axId val="207097680"/>
        <c:axId val="1"/>
      </c:lineChart>
      <c:catAx>
        <c:axId val="207097680"/>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Quarter</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7680"/>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(HIDE)'!$B$85</c:f>
          <c:strCache>
            <c:ptCount val="1"/>
            <c:pt idx="0">
              <c:v>Impact of Pasture Equity on Total Pasture Cost Per Season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(HIDE)'!$F$87</c:f>
              <c:strCache>
                <c:ptCount val="1"/>
                <c:pt idx="0">
                  <c:v>Improved Pasture ($1,875/ac, 94 hd,135 days)</c:v>
                </c:pt>
              </c:strCache>
            </c:strRef>
          </c:tx>
          <c:marker>
            <c:symbol val="none"/>
          </c:marker>
          <c:dPt>
            <c:idx val="3"/>
            <c:bubble3D val="0"/>
            <c:spPr/>
            <c:extLst>
              <c:ext xmlns:c16="http://schemas.microsoft.com/office/drawing/2014/chart" uri="{C3380CC4-5D6E-409C-BE32-E72D297353CC}">
                <c16:uniqueId val="{00000001-5F2F-4305-A0B9-BF9420D94ABA}"/>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(HIDE)'!$F$88:$F$98</c:f>
              <c:numCache>
                <c:formatCode>"$"#,##0_);[Red]\("$"#,##0\)</c:formatCode>
                <c:ptCount val="11"/>
                <c:pt idx="0">
                  <c:v>376.57035000000002</c:v>
                </c:pt>
                <c:pt idx="1">
                  <c:v>352.27035000000006</c:v>
                </c:pt>
                <c:pt idx="2">
                  <c:v>326.62035000000003</c:v>
                </c:pt>
                <c:pt idx="3">
                  <c:v>302.32035000000002</c:v>
                </c:pt>
                <c:pt idx="4">
                  <c:v>276.67035000000004</c:v>
                </c:pt>
                <c:pt idx="5">
                  <c:v>252.37035000000003</c:v>
                </c:pt>
                <c:pt idx="6">
                  <c:v>228.07035000000005</c:v>
                </c:pt>
                <c:pt idx="7">
                  <c:v>202.42035000000004</c:v>
                </c:pt>
                <c:pt idx="8">
                  <c:v>178.12035000000003</c:v>
                </c:pt>
                <c:pt idx="9">
                  <c:v>152.47035000000002</c:v>
                </c:pt>
                <c:pt idx="10">
                  <c:v>128.17035000000004</c:v>
                </c:pt>
              </c:numCache>
            </c:numRef>
          </c:val>
          <c:smooth val="0"/>
          <c:extLst>
            <c:ext xmlns:c16="http://schemas.microsoft.com/office/drawing/2014/chart" uri="{C3380CC4-5D6E-409C-BE32-E72D297353CC}">
              <c16:uniqueId val="{00000002-5F2F-4305-A0B9-BF9420D94ABA}"/>
            </c:ext>
          </c:extLst>
        </c:ser>
        <c:ser>
          <c:idx val="0"/>
          <c:order val="1"/>
          <c:tx>
            <c:strRef>
              <c:f>'Chart (HIDE)'!$G$87</c:f>
              <c:strCache>
                <c:ptCount val="1"/>
                <c:pt idx="0">
                  <c:v>Marginal Pasture  ($844/ac, 32 hd,135 days)</c:v>
                </c:pt>
              </c:strCache>
            </c:strRef>
          </c:tx>
          <c:marker>
            <c:symbol val="none"/>
          </c:marker>
          <c:dPt>
            <c:idx val="0"/>
            <c:bubble3D val="0"/>
            <c:extLst>
              <c:ext xmlns:c16="http://schemas.microsoft.com/office/drawing/2014/chart" uri="{C3380CC4-5D6E-409C-BE32-E72D297353CC}">
                <c16:uniqueId val="{00000004-5F2F-4305-A0B9-BF9420D94ABA}"/>
              </c:ext>
            </c:extLst>
          </c:dPt>
          <c:dPt>
            <c:idx val="1"/>
            <c:bubble3D val="0"/>
            <c:extLst>
              <c:ext xmlns:c16="http://schemas.microsoft.com/office/drawing/2014/chart" uri="{C3380CC4-5D6E-409C-BE32-E72D297353CC}">
                <c16:uniqueId val="{00000006-5F2F-4305-A0B9-BF9420D94ABA}"/>
              </c:ext>
            </c:extLst>
          </c:dPt>
          <c:dPt>
            <c:idx val="2"/>
            <c:bubble3D val="0"/>
            <c:extLst>
              <c:ext xmlns:c16="http://schemas.microsoft.com/office/drawing/2014/chart" uri="{C3380CC4-5D6E-409C-BE32-E72D297353CC}">
                <c16:uniqueId val="{00000008-5F2F-4305-A0B9-BF9420D94ABA}"/>
              </c:ext>
            </c:extLst>
          </c:dPt>
          <c:dPt>
            <c:idx val="4"/>
            <c:bubble3D val="0"/>
            <c:extLst>
              <c:ext xmlns:c16="http://schemas.microsoft.com/office/drawing/2014/chart" uri="{C3380CC4-5D6E-409C-BE32-E72D297353CC}">
                <c16:uniqueId val="{0000000A-5F2F-4305-A0B9-BF9420D94ABA}"/>
              </c:ext>
            </c:extLst>
          </c:dPt>
          <c:dPt>
            <c:idx val="5"/>
            <c:bubble3D val="0"/>
            <c:extLst>
              <c:ext xmlns:c16="http://schemas.microsoft.com/office/drawing/2014/chart" uri="{C3380CC4-5D6E-409C-BE32-E72D297353CC}">
                <c16:uniqueId val="{0000000C-5F2F-4305-A0B9-BF9420D94ABA}"/>
              </c:ext>
            </c:extLst>
          </c:dPt>
          <c:dPt>
            <c:idx val="6"/>
            <c:bubble3D val="0"/>
            <c:extLst>
              <c:ext xmlns:c16="http://schemas.microsoft.com/office/drawing/2014/chart" uri="{C3380CC4-5D6E-409C-BE32-E72D297353CC}">
                <c16:uniqueId val="{0000000E-5F2F-4305-A0B9-BF9420D94ABA}"/>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(HIDE)'!$G$88:$G$98</c:f>
              <c:numCache>
                <c:formatCode>"$"#,##0_);[Red]\("$"#,##0\)</c:formatCode>
                <c:ptCount val="11"/>
                <c:pt idx="0">
                  <c:v>430.01650713124997</c:v>
                </c:pt>
                <c:pt idx="1">
                  <c:v>397.61650713125005</c:v>
                </c:pt>
                <c:pt idx="2">
                  <c:v>365.21650713125001</c:v>
                </c:pt>
                <c:pt idx="3">
                  <c:v>331.46650713125001</c:v>
                </c:pt>
                <c:pt idx="4">
                  <c:v>299.06650713124998</c:v>
                </c:pt>
                <c:pt idx="5">
                  <c:v>265.31650713124998</c:v>
                </c:pt>
                <c:pt idx="6">
                  <c:v>232.91650713124997</c:v>
                </c:pt>
                <c:pt idx="7">
                  <c:v>199.16650713124997</c:v>
                </c:pt>
                <c:pt idx="8">
                  <c:v>166.76650713124999</c:v>
                </c:pt>
                <c:pt idx="9">
                  <c:v>133.01650713124999</c:v>
                </c:pt>
                <c:pt idx="10">
                  <c:v>100.61650713124999</c:v>
                </c:pt>
              </c:numCache>
            </c:numRef>
          </c:val>
          <c:smooth val="0"/>
          <c:extLst>
            <c:ext xmlns:c16="http://schemas.microsoft.com/office/drawing/2014/chart" uri="{C3380CC4-5D6E-409C-BE32-E72D297353CC}">
              <c16:uniqueId val="{0000000F-5F2F-4305-A0B9-BF9420D94ABA}"/>
            </c:ext>
          </c:extLst>
        </c:ser>
        <c:dLbls>
          <c:showLegendKey val="0"/>
          <c:showVal val="0"/>
          <c:showCatName val="0"/>
          <c:showSerName val="0"/>
          <c:showPercent val="0"/>
          <c:showBubbleSize val="0"/>
        </c:dLbls>
        <c:smooth val="0"/>
        <c:axId val="207092760"/>
        <c:axId val="1"/>
      </c:lineChart>
      <c:catAx>
        <c:axId val="207092760"/>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2760"/>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(HIDE)'!$B$86</c:f>
          <c:strCache>
            <c:ptCount val="1"/>
            <c:pt idx="0">
              <c:v>Impact of Pasture Equity on Total Pasture Cost Per Acre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(HIDE)'!$I$87</c:f>
              <c:strCache>
                <c:ptCount val="1"/>
                <c:pt idx="0">
                  <c:v>Improved Pasture ($1,875/ac, 94 hd,135 days)</c:v>
                </c:pt>
              </c:strCache>
            </c:strRef>
          </c:tx>
          <c:marker>
            <c:symbol val="none"/>
          </c:marker>
          <c:dPt>
            <c:idx val="3"/>
            <c:bubble3D val="0"/>
            <c:spPr/>
            <c:extLst>
              <c:ext xmlns:c16="http://schemas.microsoft.com/office/drawing/2014/chart" uri="{C3380CC4-5D6E-409C-BE32-E72D297353CC}">
                <c16:uniqueId val="{00000001-5E34-4136-BB6A-185761E034C2}"/>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(HIDE)'!$I$88:$I$98</c:f>
              <c:numCache>
                <c:formatCode>"$"#,##0_);[Red]\("$"#,##0\)</c:formatCode>
                <c:ptCount val="11"/>
                <c:pt idx="0">
                  <c:v>222.17650649999999</c:v>
                </c:pt>
                <c:pt idx="1">
                  <c:v>207.83950650000003</c:v>
                </c:pt>
                <c:pt idx="2">
                  <c:v>192.7060065</c:v>
                </c:pt>
                <c:pt idx="3">
                  <c:v>178.36900650000001</c:v>
                </c:pt>
                <c:pt idx="4">
                  <c:v>163.23550650000001</c:v>
                </c:pt>
                <c:pt idx="5">
                  <c:v>148.8985065</c:v>
                </c:pt>
                <c:pt idx="6">
                  <c:v>134.56150650000001</c:v>
                </c:pt>
                <c:pt idx="7">
                  <c:v>119.42800650000002</c:v>
                </c:pt>
                <c:pt idx="8">
                  <c:v>105.09100650000001</c:v>
                </c:pt>
                <c:pt idx="9">
                  <c:v>89.957506500000008</c:v>
                </c:pt>
                <c:pt idx="10">
                  <c:v>75.620506500000019</c:v>
                </c:pt>
              </c:numCache>
            </c:numRef>
          </c:val>
          <c:smooth val="0"/>
          <c:extLst>
            <c:ext xmlns:c16="http://schemas.microsoft.com/office/drawing/2014/chart" uri="{C3380CC4-5D6E-409C-BE32-E72D297353CC}">
              <c16:uniqueId val="{00000002-5E34-4136-BB6A-185761E034C2}"/>
            </c:ext>
          </c:extLst>
        </c:ser>
        <c:ser>
          <c:idx val="0"/>
          <c:order val="1"/>
          <c:tx>
            <c:strRef>
              <c:f>'Chart (HIDE)'!$J$87</c:f>
              <c:strCache>
                <c:ptCount val="1"/>
                <c:pt idx="0">
                  <c:v>Marginal Pasture  ($844/ac, 32 hd,135 days)</c:v>
                </c:pt>
              </c:strCache>
            </c:strRef>
          </c:tx>
          <c:marker>
            <c:symbol val="none"/>
          </c:marker>
          <c:dPt>
            <c:idx val="0"/>
            <c:bubble3D val="0"/>
            <c:extLst>
              <c:ext xmlns:c16="http://schemas.microsoft.com/office/drawing/2014/chart" uri="{C3380CC4-5D6E-409C-BE32-E72D297353CC}">
                <c16:uniqueId val="{00000004-5E34-4136-BB6A-185761E034C2}"/>
              </c:ext>
            </c:extLst>
          </c:dPt>
          <c:dPt>
            <c:idx val="1"/>
            <c:bubble3D val="0"/>
            <c:extLst>
              <c:ext xmlns:c16="http://schemas.microsoft.com/office/drawing/2014/chart" uri="{C3380CC4-5D6E-409C-BE32-E72D297353CC}">
                <c16:uniqueId val="{00000006-5E34-4136-BB6A-185761E034C2}"/>
              </c:ext>
            </c:extLst>
          </c:dPt>
          <c:dPt>
            <c:idx val="2"/>
            <c:bubble3D val="0"/>
            <c:extLst>
              <c:ext xmlns:c16="http://schemas.microsoft.com/office/drawing/2014/chart" uri="{C3380CC4-5D6E-409C-BE32-E72D297353CC}">
                <c16:uniqueId val="{00000008-5E34-4136-BB6A-185761E034C2}"/>
              </c:ext>
            </c:extLst>
          </c:dPt>
          <c:dPt>
            <c:idx val="4"/>
            <c:bubble3D val="0"/>
            <c:extLst>
              <c:ext xmlns:c16="http://schemas.microsoft.com/office/drawing/2014/chart" uri="{C3380CC4-5D6E-409C-BE32-E72D297353CC}">
                <c16:uniqueId val="{0000000A-5E34-4136-BB6A-185761E034C2}"/>
              </c:ext>
            </c:extLst>
          </c:dPt>
          <c:dPt>
            <c:idx val="5"/>
            <c:bubble3D val="0"/>
            <c:extLst>
              <c:ext xmlns:c16="http://schemas.microsoft.com/office/drawing/2014/chart" uri="{C3380CC4-5D6E-409C-BE32-E72D297353CC}">
                <c16:uniqueId val="{0000000C-5E34-4136-BB6A-185761E034C2}"/>
              </c:ext>
            </c:extLst>
          </c:dPt>
          <c:dPt>
            <c:idx val="6"/>
            <c:bubble3D val="0"/>
            <c:extLst>
              <c:ext xmlns:c16="http://schemas.microsoft.com/office/drawing/2014/chart" uri="{C3380CC4-5D6E-409C-BE32-E72D297353CC}">
                <c16:uniqueId val="{0000000E-5E34-4136-BB6A-185761E034C2}"/>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(HIDE)'!$J$88:$J$98</c:f>
              <c:numCache>
                <c:formatCode>"$"#,##0_);[Red]\("$"#,##0\)</c:formatCode>
                <c:ptCount val="11"/>
                <c:pt idx="0">
                  <c:v>86.003301426250005</c:v>
                </c:pt>
                <c:pt idx="1">
                  <c:v>79.523301426250015</c:v>
                </c:pt>
                <c:pt idx="2">
                  <c:v>73.043301426250011</c:v>
                </c:pt>
                <c:pt idx="3">
                  <c:v>66.293301426250011</c:v>
                </c:pt>
                <c:pt idx="4">
                  <c:v>59.81330142625</c:v>
                </c:pt>
                <c:pt idx="5">
                  <c:v>53.06330142625</c:v>
                </c:pt>
                <c:pt idx="6">
                  <c:v>46.583301426249996</c:v>
                </c:pt>
                <c:pt idx="7">
                  <c:v>39.833301426249996</c:v>
                </c:pt>
                <c:pt idx="8">
                  <c:v>33.353301426249999</c:v>
                </c:pt>
                <c:pt idx="9">
                  <c:v>26.603301426249999</c:v>
                </c:pt>
                <c:pt idx="10">
                  <c:v>20.123301426249999</c:v>
                </c:pt>
              </c:numCache>
            </c:numRef>
          </c:val>
          <c:smooth val="0"/>
          <c:extLst>
            <c:ext xmlns:c16="http://schemas.microsoft.com/office/drawing/2014/chart" uri="{C3380CC4-5D6E-409C-BE32-E72D297353CC}">
              <c16:uniqueId val="{0000000F-5E34-4136-BB6A-185761E034C2}"/>
            </c:ext>
          </c:extLst>
        </c:ser>
        <c:dLbls>
          <c:showLegendKey val="0"/>
          <c:showVal val="0"/>
          <c:showCatName val="0"/>
          <c:showSerName val="0"/>
          <c:showPercent val="0"/>
          <c:showBubbleSize val="0"/>
        </c:dLbls>
        <c:smooth val="0"/>
        <c:axId val="207093744"/>
        <c:axId val="1"/>
      </c:lineChart>
      <c:catAx>
        <c:axId val="20709374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5"/>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Acre</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3744"/>
        <c:crosses val="autoZero"/>
        <c:crossBetween val="between"/>
      </c:valAx>
      <c:spPr>
        <a:noFill/>
        <a:ln w="25400">
          <a:noFill/>
        </a:ln>
      </c:spPr>
    </c:plotArea>
    <c:legend>
      <c:legendPos val="b"/>
      <c:layout>
        <c:manualLayout>
          <c:xMode val="edge"/>
          <c:yMode val="edge"/>
          <c:x val="0"/>
          <c:y val="0.85076967943109683"/>
          <c:w val="0.997910517807790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(HIDE)'!$B$22</c:f>
          <c:strCache>
            <c:ptCount val="1"/>
            <c:pt idx="0">
              <c:v>Impact of Grazing Days on Pasture Cost Per Day</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627659574468086"/>
          <c:w val="0.78574116696951346"/>
          <c:h val="0.46986038979170158"/>
        </c:manualLayout>
      </c:layout>
      <c:lineChart>
        <c:grouping val="standard"/>
        <c:varyColors val="0"/>
        <c:ser>
          <c:idx val="1"/>
          <c:order val="0"/>
          <c:tx>
            <c:strRef>
              <c:f>'Chart (HIDE)'!$C$24</c:f>
              <c:strCache>
                <c:ptCount val="1"/>
                <c:pt idx="0">
                  <c:v>Improved Pasture (from 135 days)</c:v>
                </c:pt>
              </c:strCache>
            </c:strRef>
          </c:tx>
          <c:marker>
            <c:symbol val="none"/>
          </c:marker>
          <c:dPt>
            <c:idx val="3"/>
            <c:marker>
              <c:symbol val="auto"/>
            </c:marker>
            <c:bubble3D val="0"/>
            <c:spPr/>
            <c:extLst>
              <c:ext xmlns:c16="http://schemas.microsoft.com/office/drawing/2014/chart" uri="{C3380CC4-5D6E-409C-BE32-E72D297353CC}">
                <c16:uniqueId val="{00000001-CCC7-4CF3-9432-13884A8DF957}"/>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C7-4CF3-9432-13884A8DF95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(HIDE)'!$C$25:$C$31</c:f>
              <c:numCache>
                <c:formatCode>"$"#,##0.00_);[Red]\("$"#,##0.00\)</c:formatCode>
                <c:ptCount val="7"/>
                <c:pt idx="0">
                  <c:v>1.58</c:v>
                </c:pt>
                <c:pt idx="1">
                  <c:v>1.52</c:v>
                </c:pt>
                <c:pt idx="2">
                  <c:v>1.46</c:v>
                </c:pt>
                <c:pt idx="3">
                  <c:v>1.4094100000000003</c:v>
                </c:pt>
                <c:pt idx="4">
                  <c:v>1.35</c:v>
                </c:pt>
                <c:pt idx="5">
                  <c:v>1.31</c:v>
                </c:pt>
                <c:pt idx="6">
                  <c:v>1.26</c:v>
                </c:pt>
              </c:numCache>
            </c:numRef>
          </c:val>
          <c:smooth val="0"/>
          <c:extLst>
            <c:ext xmlns:c16="http://schemas.microsoft.com/office/drawing/2014/chart" uri="{C3380CC4-5D6E-409C-BE32-E72D297353CC}">
              <c16:uniqueId val="{00000002-CCC7-4CF3-9432-13884A8DF957}"/>
            </c:ext>
          </c:extLst>
        </c:ser>
        <c:ser>
          <c:idx val="0"/>
          <c:order val="1"/>
          <c:tx>
            <c:strRef>
              <c:f>'Chart (HIDE)'!$D$24</c:f>
              <c:strCache>
                <c:ptCount val="1"/>
                <c:pt idx="0">
                  <c:v>Marginal Pasture (from 135 days)</c:v>
                </c:pt>
              </c:strCache>
            </c:strRef>
          </c:tx>
          <c:dPt>
            <c:idx val="0"/>
            <c:marker>
              <c:symbol val="none"/>
            </c:marker>
            <c:bubble3D val="0"/>
            <c:extLst>
              <c:ext xmlns:c16="http://schemas.microsoft.com/office/drawing/2014/chart" uri="{C3380CC4-5D6E-409C-BE32-E72D297353CC}">
                <c16:uniqueId val="{00000003-CCC7-4CF3-9432-13884A8DF957}"/>
              </c:ext>
            </c:extLst>
          </c:dPt>
          <c:dPt>
            <c:idx val="1"/>
            <c:marker>
              <c:symbol val="none"/>
            </c:marker>
            <c:bubble3D val="0"/>
            <c:extLst>
              <c:ext xmlns:c16="http://schemas.microsoft.com/office/drawing/2014/chart" uri="{C3380CC4-5D6E-409C-BE32-E72D297353CC}">
                <c16:uniqueId val="{00000004-CCC7-4CF3-9432-13884A8DF957}"/>
              </c:ext>
            </c:extLst>
          </c:dPt>
          <c:dPt>
            <c:idx val="2"/>
            <c:marker>
              <c:symbol val="none"/>
            </c:marker>
            <c:bubble3D val="0"/>
            <c:extLst>
              <c:ext xmlns:c16="http://schemas.microsoft.com/office/drawing/2014/chart" uri="{C3380CC4-5D6E-409C-BE32-E72D297353CC}">
                <c16:uniqueId val="{00000005-CCC7-4CF3-9432-13884A8DF957}"/>
              </c:ext>
            </c:extLst>
          </c:dPt>
          <c:dPt>
            <c:idx val="4"/>
            <c:marker>
              <c:symbol val="none"/>
            </c:marker>
            <c:bubble3D val="0"/>
            <c:extLst>
              <c:ext xmlns:c16="http://schemas.microsoft.com/office/drawing/2014/chart" uri="{C3380CC4-5D6E-409C-BE32-E72D297353CC}">
                <c16:uniqueId val="{00000006-CCC7-4CF3-9432-13884A8DF957}"/>
              </c:ext>
            </c:extLst>
          </c:dPt>
          <c:dPt>
            <c:idx val="5"/>
            <c:marker>
              <c:symbol val="none"/>
            </c:marker>
            <c:bubble3D val="0"/>
            <c:extLst>
              <c:ext xmlns:c16="http://schemas.microsoft.com/office/drawing/2014/chart" uri="{C3380CC4-5D6E-409C-BE32-E72D297353CC}">
                <c16:uniqueId val="{00000007-CCC7-4CF3-9432-13884A8DF957}"/>
              </c:ext>
            </c:extLst>
          </c:dPt>
          <c:dPt>
            <c:idx val="6"/>
            <c:marker>
              <c:symbol val="none"/>
            </c:marker>
            <c:bubble3D val="0"/>
            <c:extLst>
              <c:ext xmlns:c16="http://schemas.microsoft.com/office/drawing/2014/chart" uri="{C3380CC4-5D6E-409C-BE32-E72D297353CC}">
                <c16:uniqueId val="{00000008-CCC7-4CF3-9432-13884A8DF957}"/>
              </c:ext>
            </c:extLst>
          </c:dPt>
          <c:dLbls>
            <c:dLbl>
              <c:idx val="0"/>
              <c:delete val="1"/>
              <c:extLst>
                <c:ext xmlns:c15="http://schemas.microsoft.com/office/drawing/2012/chart" uri="{CE6537A1-D6FC-4f65-9D91-7224C49458BB}"/>
                <c:ext xmlns:c16="http://schemas.microsoft.com/office/drawing/2014/chart" uri="{C3380CC4-5D6E-409C-BE32-E72D297353CC}">
                  <c16:uniqueId val="{00000003-CCC7-4CF3-9432-13884A8DF957}"/>
                </c:ext>
              </c:extLst>
            </c:dLbl>
            <c:dLbl>
              <c:idx val="1"/>
              <c:delete val="1"/>
              <c:extLst>
                <c:ext xmlns:c15="http://schemas.microsoft.com/office/drawing/2012/chart" uri="{CE6537A1-D6FC-4f65-9D91-7224C49458BB}"/>
                <c:ext xmlns:c16="http://schemas.microsoft.com/office/drawing/2014/chart" uri="{C3380CC4-5D6E-409C-BE32-E72D297353CC}">
                  <c16:uniqueId val="{00000004-CCC7-4CF3-9432-13884A8DF957}"/>
                </c:ext>
              </c:extLst>
            </c:dLbl>
            <c:dLbl>
              <c:idx val="2"/>
              <c:delete val="1"/>
              <c:extLst>
                <c:ext xmlns:c15="http://schemas.microsoft.com/office/drawing/2012/chart" uri="{CE6537A1-D6FC-4f65-9D91-7224C49458BB}"/>
                <c:ext xmlns:c16="http://schemas.microsoft.com/office/drawing/2014/chart" uri="{C3380CC4-5D6E-409C-BE32-E72D297353CC}">
                  <c16:uniqueId val="{00000005-CCC7-4CF3-9432-13884A8DF957}"/>
                </c:ext>
              </c:extLst>
            </c:dLbl>
            <c:dLbl>
              <c:idx val="4"/>
              <c:delete val="1"/>
              <c:extLst>
                <c:ext xmlns:c15="http://schemas.microsoft.com/office/drawing/2012/chart" uri="{CE6537A1-D6FC-4f65-9D91-7224C49458BB}"/>
                <c:ext xmlns:c16="http://schemas.microsoft.com/office/drawing/2014/chart" uri="{C3380CC4-5D6E-409C-BE32-E72D297353CC}">
                  <c16:uniqueId val="{00000006-CCC7-4CF3-9432-13884A8DF957}"/>
                </c:ext>
              </c:extLst>
            </c:dLbl>
            <c:dLbl>
              <c:idx val="5"/>
              <c:delete val="1"/>
              <c:extLst>
                <c:ext xmlns:c15="http://schemas.microsoft.com/office/drawing/2012/chart" uri="{CE6537A1-D6FC-4f65-9D91-7224C49458BB}"/>
                <c:ext xmlns:c16="http://schemas.microsoft.com/office/drawing/2014/chart" uri="{C3380CC4-5D6E-409C-BE32-E72D297353CC}">
                  <c16:uniqueId val="{00000007-CCC7-4CF3-9432-13884A8DF957}"/>
                </c:ext>
              </c:extLst>
            </c:dLbl>
            <c:dLbl>
              <c:idx val="6"/>
              <c:delete val="1"/>
              <c:extLst>
                <c:ext xmlns:c15="http://schemas.microsoft.com/office/drawing/2012/chart" uri="{CE6537A1-D6FC-4f65-9D91-7224C49458BB}"/>
                <c:ext xmlns:c16="http://schemas.microsoft.com/office/drawing/2014/chart" uri="{C3380CC4-5D6E-409C-BE32-E72D297353CC}">
                  <c16:uniqueId val="{00000008-CCC7-4CF3-9432-13884A8DF95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(HIDE)'!$B$25:$B$31</c:f>
              <c:numCache>
                <c:formatCode>General</c:formatCode>
                <c:ptCount val="7"/>
                <c:pt idx="0">
                  <c:v>-15</c:v>
                </c:pt>
                <c:pt idx="1">
                  <c:v>-10</c:v>
                </c:pt>
                <c:pt idx="2">
                  <c:v>-5</c:v>
                </c:pt>
                <c:pt idx="3">
                  <c:v>0</c:v>
                </c:pt>
                <c:pt idx="4">
                  <c:v>5</c:v>
                </c:pt>
                <c:pt idx="5">
                  <c:v>10</c:v>
                </c:pt>
                <c:pt idx="6">
                  <c:v>15</c:v>
                </c:pt>
              </c:numCache>
            </c:numRef>
          </c:cat>
          <c:val>
            <c:numRef>
              <c:f>'Chart (HIDE)'!$D$25:$D$31</c:f>
              <c:numCache>
                <c:formatCode>"$"#,##0.00_);[Red]\("$"#,##0.00\)</c:formatCode>
                <c:ptCount val="7"/>
                <c:pt idx="0">
                  <c:v>1.53</c:v>
                </c:pt>
                <c:pt idx="1">
                  <c:v>1.46</c:v>
                </c:pt>
                <c:pt idx="2">
                  <c:v>1.41</c:v>
                </c:pt>
                <c:pt idx="3">
                  <c:v>1.3553074602314814</c:v>
                </c:pt>
                <c:pt idx="4">
                  <c:v>1.31</c:v>
                </c:pt>
                <c:pt idx="5">
                  <c:v>1.26</c:v>
                </c:pt>
                <c:pt idx="6">
                  <c:v>1.22</c:v>
                </c:pt>
              </c:numCache>
            </c:numRef>
          </c:val>
          <c:smooth val="0"/>
          <c:extLst>
            <c:ext xmlns:c16="http://schemas.microsoft.com/office/drawing/2014/chart" uri="{C3380CC4-5D6E-409C-BE32-E72D297353CC}">
              <c16:uniqueId val="{00000009-CCC7-4CF3-9432-13884A8DF957}"/>
            </c:ext>
          </c:extLst>
        </c:ser>
        <c:dLbls>
          <c:showLegendKey val="0"/>
          <c:showVal val="0"/>
          <c:showCatName val="0"/>
          <c:showSerName val="0"/>
          <c:showPercent val="0"/>
          <c:showBubbleSize val="0"/>
        </c:dLbls>
        <c:smooth val="0"/>
        <c:axId val="207576032"/>
        <c:axId val="1"/>
      </c:lineChart>
      <c:catAx>
        <c:axId val="20757603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Change in Number of </a:t>
                </a:r>
              </a:p>
              <a:p>
                <a:pPr>
                  <a:defRPr sz="1100" b="0" i="0" u="none" strike="noStrike" baseline="0">
                    <a:solidFill>
                      <a:srgbClr val="000000"/>
                    </a:solidFill>
                    <a:latin typeface="Calibri"/>
                    <a:ea typeface="Calibri"/>
                    <a:cs typeface="Calibri"/>
                  </a:defRPr>
                </a:pPr>
                <a:r>
                  <a:rPr lang="en-CA" sz="1200" b="1" i="0" u="none" strike="noStrike" baseline="0">
                    <a:solidFill>
                      <a:srgbClr val="000000"/>
                    </a:solidFill>
                    <a:latin typeface="Calibri"/>
                    <a:cs typeface="Calibri"/>
                  </a:rPr>
                  <a:t>Grazing Days</a:t>
                </a:r>
              </a:p>
            </c:rich>
          </c:tx>
          <c:overlay val="0"/>
        </c:title>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5000000000000011"/>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576032"/>
        <c:crosses val="autoZero"/>
        <c:crossBetween val="between"/>
      </c:valAx>
      <c:spPr>
        <a:noFill/>
        <a:ln w="25400">
          <a:noFill/>
        </a:ln>
      </c:spPr>
    </c:plotArea>
    <c:legend>
      <c:legendPos val="b"/>
      <c:layout>
        <c:manualLayout>
          <c:xMode val="edge"/>
          <c:yMode val="edge"/>
          <c:x val="1.1279498134482068E-2"/>
          <c:y val="0.85076967943109683"/>
          <c:w val="0.97552205077504328"/>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(HIDE)'!$B$109</c:f>
          <c:strCache>
            <c:ptCount val="1"/>
            <c:pt idx="0">
              <c:v>Impact of Pasture Equity on Payment Per Cow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(HIDE)'!$I$110</c:f>
              <c:strCache>
                <c:ptCount val="1"/>
                <c:pt idx="0">
                  <c:v>Improved Pasture ($1,875/ac)</c:v>
                </c:pt>
              </c:strCache>
            </c:strRef>
          </c:tx>
          <c:marker>
            <c:symbol val="none"/>
          </c:marker>
          <c:dPt>
            <c:idx val="3"/>
            <c:bubble3D val="0"/>
            <c:spPr/>
            <c:extLst>
              <c:ext xmlns:c16="http://schemas.microsoft.com/office/drawing/2014/chart" uri="{C3380CC4-5D6E-409C-BE32-E72D297353CC}">
                <c16:uniqueId val="{00000001-DA7F-45F4-B098-E5B6128335A5}"/>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(HIDE)'!$I$111:$I$121</c:f>
              <c:numCache>
                <c:formatCode>"$"#,##0_);[Red]\("$"#,##0\)</c:formatCode>
                <c:ptCount val="11"/>
                <c:pt idx="0">
                  <c:v>248.60185872544699</c:v>
                </c:pt>
                <c:pt idx="1">
                  <c:v>223.7416728529023</c:v>
                </c:pt>
                <c:pt idx="2">
                  <c:v>198.88148698035758</c:v>
                </c:pt>
                <c:pt idx="3">
                  <c:v>174.02130110781286</c:v>
                </c:pt>
                <c:pt idx="4">
                  <c:v>149.1611152352682</c:v>
                </c:pt>
                <c:pt idx="5">
                  <c:v>124.30092936272349</c:v>
                </c:pt>
                <c:pt idx="6">
                  <c:v>99.440743490178789</c:v>
                </c:pt>
                <c:pt idx="7">
                  <c:v>74.580557617634113</c:v>
                </c:pt>
                <c:pt idx="8">
                  <c:v>49.720371745089388</c:v>
                </c:pt>
                <c:pt idx="9">
                  <c:v>24.860185872544694</c:v>
                </c:pt>
                <c:pt idx="10">
                  <c:v>0</c:v>
                </c:pt>
              </c:numCache>
            </c:numRef>
          </c:val>
          <c:smooth val="0"/>
          <c:extLst>
            <c:ext xmlns:c16="http://schemas.microsoft.com/office/drawing/2014/chart" uri="{C3380CC4-5D6E-409C-BE32-E72D297353CC}">
              <c16:uniqueId val="{00000002-DA7F-45F4-B098-E5B6128335A5}"/>
            </c:ext>
          </c:extLst>
        </c:ser>
        <c:ser>
          <c:idx val="0"/>
          <c:order val="1"/>
          <c:tx>
            <c:strRef>
              <c:f>'Chart (HIDE)'!$J$110</c:f>
              <c:strCache>
                <c:ptCount val="1"/>
                <c:pt idx="0">
                  <c:v>Marginal Pasture  ($844/ac)</c:v>
                </c:pt>
              </c:strCache>
            </c:strRef>
          </c:tx>
          <c:marker>
            <c:symbol val="none"/>
          </c:marker>
          <c:dPt>
            <c:idx val="0"/>
            <c:bubble3D val="0"/>
            <c:extLst>
              <c:ext xmlns:c16="http://schemas.microsoft.com/office/drawing/2014/chart" uri="{C3380CC4-5D6E-409C-BE32-E72D297353CC}">
                <c16:uniqueId val="{00000004-DA7F-45F4-B098-E5B6128335A5}"/>
              </c:ext>
            </c:extLst>
          </c:dPt>
          <c:dPt>
            <c:idx val="1"/>
            <c:bubble3D val="0"/>
            <c:extLst>
              <c:ext xmlns:c16="http://schemas.microsoft.com/office/drawing/2014/chart" uri="{C3380CC4-5D6E-409C-BE32-E72D297353CC}">
                <c16:uniqueId val="{00000006-DA7F-45F4-B098-E5B6128335A5}"/>
              </c:ext>
            </c:extLst>
          </c:dPt>
          <c:dPt>
            <c:idx val="2"/>
            <c:bubble3D val="0"/>
            <c:extLst>
              <c:ext xmlns:c16="http://schemas.microsoft.com/office/drawing/2014/chart" uri="{C3380CC4-5D6E-409C-BE32-E72D297353CC}">
                <c16:uniqueId val="{00000008-DA7F-45F4-B098-E5B6128335A5}"/>
              </c:ext>
            </c:extLst>
          </c:dPt>
          <c:dPt>
            <c:idx val="4"/>
            <c:bubble3D val="0"/>
            <c:extLst>
              <c:ext xmlns:c16="http://schemas.microsoft.com/office/drawing/2014/chart" uri="{C3380CC4-5D6E-409C-BE32-E72D297353CC}">
                <c16:uniqueId val="{0000000A-DA7F-45F4-B098-E5B6128335A5}"/>
              </c:ext>
            </c:extLst>
          </c:dPt>
          <c:dPt>
            <c:idx val="5"/>
            <c:bubble3D val="0"/>
            <c:extLst>
              <c:ext xmlns:c16="http://schemas.microsoft.com/office/drawing/2014/chart" uri="{C3380CC4-5D6E-409C-BE32-E72D297353CC}">
                <c16:uniqueId val="{0000000C-DA7F-45F4-B098-E5B6128335A5}"/>
              </c:ext>
            </c:extLst>
          </c:dPt>
          <c:dPt>
            <c:idx val="6"/>
            <c:bubble3D val="0"/>
            <c:extLst>
              <c:ext xmlns:c16="http://schemas.microsoft.com/office/drawing/2014/chart" uri="{C3380CC4-5D6E-409C-BE32-E72D297353CC}">
                <c16:uniqueId val="{0000000E-DA7F-45F4-B098-E5B6128335A5}"/>
              </c:ext>
            </c:extLst>
          </c:dPt>
          <c:cat>
            <c:numRef>
              <c:f>'Chart (HIDE)'!$B$88:$B$98</c:f>
              <c:numCache>
                <c:formatCode>0%</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'Chart (HIDE)'!$J$111:$J$121</c:f>
              <c:numCache>
                <c:formatCode>"$"#,##0_);[Red]\("$"#,##0\)</c:formatCode>
                <c:ptCount val="11"/>
                <c:pt idx="0">
                  <c:v>330.01896745803083</c:v>
                </c:pt>
                <c:pt idx="1">
                  <c:v>297.01707071222773</c:v>
                </c:pt>
                <c:pt idx="2">
                  <c:v>264.01517396642464</c:v>
                </c:pt>
                <c:pt idx="3">
                  <c:v>231.01327722062157</c:v>
                </c:pt>
                <c:pt idx="4">
                  <c:v>198.01138047481851</c:v>
                </c:pt>
                <c:pt idx="5">
                  <c:v>165.00948372901541</c:v>
                </c:pt>
                <c:pt idx="6">
                  <c:v>132.00758698321232</c:v>
                </c:pt>
                <c:pt idx="7">
                  <c:v>99.005690237409254</c:v>
                </c:pt>
                <c:pt idx="8">
                  <c:v>66.00379349160616</c:v>
                </c:pt>
                <c:pt idx="9">
                  <c:v>33.00189674580308</c:v>
                </c:pt>
                <c:pt idx="10">
                  <c:v>0</c:v>
                </c:pt>
              </c:numCache>
            </c:numRef>
          </c:val>
          <c:smooth val="0"/>
          <c:extLst>
            <c:ext xmlns:c16="http://schemas.microsoft.com/office/drawing/2014/chart" uri="{C3380CC4-5D6E-409C-BE32-E72D297353CC}">
              <c16:uniqueId val="{0000000F-DA7F-45F4-B098-E5B6128335A5}"/>
            </c:ext>
          </c:extLst>
        </c:ser>
        <c:dLbls>
          <c:showLegendKey val="0"/>
          <c:showVal val="0"/>
          <c:showCatName val="0"/>
          <c:showSerName val="0"/>
          <c:showPercent val="0"/>
          <c:showBubbleSize val="0"/>
        </c:dLbls>
        <c:smooth val="0"/>
        <c:axId val="207096696"/>
        <c:axId val="1"/>
      </c:lineChart>
      <c:catAx>
        <c:axId val="20709669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Pasture Equity</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_);[Red]\(&quot;$&quot;#,##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7096696"/>
        <c:crosses val="autoZero"/>
        <c:crossBetween val="between"/>
      </c:valAx>
      <c:spPr>
        <a:noFill/>
        <a:ln w="25400">
          <a:noFill/>
        </a:ln>
      </c:spPr>
    </c:plotArea>
    <c:legend>
      <c:legendPos val="b"/>
      <c:layout>
        <c:manualLayout>
          <c:xMode val="edge"/>
          <c:yMode val="edge"/>
          <c:x val="0"/>
          <c:y val="0.85076967943109683"/>
          <c:w val="0.99791052177109785"/>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(HIDE)'!$Q$65</c:f>
          <c:strCache>
            <c:ptCount val="1"/>
            <c:pt idx="0">
              <c:v>Impact of Interest Rates on Pasture Cost Per Day (@75% equity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(HIDE)'!$R$67</c:f>
              <c:strCache>
                <c:ptCount val="1"/>
                <c:pt idx="0">
                  <c:v>Improved Pasture (from 6%)</c:v>
                </c:pt>
              </c:strCache>
            </c:strRef>
          </c:tx>
          <c:marker>
            <c:symbol val="none"/>
          </c:marker>
          <c:dPt>
            <c:idx val="3"/>
            <c:marker>
              <c:symbol val="auto"/>
            </c:marker>
            <c:bubble3D val="0"/>
            <c:spPr/>
            <c:extLst>
              <c:ext xmlns:c16="http://schemas.microsoft.com/office/drawing/2014/chart" uri="{C3380CC4-5D6E-409C-BE32-E72D297353CC}">
                <c16:uniqueId val="{00000001-DA0C-42CF-A949-62726E663D62}"/>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0C-42CF-A949-62726E663D6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(HIDE)'!$R$68:$R$74</c:f>
              <c:numCache>
                <c:formatCode>"$"#,##0.00_);[Red]\("$"#,##0.00\)</c:formatCode>
                <c:ptCount val="7"/>
                <c:pt idx="0">
                  <c:v>1.3494100000000002</c:v>
                </c:pt>
                <c:pt idx="1">
                  <c:v>1.3694100000000002</c:v>
                </c:pt>
                <c:pt idx="2">
                  <c:v>1.3894100000000003</c:v>
                </c:pt>
                <c:pt idx="3">
                  <c:v>1.4094100000000003</c:v>
                </c:pt>
                <c:pt idx="4">
                  <c:v>1.4294100000000003</c:v>
                </c:pt>
                <c:pt idx="5">
                  <c:v>1.4594100000000003</c:v>
                </c:pt>
                <c:pt idx="6">
                  <c:v>1.4794100000000003</c:v>
                </c:pt>
              </c:numCache>
            </c:numRef>
          </c:val>
          <c:smooth val="0"/>
          <c:extLst>
            <c:ext xmlns:c16="http://schemas.microsoft.com/office/drawing/2014/chart" uri="{C3380CC4-5D6E-409C-BE32-E72D297353CC}">
              <c16:uniqueId val="{00000002-DA0C-42CF-A949-62726E663D62}"/>
            </c:ext>
          </c:extLst>
        </c:ser>
        <c:ser>
          <c:idx val="0"/>
          <c:order val="1"/>
          <c:tx>
            <c:strRef>
              <c:f>'Chart (HIDE)'!$S$67</c:f>
              <c:strCache>
                <c:ptCount val="1"/>
                <c:pt idx="0">
                  <c:v>Marginal Pasture (from 6%)</c:v>
                </c:pt>
              </c:strCache>
            </c:strRef>
          </c:tx>
          <c:dPt>
            <c:idx val="0"/>
            <c:marker>
              <c:symbol val="none"/>
            </c:marker>
            <c:bubble3D val="0"/>
            <c:extLst>
              <c:ext xmlns:c16="http://schemas.microsoft.com/office/drawing/2014/chart" uri="{C3380CC4-5D6E-409C-BE32-E72D297353CC}">
                <c16:uniqueId val="{00000003-DA0C-42CF-A949-62726E663D62}"/>
              </c:ext>
            </c:extLst>
          </c:dPt>
          <c:dPt>
            <c:idx val="1"/>
            <c:marker>
              <c:symbol val="none"/>
            </c:marker>
            <c:bubble3D val="0"/>
            <c:extLst>
              <c:ext xmlns:c16="http://schemas.microsoft.com/office/drawing/2014/chart" uri="{C3380CC4-5D6E-409C-BE32-E72D297353CC}">
                <c16:uniqueId val="{00000004-DA0C-42CF-A949-62726E663D62}"/>
              </c:ext>
            </c:extLst>
          </c:dPt>
          <c:dPt>
            <c:idx val="2"/>
            <c:marker>
              <c:symbol val="none"/>
            </c:marker>
            <c:bubble3D val="0"/>
            <c:extLst>
              <c:ext xmlns:c16="http://schemas.microsoft.com/office/drawing/2014/chart" uri="{C3380CC4-5D6E-409C-BE32-E72D297353CC}">
                <c16:uniqueId val="{00000005-DA0C-42CF-A949-62726E663D62}"/>
              </c:ext>
            </c:extLst>
          </c:dPt>
          <c:dPt>
            <c:idx val="4"/>
            <c:marker>
              <c:symbol val="none"/>
            </c:marker>
            <c:bubble3D val="0"/>
            <c:extLst>
              <c:ext xmlns:c16="http://schemas.microsoft.com/office/drawing/2014/chart" uri="{C3380CC4-5D6E-409C-BE32-E72D297353CC}">
                <c16:uniqueId val="{00000006-DA0C-42CF-A949-62726E663D62}"/>
              </c:ext>
            </c:extLst>
          </c:dPt>
          <c:dPt>
            <c:idx val="5"/>
            <c:marker>
              <c:symbol val="none"/>
            </c:marker>
            <c:bubble3D val="0"/>
            <c:extLst>
              <c:ext xmlns:c16="http://schemas.microsoft.com/office/drawing/2014/chart" uri="{C3380CC4-5D6E-409C-BE32-E72D297353CC}">
                <c16:uniqueId val="{00000007-DA0C-42CF-A949-62726E663D62}"/>
              </c:ext>
            </c:extLst>
          </c:dPt>
          <c:dPt>
            <c:idx val="6"/>
            <c:marker>
              <c:symbol val="none"/>
            </c:marker>
            <c:bubble3D val="0"/>
            <c:extLst>
              <c:ext xmlns:c16="http://schemas.microsoft.com/office/drawing/2014/chart" uri="{C3380CC4-5D6E-409C-BE32-E72D297353CC}">
                <c16:uniqueId val="{00000008-DA0C-42CF-A949-62726E663D62}"/>
              </c:ext>
            </c:extLst>
          </c:dPt>
          <c:dLbls>
            <c:dLbl>
              <c:idx val="0"/>
              <c:delete val="1"/>
              <c:extLst>
                <c:ext xmlns:c15="http://schemas.microsoft.com/office/drawing/2012/chart" uri="{CE6537A1-D6FC-4f65-9D91-7224C49458BB}"/>
                <c:ext xmlns:c16="http://schemas.microsoft.com/office/drawing/2014/chart" uri="{C3380CC4-5D6E-409C-BE32-E72D297353CC}">
                  <c16:uniqueId val="{00000003-DA0C-42CF-A949-62726E663D62}"/>
                </c:ext>
              </c:extLst>
            </c:dLbl>
            <c:dLbl>
              <c:idx val="1"/>
              <c:delete val="1"/>
              <c:extLst>
                <c:ext xmlns:c15="http://schemas.microsoft.com/office/drawing/2012/chart" uri="{CE6537A1-D6FC-4f65-9D91-7224C49458BB}"/>
                <c:ext xmlns:c16="http://schemas.microsoft.com/office/drawing/2014/chart" uri="{C3380CC4-5D6E-409C-BE32-E72D297353CC}">
                  <c16:uniqueId val="{00000004-DA0C-42CF-A949-62726E663D62}"/>
                </c:ext>
              </c:extLst>
            </c:dLbl>
            <c:dLbl>
              <c:idx val="2"/>
              <c:delete val="1"/>
              <c:extLst>
                <c:ext xmlns:c15="http://schemas.microsoft.com/office/drawing/2012/chart" uri="{CE6537A1-D6FC-4f65-9D91-7224C49458BB}"/>
                <c:ext xmlns:c16="http://schemas.microsoft.com/office/drawing/2014/chart" uri="{C3380CC4-5D6E-409C-BE32-E72D297353CC}">
                  <c16:uniqueId val="{00000005-DA0C-42CF-A949-62726E663D62}"/>
                </c:ext>
              </c:extLst>
            </c:dLbl>
            <c:dLbl>
              <c:idx val="4"/>
              <c:delete val="1"/>
              <c:extLst>
                <c:ext xmlns:c15="http://schemas.microsoft.com/office/drawing/2012/chart" uri="{CE6537A1-D6FC-4f65-9D91-7224C49458BB}"/>
                <c:ext xmlns:c16="http://schemas.microsoft.com/office/drawing/2014/chart" uri="{C3380CC4-5D6E-409C-BE32-E72D297353CC}">
                  <c16:uniqueId val="{00000006-DA0C-42CF-A949-62726E663D62}"/>
                </c:ext>
              </c:extLst>
            </c:dLbl>
            <c:dLbl>
              <c:idx val="5"/>
              <c:delete val="1"/>
              <c:extLst>
                <c:ext xmlns:c15="http://schemas.microsoft.com/office/drawing/2012/chart" uri="{CE6537A1-D6FC-4f65-9D91-7224C49458BB}"/>
                <c:ext xmlns:c16="http://schemas.microsoft.com/office/drawing/2014/chart" uri="{C3380CC4-5D6E-409C-BE32-E72D297353CC}">
                  <c16:uniqueId val="{00000007-DA0C-42CF-A949-62726E663D62}"/>
                </c:ext>
              </c:extLst>
            </c:dLbl>
            <c:dLbl>
              <c:idx val="6"/>
              <c:delete val="1"/>
              <c:extLst>
                <c:ext xmlns:c15="http://schemas.microsoft.com/office/drawing/2012/chart" uri="{CE6537A1-D6FC-4f65-9D91-7224C49458BB}"/>
                <c:ext xmlns:c16="http://schemas.microsoft.com/office/drawing/2014/chart" uri="{C3380CC4-5D6E-409C-BE32-E72D297353CC}">
                  <c16:uniqueId val="{00000008-DA0C-42CF-A949-62726E663D6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(HIDE)'!$S$68:$S$74</c:f>
              <c:numCache>
                <c:formatCode>"$"#,##0.00_);[Red]\("$"#,##0.00\)</c:formatCode>
                <c:ptCount val="7"/>
                <c:pt idx="0">
                  <c:v>1.2753074602314816</c:v>
                </c:pt>
                <c:pt idx="1">
                  <c:v>1.2953074602314816</c:v>
                </c:pt>
                <c:pt idx="2">
                  <c:v>1.3253074602314814</c:v>
                </c:pt>
                <c:pt idx="3">
                  <c:v>1.3553074602314814</c:v>
                </c:pt>
                <c:pt idx="4">
                  <c:v>1.3853074602314814</c:v>
                </c:pt>
                <c:pt idx="5">
                  <c:v>1.4153074602314815</c:v>
                </c:pt>
                <c:pt idx="6">
                  <c:v>1.4453074602314815</c:v>
                </c:pt>
              </c:numCache>
            </c:numRef>
          </c:val>
          <c:smooth val="0"/>
          <c:extLst>
            <c:ext xmlns:c16="http://schemas.microsoft.com/office/drawing/2014/chart" uri="{C3380CC4-5D6E-409C-BE32-E72D297353CC}">
              <c16:uniqueId val="{00000009-DA0C-42CF-A949-62726E663D62}"/>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Interest Rate</a:t>
                </a:r>
              </a:p>
            </c:rich>
          </c:tx>
          <c:overlay val="0"/>
        </c:title>
        <c:numFmt formatCode="0.0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85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(HIDE)'!$B$43</c:f>
          <c:strCache>
            <c:ptCount val="1"/>
            <c:pt idx="0">
              <c:v>Impact of Land Value on Pasture Cost Per Day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18982269503546098"/>
          <c:w val="0.75057622384357914"/>
          <c:h val="0.51241358128106329"/>
        </c:manualLayout>
      </c:layout>
      <c:lineChart>
        <c:grouping val="standard"/>
        <c:varyColors val="0"/>
        <c:ser>
          <c:idx val="1"/>
          <c:order val="0"/>
          <c:tx>
            <c:strRef>
              <c:f>'Chart (HIDE)'!$C$45</c:f>
              <c:strCache>
                <c:ptCount val="1"/>
                <c:pt idx="0">
                  <c:v>Improved Pasture (from $1,875/ac)</c:v>
                </c:pt>
              </c:strCache>
            </c:strRef>
          </c:tx>
          <c:marker>
            <c:symbol val="none"/>
          </c:marker>
          <c:dPt>
            <c:idx val="3"/>
            <c:marker>
              <c:symbol val="auto"/>
            </c:marker>
            <c:bubble3D val="0"/>
            <c:spPr/>
            <c:extLst>
              <c:ext xmlns:c16="http://schemas.microsoft.com/office/drawing/2014/chart" uri="{C3380CC4-5D6E-409C-BE32-E72D297353CC}">
                <c16:uniqueId val="{00000001-C87D-45D9-B6B8-898B15DB6C25}"/>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7D-45D9-B6B8-898B15DB6C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(HIDE)'!$C$46:$C$52</c:f>
              <c:numCache>
                <c:formatCode>"$"#,##0.00_);[Red]\("$"#,##0.00\)</c:formatCode>
                <c:ptCount val="7"/>
                <c:pt idx="0">
                  <c:v>1.3394100000000002</c:v>
                </c:pt>
                <c:pt idx="1">
                  <c:v>1.3594100000000002</c:v>
                </c:pt>
                <c:pt idx="2">
                  <c:v>1.3894100000000003</c:v>
                </c:pt>
                <c:pt idx="3">
                  <c:v>1.4094100000000003</c:v>
                </c:pt>
                <c:pt idx="4">
                  <c:v>1.4294100000000003</c:v>
                </c:pt>
                <c:pt idx="5">
                  <c:v>1.4594100000000003</c:v>
                </c:pt>
                <c:pt idx="6">
                  <c:v>1.4794100000000003</c:v>
                </c:pt>
              </c:numCache>
            </c:numRef>
          </c:val>
          <c:smooth val="0"/>
          <c:extLst>
            <c:ext xmlns:c16="http://schemas.microsoft.com/office/drawing/2014/chart" uri="{C3380CC4-5D6E-409C-BE32-E72D297353CC}">
              <c16:uniqueId val="{00000002-C87D-45D9-B6B8-898B15DB6C25}"/>
            </c:ext>
          </c:extLst>
        </c:ser>
        <c:ser>
          <c:idx val="0"/>
          <c:order val="1"/>
          <c:tx>
            <c:strRef>
              <c:f>'Chart (HIDE)'!$D$45</c:f>
              <c:strCache>
                <c:ptCount val="1"/>
                <c:pt idx="0">
                  <c:v>Marginal Pasture (from $844/ac)</c:v>
                </c:pt>
              </c:strCache>
            </c:strRef>
          </c:tx>
          <c:dPt>
            <c:idx val="0"/>
            <c:marker>
              <c:symbol val="none"/>
            </c:marker>
            <c:bubble3D val="0"/>
            <c:extLst>
              <c:ext xmlns:c16="http://schemas.microsoft.com/office/drawing/2014/chart" uri="{C3380CC4-5D6E-409C-BE32-E72D297353CC}">
                <c16:uniqueId val="{00000003-C87D-45D9-B6B8-898B15DB6C25}"/>
              </c:ext>
            </c:extLst>
          </c:dPt>
          <c:dPt>
            <c:idx val="1"/>
            <c:marker>
              <c:symbol val="none"/>
            </c:marker>
            <c:bubble3D val="0"/>
            <c:extLst>
              <c:ext xmlns:c16="http://schemas.microsoft.com/office/drawing/2014/chart" uri="{C3380CC4-5D6E-409C-BE32-E72D297353CC}">
                <c16:uniqueId val="{00000004-C87D-45D9-B6B8-898B15DB6C25}"/>
              </c:ext>
            </c:extLst>
          </c:dPt>
          <c:dPt>
            <c:idx val="2"/>
            <c:marker>
              <c:symbol val="none"/>
            </c:marker>
            <c:bubble3D val="0"/>
            <c:extLst>
              <c:ext xmlns:c16="http://schemas.microsoft.com/office/drawing/2014/chart" uri="{C3380CC4-5D6E-409C-BE32-E72D297353CC}">
                <c16:uniqueId val="{00000005-C87D-45D9-B6B8-898B15DB6C25}"/>
              </c:ext>
            </c:extLst>
          </c:dPt>
          <c:dPt>
            <c:idx val="4"/>
            <c:marker>
              <c:symbol val="none"/>
            </c:marker>
            <c:bubble3D val="0"/>
            <c:extLst>
              <c:ext xmlns:c16="http://schemas.microsoft.com/office/drawing/2014/chart" uri="{C3380CC4-5D6E-409C-BE32-E72D297353CC}">
                <c16:uniqueId val="{00000006-C87D-45D9-B6B8-898B15DB6C25}"/>
              </c:ext>
            </c:extLst>
          </c:dPt>
          <c:dPt>
            <c:idx val="5"/>
            <c:marker>
              <c:symbol val="none"/>
            </c:marker>
            <c:bubble3D val="0"/>
            <c:extLst>
              <c:ext xmlns:c16="http://schemas.microsoft.com/office/drawing/2014/chart" uri="{C3380CC4-5D6E-409C-BE32-E72D297353CC}">
                <c16:uniqueId val="{00000007-C87D-45D9-B6B8-898B15DB6C25}"/>
              </c:ext>
            </c:extLst>
          </c:dPt>
          <c:dPt>
            <c:idx val="6"/>
            <c:marker>
              <c:symbol val="none"/>
            </c:marker>
            <c:bubble3D val="0"/>
            <c:extLst>
              <c:ext xmlns:c16="http://schemas.microsoft.com/office/drawing/2014/chart" uri="{C3380CC4-5D6E-409C-BE32-E72D297353CC}">
                <c16:uniqueId val="{00000008-C87D-45D9-B6B8-898B15DB6C25}"/>
              </c:ext>
            </c:extLst>
          </c:dPt>
          <c:dLbls>
            <c:dLbl>
              <c:idx val="0"/>
              <c:delete val="1"/>
              <c:extLst>
                <c:ext xmlns:c15="http://schemas.microsoft.com/office/drawing/2012/chart" uri="{CE6537A1-D6FC-4f65-9D91-7224C49458BB}"/>
                <c:ext xmlns:c16="http://schemas.microsoft.com/office/drawing/2014/chart" uri="{C3380CC4-5D6E-409C-BE32-E72D297353CC}">
                  <c16:uniqueId val="{00000003-C87D-45D9-B6B8-898B15DB6C25}"/>
                </c:ext>
              </c:extLst>
            </c:dLbl>
            <c:dLbl>
              <c:idx val="1"/>
              <c:delete val="1"/>
              <c:extLst>
                <c:ext xmlns:c15="http://schemas.microsoft.com/office/drawing/2012/chart" uri="{CE6537A1-D6FC-4f65-9D91-7224C49458BB}"/>
                <c:ext xmlns:c16="http://schemas.microsoft.com/office/drawing/2014/chart" uri="{C3380CC4-5D6E-409C-BE32-E72D297353CC}">
                  <c16:uniqueId val="{00000004-C87D-45D9-B6B8-898B15DB6C25}"/>
                </c:ext>
              </c:extLst>
            </c:dLbl>
            <c:dLbl>
              <c:idx val="2"/>
              <c:delete val="1"/>
              <c:extLst>
                <c:ext xmlns:c15="http://schemas.microsoft.com/office/drawing/2012/chart" uri="{CE6537A1-D6FC-4f65-9D91-7224C49458BB}"/>
                <c:ext xmlns:c16="http://schemas.microsoft.com/office/drawing/2014/chart" uri="{C3380CC4-5D6E-409C-BE32-E72D297353CC}">
                  <c16:uniqueId val="{00000005-C87D-45D9-B6B8-898B15DB6C25}"/>
                </c:ext>
              </c:extLst>
            </c:dLbl>
            <c:dLbl>
              <c:idx val="4"/>
              <c:delete val="1"/>
              <c:extLst>
                <c:ext xmlns:c15="http://schemas.microsoft.com/office/drawing/2012/chart" uri="{CE6537A1-D6FC-4f65-9D91-7224C49458BB}"/>
                <c:ext xmlns:c16="http://schemas.microsoft.com/office/drawing/2014/chart" uri="{C3380CC4-5D6E-409C-BE32-E72D297353CC}">
                  <c16:uniqueId val="{00000006-C87D-45D9-B6B8-898B15DB6C25}"/>
                </c:ext>
              </c:extLst>
            </c:dLbl>
            <c:dLbl>
              <c:idx val="5"/>
              <c:delete val="1"/>
              <c:extLst>
                <c:ext xmlns:c15="http://schemas.microsoft.com/office/drawing/2012/chart" uri="{CE6537A1-D6FC-4f65-9D91-7224C49458BB}"/>
                <c:ext xmlns:c16="http://schemas.microsoft.com/office/drawing/2014/chart" uri="{C3380CC4-5D6E-409C-BE32-E72D297353CC}">
                  <c16:uniqueId val="{00000007-C87D-45D9-B6B8-898B15DB6C25}"/>
                </c:ext>
              </c:extLst>
            </c:dLbl>
            <c:dLbl>
              <c:idx val="6"/>
              <c:delete val="1"/>
              <c:extLst>
                <c:ext xmlns:c15="http://schemas.microsoft.com/office/drawing/2012/chart" uri="{CE6537A1-D6FC-4f65-9D91-7224C49458BB}"/>
                <c:ext xmlns:c16="http://schemas.microsoft.com/office/drawing/2014/chart" uri="{C3380CC4-5D6E-409C-BE32-E72D297353CC}">
                  <c16:uniqueId val="{00000008-C87D-45D9-B6B8-898B15DB6C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(HIDE)'!$B$46:$B$52</c:f>
              <c:numCache>
                <c:formatCode>"$"#,##0</c:formatCode>
                <c:ptCount val="7"/>
                <c:pt idx="0">
                  <c:v>-300</c:v>
                </c:pt>
                <c:pt idx="1">
                  <c:v>-200</c:v>
                </c:pt>
                <c:pt idx="2">
                  <c:v>-100</c:v>
                </c:pt>
                <c:pt idx="3">
                  <c:v>0</c:v>
                </c:pt>
                <c:pt idx="4">
                  <c:v>100</c:v>
                </c:pt>
                <c:pt idx="5">
                  <c:v>200</c:v>
                </c:pt>
                <c:pt idx="6">
                  <c:v>300</c:v>
                </c:pt>
              </c:numCache>
            </c:numRef>
          </c:cat>
          <c:val>
            <c:numRef>
              <c:f>'Chart (HIDE)'!$D$46:$D$52</c:f>
              <c:numCache>
                <c:formatCode>"$"#,##0.00_);[Red]\("$"#,##0.00\)</c:formatCode>
                <c:ptCount val="7"/>
                <c:pt idx="0">
                  <c:v>1.1353074602314814</c:v>
                </c:pt>
                <c:pt idx="1">
                  <c:v>1.2153074602314815</c:v>
                </c:pt>
                <c:pt idx="2">
                  <c:v>1.2853074602314813</c:v>
                </c:pt>
                <c:pt idx="3">
                  <c:v>1.3553074602314814</c:v>
                </c:pt>
                <c:pt idx="4">
                  <c:v>1.4253074602314815</c:v>
                </c:pt>
                <c:pt idx="5">
                  <c:v>1.5053074602314815</c:v>
                </c:pt>
                <c:pt idx="6">
                  <c:v>1.5753074602314814</c:v>
                </c:pt>
              </c:numCache>
            </c:numRef>
          </c:val>
          <c:smooth val="0"/>
          <c:extLst>
            <c:ext xmlns:c16="http://schemas.microsoft.com/office/drawing/2014/chart" uri="{C3380CC4-5D6E-409C-BE32-E72D297353CC}">
              <c16:uniqueId val="{00000009-C87D-45D9-B6B8-898B15DB6C25}"/>
            </c:ext>
          </c:extLst>
        </c:ser>
        <c:dLbls>
          <c:showLegendKey val="0"/>
          <c:showVal val="0"/>
          <c:showCatName val="0"/>
          <c:showSerName val="0"/>
          <c:showPercent val="0"/>
          <c:showBubbleSize val="0"/>
        </c:dLbls>
        <c:smooth val="0"/>
        <c:axId val="206767536"/>
        <c:axId val="1"/>
      </c:lineChart>
      <c:catAx>
        <c:axId val="206767536"/>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Land Value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6767536"/>
        <c:crosses val="autoZero"/>
        <c:crossBetween val="between"/>
      </c:valAx>
      <c:spPr>
        <a:noFill/>
        <a:ln w="25400">
          <a:noFill/>
        </a:ln>
      </c:spPr>
    </c:plotArea>
    <c:legend>
      <c:legendPos val="b"/>
      <c:layout>
        <c:manualLayout>
          <c:xMode val="edge"/>
          <c:yMode val="edge"/>
          <c:x val="0"/>
          <c:y val="0.85076967473306675"/>
          <c:w val="0.99040481575023243"/>
          <c:h val="0.10221912260967379"/>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(HIDE)'!$B$65</c:f>
          <c:strCache>
            <c:ptCount val="1"/>
            <c:pt idx="0">
              <c:v>Impact of Owned Pasture Equity on Pasture Cost Per Day (@6%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(HIDE)'!$C$67</c:f>
              <c:strCache>
                <c:ptCount val="1"/>
                <c:pt idx="0">
                  <c:v>Improved Pasture (from 75% equity)</c:v>
                </c:pt>
              </c:strCache>
            </c:strRef>
          </c:tx>
          <c:marker>
            <c:symbol val="none"/>
          </c:marker>
          <c:dPt>
            <c:idx val="3"/>
            <c:marker>
              <c:symbol val="auto"/>
            </c:marker>
            <c:bubble3D val="0"/>
            <c:spPr/>
            <c:extLst>
              <c:ext xmlns:c16="http://schemas.microsoft.com/office/drawing/2014/chart" uri="{C3380CC4-5D6E-409C-BE32-E72D297353CC}">
                <c16:uniqueId val="{00000001-B6D0-424C-96CD-5E7698C5E666}"/>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D0-424C-96CD-5E7698C5E66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(HIDE)'!$C$68:$C$74</c:f>
              <c:numCache>
                <c:formatCode>"$"#,##0.00_);[Red]\("$"#,##0.00\)</c:formatCode>
                <c:ptCount val="7"/>
                <c:pt idx="0">
                  <c:v>1.6894100000000003</c:v>
                </c:pt>
                <c:pt idx="1">
                  <c:v>1.5894100000000002</c:v>
                </c:pt>
                <c:pt idx="2">
                  <c:v>1.4994100000000004</c:v>
                </c:pt>
                <c:pt idx="3">
                  <c:v>1.4094100000000003</c:v>
                </c:pt>
                <c:pt idx="4">
                  <c:v>1.3194100000000002</c:v>
                </c:pt>
                <c:pt idx="5">
                  <c:v>1.2294100000000003</c:v>
                </c:pt>
                <c:pt idx="6">
                  <c:v>1.1294100000000002</c:v>
                </c:pt>
              </c:numCache>
            </c:numRef>
          </c:val>
          <c:smooth val="0"/>
          <c:extLst>
            <c:ext xmlns:c16="http://schemas.microsoft.com/office/drawing/2014/chart" uri="{C3380CC4-5D6E-409C-BE32-E72D297353CC}">
              <c16:uniqueId val="{00000002-B6D0-424C-96CD-5E7698C5E666}"/>
            </c:ext>
          </c:extLst>
        </c:ser>
        <c:ser>
          <c:idx val="0"/>
          <c:order val="1"/>
          <c:tx>
            <c:strRef>
              <c:f>'Chart (HIDE)'!$D$67</c:f>
              <c:strCache>
                <c:ptCount val="1"/>
                <c:pt idx="0">
                  <c:v>Marginal Pasture (from 75% equity)</c:v>
                </c:pt>
              </c:strCache>
            </c:strRef>
          </c:tx>
          <c:dPt>
            <c:idx val="0"/>
            <c:marker>
              <c:symbol val="none"/>
            </c:marker>
            <c:bubble3D val="0"/>
            <c:extLst>
              <c:ext xmlns:c16="http://schemas.microsoft.com/office/drawing/2014/chart" uri="{C3380CC4-5D6E-409C-BE32-E72D297353CC}">
                <c16:uniqueId val="{00000003-B6D0-424C-96CD-5E7698C5E666}"/>
              </c:ext>
            </c:extLst>
          </c:dPt>
          <c:dPt>
            <c:idx val="1"/>
            <c:marker>
              <c:symbol val="none"/>
            </c:marker>
            <c:bubble3D val="0"/>
            <c:extLst>
              <c:ext xmlns:c16="http://schemas.microsoft.com/office/drawing/2014/chart" uri="{C3380CC4-5D6E-409C-BE32-E72D297353CC}">
                <c16:uniqueId val="{00000004-B6D0-424C-96CD-5E7698C5E666}"/>
              </c:ext>
            </c:extLst>
          </c:dPt>
          <c:dPt>
            <c:idx val="2"/>
            <c:marker>
              <c:symbol val="none"/>
            </c:marker>
            <c:bubble3D val="0"/>
            <c:extLst>
              <c:ext xmlns:c16="http://schemas.microsoft.com/office/drawing/2014/chart" uri="{C3380CC4-5D6E-409C-BE32-E72D297353CC}">
                <c16:uniqueId val="{00000005-B6D0-424C-96CD-5E7698C5E666}"/>
              </c:ext>
            </c:extLst>
          </c:dPt>
          <c:dPt>
            <c:idx val="4"/>
            <c:marker>
              <c:symbol val="none"/>
            </c:marker>
            <c:bubble3D val="0"/>
            <c:extLst>
              <c:ext xmlns:c16="http://schemas.microsoft.com/office/drawing/2014/chart" uri="{C3380CC4-5D6E-409C-BE32-E72D297353CC}">
                <c16:uniqueId val="{00000006-B6D0-424C-96CD-5E7698C5E666}"/>
              </c:ext>
            </c:extLst>
          </c:dPt>
          <c:dPt>
            <c:idx val="5"/>
            <c:marker>
              <c:symbol val="none"/>
            </c:marker>
            <c:bubble3D val="0"/>
            <c:extLst>
              <c:ext xmlns:c16="http://schemas.microsoft.com/office/drawing/2014/chart" uri="{C3380CC4-5D6E-409C-BE32-E72D297353CC}">
                <c16:uniqueId val="{00000007-B6D0-424C-96CD-5E7698C5E666}"/>
              </c:ext>
            </c:extLst>
          </c:dPt>
          <c:dPt>
            <c:idx val="6"/>
            <c:marker>
              <c:symbol val="none"/>
            </c:marker>
            <c:bubble3D val="0"/>
            <c:extLst>
              <c:ext xmlns:c16="http://schemas.microsoft.com/office/drawing/2014/chart" uri="{C3380CC4-5D6E-409C-BE32-E72D297353CC}">
                <c16:uniqueId val="{00000008-B6D0-424C-96CD-5E7698C5E666}"/>
              </c:ext>
            </c:extLst>
          </c:dPt>
          <c:dLbls>
            <c:dLbl>
              <c:idx val="0"/>
              <c:delete val="1"/>
              <c:extLst>
                <c:ext xmlns:c15="http://schemas.microsoft.com/office/drawing/2012/chart" uri="{CE6537A1-D6FC-4f65-9D91-7224C49458BB}"/>
                <c:ext xmlns:c16="http://schemas.microsoft.com/office/drawing/2014/chart" uri="{C3380CC4-5D6E-409C-BE32-E72D297353CC}">
                  <c16:uniqueId val="{00000003-B6D0-424C-96CD-5E7698C5E666}"/>
                </c:ext>
              </c:extLst>
            </c:dLbl>
            <c:dLbl>
              <c:idx val="1"/>
              <c:delete val="1"/>
              <c:extLst>
                <c:ext xmlns:c15="http://schemas.microsoft.com/office/drawing/2012/chart" uri="{CE6537A1-D6FC-4f65-9D91-7224C49458BB}"/>
                <c:ext xmlns:c16="http://schemas.microsoft.com/office/drawing/2014/chart" uri="{C3380CC4-5D6E-409C-BE32-E72D297353CC}">
                  <c16:uniqueId val="{00000004-B6D0-424C-96CD-5E7698C5E666}"/>
                </c:ext>
              </c:extLst>
            </c:dLbl>
            <c:dLbl>
              <c:idx val="2"/>
              <c:delete val="1"/>
              <c:extLst>
                <c:ext xmlns:c15="http://schemas.microsoft.com/office/drawing/2012/chart" uri="{CE6537A1-D6FC-4f65-9D91-7224C49458BB}"/>
                <c:ext xmlns:c16="http://schemas.microsoft.com/office/drawing/2014/chart" uri="{C3380CC4-5D6E-409C-BE32-E72D297353CC}">
                  <c16:uniqueId val="{00000005-B6D0-424C-96CD-5E7698C5E666}"/>
                </c:ext>
              </c:extLst>
            </c:dLbl>
            <c:dLbl>
              <c:idx val="4"/>
              <c:delete val="1"/>
              <c:extLst>
                <c:ext xmlns:c15="http://schemas.microsoft.com/office/drawing/2012/chart" uri="{CE6537A1-D6FC-4f65-9D91-7224C49458BB}"/>
                <c:ext xmlns:c16="http://schemas.microsoft.com/office/drawing/2014/chart" uri="{C3380CC4-5D6E-409C-BE32-E72D297353CC}">
                  <c16:uniqueId val="{00000006-B6D0-424C-96CD-5E7698C5E666}"/>
                </c:ext>
              </c:extLst>
            </c:dLbl>
            <c:dLbl>
              <c:idx val="5"/>
              <c:delete val="1"/>
              <c:extLst>
                <c:ext xmlns:c15="http://schemas.microsoft.com/office/drawing/2012/chart" uri="{CE6537A1-D6FC-4f65-9D91-7224C49458BB}"/>
                <c:ext xmlns:c16="http://schemas.microsoft.com/office/drawing/2014/chart" uri="{C3380CC4-5D6E-409C-BE32-E72D297353CC}">
                  <c16:uniqueId val="{00000007-B6D0-424C-96CD-5E7698C5E666}"/>
                </c:ext>
              </c:extLst>
            </c:dLbl>
            <c:dLbl>
              <c:idx val="6"/>
              <c:delete val="1"/>
              <c:extLst>
                <c:ext xmlns:c15="http://schemas.microsoft.com/office/drawing/2012/chart" uri="{CE6537A1-D6FC-4f65-9D91-7224C49458BB}"/>
                <c:ext xmlns:c16="http://schemas.microsoft.com/office/drawing/2014/chart" uri="{C3380CC4-5D6E-409C-BE32-E72D297353CC}">
                  <c16:uniqueId val="{00000008-B6D0-424C-96CD-5E7698C5E66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(HIDE)'!$B$68:$B$74</c:f>
              <c:numCache>
                <c:formatCode>0%</c:formatCode>
                <c:ptCount val="7"/>
                <c:pt idx="0">
                  <c:v>-0.15000000000000002</c:v>
                </c:pt>
                <c:pt idx="1">
                  <c:v>-0.1</c:v>
                </c:pt>
                <c:pt idx="2">
                  <c:v>-0.05</c:v>
                </c:pt>
                <c:pt idx="3">
                  <c:v>0</c:v>
                </c:pt>
                <c:pt idx="4">
                  <c:v>0.05</c:v>
                </c:pt>
                <c:pt idx="5">
                  <c:v>0.1</c:v>
                </c:pt>
                <c:pt idx="6">
                  <c:v>0.15000000000000002</c:v>
                </c:pt>
              </c:numCache>
            </c:numRef>
          </c:cat>
          <c:val>
            <c:numRef>
              <c:f>'Chart (HIDE)'!$D$68:$D$74</c:f>
              <c:numCache>
                <c:formatCode>"$"#,##0.00_);[Red]\("$"#,##0.00\)</c:formatCode>
                <c:ptCount val="7"/>
                <c:pt idx="0">
                  <c:v>1.7253074602314813</c:v>
                </c:pt>
                <c:pt idx="1">
                  <c:v>1.6053074602314814</c:v>
                </c:pt>
                <c:pt idx="2">
                  <c:v>1.4753074602314813</c:v>
                </c:pt>
                <c:pt idx="3">
                  <c:v>1.3553074602314814</c:v>
                </c:pt>
                <c:pt idx="4">
                  <c:v>1.2353074602314815</c:v>
                </c:pt>
                <c:pt idx="5">
                  <c:v>1.1153074602314814</c:v>
                </c:pt>
                <c:pt idx="6">
                  <c:v>0.98530746023148141</c:v>
                </c:pt>
              </c:numCache>
            </c:numRef>
          </c:val>
          <c:smooth val="0"/>
          <c:extLst>
            <c:ext xmlns:c16="http://schemas.microsoft.com/office/drawing/2014/chart" uri="{C3380CC4-5D6E-409C-BE32-E72D297353CC}">
              <c16:uniqueId val="{00000009-B6D0-424C-96CD-5E7698C5E666}"/>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Owned Pasture Equity per Acre</a:t>
                </a:r>
              </a:p>
            </c:rich>
          </c:tx>
          <c:overlay val="0"/>
        </c:title>
        <c:numFmt formatCode="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65000000000000013"/>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9.0714643575535964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(HIDE)'!$Q$65</c:f>
          <c:strCache>
            <c:ptCount val="1"/>
            <c:pt idx="0">
              <c:v>Impact of Interest Rates on Pasture Cost Per Day (@75% equity for 25 yrs) </c:v>
            </c:pt>
          </c:strCache>
        </c:strRef>
      </c:tx>
      <c:overlay val="0"/>
      <c:spPr>
        <a:noFill/>
        <a:ln w="25400">
          <a:noFill/>
        </a:ln>
      </c:spPr>
      <c:txPr>
        <a:bodyPr/>
        <a:lstStyle/>
        <a:p>
          <a:pPr>
            <a:defRPr sz="1400" b="1" i="0" u="none" strike="noStrike" baseline="0">
              <a:solidFill>
                <a:srgbClr val="333333"/>
              </a:solidFill>
              <a:latin typeface="Calibri"/>
              <a:ea typeface="Calibri"/>
              <a:cs typeface="Calibri"/>
            </a:defRPr>
          </a:pPr>
          <a:endParaRPr lang="en-US"/>
        </a:p>
      </c:txPr>
    </c:title>
    <c:autoTitleDeleted val="0"/>
    <c:plotArea>
      <c:layout>
        <c:manualLayout>
          <c:layoutTarget val="inner"/>
          <c:xMode val="edge"/>
          <c:yMode val="edge"/>
          <c:x val="0.17344621830528065"/>
          <c:y val="0.20524051884818745"/>
          <c:w val="0.75057622384357914"/>
          <c:h val="0.4856790292517783"/>
        </c:manualLayout>
      </c:layout>
      <c:lineChart>
        <c:grouping val="standard"/>
        <c:varyColors val="0"/>
        <c:ser>
          <c:idx val="1"/>
          <c:order val="0"/>
          <c:tx>
            <c:strRef>
              <c:f>'Chart (HIDE)'!$R$67</c:f>
              <c:strCache>
                <c:ptCount val="1"/>
                <c:pt idx="0">
                  <c:v>Improved Pasture (from 6%)</c:v>
                </c:pt>
              </c:strCache>
            </c:strRef>
          </c:tx>
          <c:marker>
            <c:symbol val="none"/>
          </c:marker>
          <c:dPt>
            <c:idx val="3"/>
            <c:marker>
              <c:symbol val="auto"/>
            </c:marker>
            <c:bubble3D val="0"/>
            <c:spPr/>
            <c:extLst>
              <c:ext xmlns:c16="http://schemas.microsoft.com/office/drawing/2014/chart" uri="{C3380CC4-5D6E-409C-BE32-E72D297353CC}">
                <c16:uniqueId val="{00000001-9246-4DC9-9611-4B443BFF47E2}"/>
              </c:ext>
            </c:extLst>
          </c:dPt>
          <c:dLbls>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46-4DC9-9611-4B443BFF47E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(HIDE)'!$R$68:$R$74</c:f>
              <c:numCache>
                <c:formatCode>"$"#,##0.00_);[Red]\("$"#,##0.00\)</c:formatCode>
                <c:ptCount val="7"/>
                <c:pt idx="0">
                  <c:v>1.3494100000000002</c:v>
                </c:pt>
                <c:pt idx="1">
                  <c:v>1.3694100000000002</c:v>
                </c:pt>
                <c:pt idx="2">
                  <c:v>1.3894100000000003</c:v>
                </c:pt>
                <c:pt idx="3">
                  <c:v>1.4094100000000003</c:v>
                </c:pt>
                <c:pt idx="4">
                  <c:v>1.4294100000000003</c:v>
                </c:pt>
                <c:pt idx="5">
                  <c:v>1.4594100000000003</c:v>
                </c:pt>
                <c:pt idx="6">
                  <c:v>1.4794100000000003</c:v>
                </c:pt>
              </c:numCache>
            </c:numRef>
          </c:val>
          <c:smooth val="0"/>
          <c:extLst>
            <c:ext xmlns:c16="http://schemas.microsoft.com/office/drawing/2014/chart" uri="{C3380CC4-5D6E-409C-BE32-E72D297353CC}">
              <c16:uniqueId val="{00000002-9246-4DC9-9611-4B443BFF47E2}"/>
            </c:ext>
          </c:extLst>
        </c:ser>
        <c:ser>
          <c:idx val="0"/>
          <c:order val="1"/>
          <c:tx>
            <c:strRef>
              <c:f>'Chart (HIDE)'!$S$67</c:f>
              <c:strCache>
                <c:ptCount val="1"/>
                <c:pt idx="0">
                  <c:v>Marginal Pasture (from 6%)</c:v>
                </c:pt>
              </c:strCache>
            </c:strRef>
          </c:tx>
          <c:dPt>
            <c:idx val="0"/>
            <c:marker>
              <c:symbol val="none"/>
            </c:marker>
            <c:bubble3D val="0"/>
            <c:extLst>
              <c:ext xmlns:c16="http://schemas.microsoft.com/office/drawing/2014/chart" uri="{C3380CC4-5D6E-409C-BE32-E72D297353CC}">
                <c16:uniqueId val="{00000003-9246-4DC9-9611-4B443BFF47E2}"/>
              </c:ext>
            </c:extLst>
          </c:dPt>
          <c:dPt>
            <c:idx val="1"/>
            <c:marker>
              <c:symbol val="none"/>
            </c:marker>
            <c:bubble3D val="0"/>
            <c:extLst>
              <c:ext xmlns:c16="http://schemas.microsoft.com/office/drawing/2014/chart" uri="{C3380CC4-5D6E-409C-BE32-E72D297353CC}">
                <c16:uniqueId val="{00000004-9246-4DC9-9611-4B443BFF47E2}"/>
              </c:ext>
            </c:extLst>
          </c:dPt>
          <c:dPt>
            <c:idx val="2"/>
            <c:marker>
              <c:symbol val="none"/>
            </c:marker>
            <c:bubble3D val="0"/>
            <c:extLst>
              <c:ext xmlns:c16="http://schemas.microsoft.com/office/drawing/2014/chart" uri="{C3380CC4-5D6E-409C-BE32-E72D297353CC}">
                <c16:uniqueId val="{00000005-9246-4DC9-9611-4B443BFF47E2}"/>
              </c:ext>
            </c:extLst>
          </c:dPt>
          <c:dPt>
            <c:idx val="4"/>
            <c:marker>
              <c:symbol val="none"/>
            </c:marker>
            <c:bubble3D val="0"/>
            <c:extLst>
              <c:ext xmlns:c16="http://schemas.microsoft.com/office/drawing/2014/chart" uri="{C3380CC4-5D6E-409C-BE32-E72D297353CC}">
                <c16:uniqueId val="{00000006-9246-4DC9-9611-4B443BFF47E2}"/>
              </c:ext>
            </c:extLst>
          </c:dPt>
          <c:dPt>
            <c:idx val="5"/>
            <c:marker>
              <c:symbol val="none"/>
            </c:marker>
            <c:bubble3D val="0"/>
            <c:extLst>
              <c:ext xmlns:c16="http://schemas.microsoft.com/office/drawing/2014/chart" uri="{C3380CC4-5D6E-409C-BE32-E72D297353CC}">
                <c16:uniqueId val="{00000007-9246-4DC9-9611-4B443BFF47E2}"/>
              </c:ext>
            </c:extLst>
          </c:dPt>
          <c:dPt>
            <c:idx val="6"/>
            <c:marker>
              <c:symbol val="none"/>
            </c:marker>
            <c:bubble3D val="0"/>
            <c:extLst>
              <c:ext xmlns:c16="http://schemas.microsoft.com/office/drawing/2014/chart" uri="{C3380CC4-5D6E-409C-BE32-E72D297353CC}">
                <c16:uniqueId val="{00000008-9246-4DC9-9611-4B443BFF47E2}"/>
              </c:ext>
            </c:extLst>
          </c:dPt>
          <c:dLbls>
            <c:dLbl>
              <c:idx val="0"/>
              <c:delete val="1"/>
              <c:extLst>
                <c:ext xmlns:c15="http://schemas.microsoft.com/office/drawing/2012/chart" uri="{CE6537A1-D6FC-4f65-9D91-7224C49458BB}"/>
                <c:ext xmlns:c16="http://schemas.microsoft.com/office/drawing/2014/chart" uri="{C3380CC4-5D6E-409C-BE32-E72D297353CC}">
                  <c16:uniqueId val="{00000003-9246-4DC9-9611-4B443BFF47E2}"/>
                </c:ext>
              </c:extLst>
            </c:dLbl>
            <c:dLbl>
              <c:idx val="1"/>
              <c:delete val="1"/>
              <c:extLst>
                <c:ext xmlns:c15="http://schemas.microsoft.com/office/drawing/2012/chart" uri="{CE6537A1-D6FC-4f65-9D91-7224C49458BB}"/>
                <c:ext xmlns:c16="http://schemas.microsoft.com/office/drawing/2014/chart" uri="{C3380CC4-5D6E-409C-BE32-E72D297353CC}">
                  <c16:uniqueId val="{00000004-9246-4DC9-9611-4B443BFF47E2}"/>
                </c:ext>
              </c:extLst>
            </c:dLbl>
            <c:dLbl>
              <c:idx val="2"/>
              <c:delete val="1"/>
              <c:extLst>
                <c:ext xmlns:c15="http://schemas.microsoft.com/office/drawing/2012/chart" uri="{CE6537A1-D6FC-4f65-9D91-7224C49458BB}"/>
                <c:ext xmlns:c16="http://schemas.microsoft.com/office/drawing/2014/chart" uri="{C3380CC4-5D6E-409C-BE32-E72D297353CC}">
                  <c16:uniqueId val="{00000005-9246-4DC9-9611-4B443BFF47E2}"/>
                </c:ext>
              </c:extLst>
            </c:dLbl>
            <c:dLbl>
              <c:idx val="4"/>
              <c:delete val="1"/>
              <c:extLst>
                <c:ext xmlns:c15="http://schemas.microsoft.com/office/drawing/2012/chart" uri="{CE6537A1-D6FC-4f65-9D91-7224C49458BB}"/>
                <c:ext xmlns:c16="http://schemas.microsoft.com/office/drawing/2014/chart" uri="{C3380CC4-5D6E-409C-BE32-E72D297353CC}">
                  <c16:uniqueId val="{00000006-9246-4DC9-9611-4B443BFF47E2}"/>
                </c:ext>
              </c:extLst>
            </c:dLbl>
            <c:dLbl>
              <c:idx val="5"/>
              <c:delete val="1"/>
              <c:extLst>
                <c:ext xmlns:c15="http://schemas.microsoft.com/office/drawing/2012/chart" uri="{CE6537A1-D6FC-4f65-9D91-7224C49458BB}"/>
                <c:ext xmlns:c16="http://schemas.microsoft.com/office/drawing/2014/chart" uri="{C3380CC4-5D6E-409C-BE32-E72D297353CC}">
                  <c16:uniqueId val="{00000007-9246-4DC9-9611-4B443BFF47E2}"/>
                </c:ext>
              </c:extLst>
            </c:dLbl>
            <c:dLbl>
              <c:idx val="6"/>
              <c:delete val="1"/>
              <c:extLst>
                <c:ext xmlns:c15="http://schemas.microsoft.com/office/drawing/2012/chart" uri="{CE6537A1-D6FC-4f65-9D91-7224C49458BB}"/>
                <c:ext xmlns:c16="http://schemas.microsoft.com/office/drawing/2014/chart" uri="{C3380CC4-5D6E-409C-BE32-E72D297353CC}">
                  <c16:uniqueId val="{00000008-9246-4DC9-9611-4B443BFF47E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(HIDE)'!$Q$68:$Q$74</c:f>
              <c:numCache>
                <c:formatCode>0.00%</c:formatCode>
                <c:ptCount val="7"/>
                <c:pt idx="0">
                  <c:v>-1.4999999999999999E-2</c:v>
                </c:pt>
                <c:pt idx="1">
                  <c:v>-0.01</c:v>
                </c:pt>
                <c:pt idx="2">
                  <c:v>-5.0000000000000001E-3</c:v>
                </c:pt>
                <c:pt idx="3">
                  <c:v>0</c:v>
                </c:pt>
                <c:pt idx="4">
                  <c:v>5.0000000000000001E-3</c:v>
                </c:pt>
                <c:pt idx="5">
                  <c:v>0.01</c:v>
                </c:pt>
                <c:pt idx="6">
                  <c:v>1.4999999999999999E-2</c:v>
                </c:pt>
              </c:numCache>
            </c:numRef>
          </c:cat>
          <c:val>
            <c:numRef>
              <c:f>'Chart (HIDE)'!$S$68:$S$74</c:f>
              <c:numCache>
                <c:formatCode>"$"#,##0.00_);[Red]\("$"#,##0.00\)</c:formatCode>
                <c:ptCount val="7"/>
                <c:pt idx="0">
                  <c:v>1.2753074602314816</c:v>
                </c:pt>
                <c:pt idx="1">
                  <c:v>1.2953074602314816</c:v>
                </c:pt>
                <c:pt idx="2">
                  <c:v>1.3253074602314814</c:v>
                </c:pt>
                <c:pt idx="3">
                  <c:v>1.3553074602314814</c:v>
                </c:pt>
                <c:pt idx="4">
                  <c:v>1.3853074602314814</c:v>
                </c:pt>
                <c:pt idx="5">
                  <c:v>1.4153074602314815</c:v>
                </c:pt>
                <c:pt idx="6">
                  <c:v>1.4453074602314815</c:v>
                </c:pt>
              </c:numCache>
            </c:numRef>
          </c:val>
          <c:smooth val="0"/>
          <c:extLst>
            <c:ext xmlns:c16="http://schemas.microsoft.com/office/drawing/2014/chart" uri="{C3380CC4-5D6E-409C-BE32-E72D297353CC}">
              <c16:uniqueId val="{00000009-9246-4DC9-9611-4B443BFF47E2}"/>
            </c:ext>
          </c:extLst>
        </c:ser>
        <c:dLbls>
          <c:showLegendKey val="0"/>
          <c:showVal val="0"/>
          <c:showCatName val="0"/>
          <c:showSerName val="0"/>
          <c:showPercent val="0"/>
          <c:showBubbleSize val="0"/>
        </c:dLbls>
        <c:smooth val="0"/>
        <c:axId val="204950624"/>
        <c:axId val="1"/>
      </c:lineChart>
      <c:catAx>
        <c:axId val="204950624"/>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Change in Interest Rate</a:t>
                </a:r>
              </a:p>
            </c:rich>
          </c:tx>
          <c:overlay val="0"/>
        </c:title>
        <c:numFmt formatCode="0.00%" sourceLinked="0"/>
        <c:majorTickMark val="none"/>
        <c:minorTickMark val="none"/>
        <c:tickLblPos val="low"/>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85000000000000009"/>
        </c:scaling>
        <c:delete val="0"/>
        <c:axPos val="l"/>
        <c:majorGridlines>
          <c:spPr>
            <a:ln w="9525" cap="flat" cmpd="sng" algn="ctr">
              <a:solidFill>
                <a:schemeClr val="tx1">
                  <a:lumMod val="15000"/>
                  <a:lumOff val="85000"/>
                </a:schemeClr>
              </a:solidFill>
              <a:round/>
            </a:ln>
            <a:effectLst/>
          </c:spPr>
        </c:majorGridlines>
        <c:title>
          <c:tx>
            <c:rich>
              <a:bodyPr/>
              <a:lstStyle/>
              <a:p>
                <a:pPr>
                  <a:defRPr sz="1400" b="1" i="0" u="none" strike="noStrike" baseline="0">
                    <a:solidFill>
                      <a:srgbClr val="000000"/>
                    </a:solidFill>
                    <a:latin typeface="Calibri"/>
                    <a:ea typeface="Calibri"/>
                    <a:cs typeface="Calibri"/>
                  </a:defRPr>
                </a:pPr>
                <a:r>
                  <a:rPr lang="en-CA"/>
                  <a:t>$ per cow</a:t>
                </a:r>
              </a:p>
            </c:rich>
          </c:tx>
          <c:overlay val="0"/>
        </c:title>
        <c:numFmt formatCode="&quot;$&quot;#,##0.00_);[Red]\(&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04950624"/>
        <c:crosses val="autoZero"/>
        <c:crossBetween val="between"/>
      </c:valAx>
      <c:spPr>
        <a:noFill/>
        <a:ln w="25400">
          <a:noFill/>
        </a:ln>
      </c:spPr>
    </c:plotArea>
    <c:legend>
      <c:legendPos val="b"/>
      <c:layout>
        <c:manualLayout>
          <c:xMode val="edge"/>
          <c:yMode val="edge"/>
          <c:x val="0"/>
          <c:y val="0.85076967943109683"/>
          <c:w val="0.99791053777852234"/>
          <c:h val="6.4123950318176082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(HIDE)'!$G$129</c:f>
          <c:strCache>
            <c:ptCount val="1"/>
            <c:pt idx="0">
              <c:v>Improved Pasture Indemnity = $5,655 or $60/hd    Unimproved Pasture Indemnity = $1,947 or $61/head</c:v>
            </c:pt>
          </c:strCache>
        </c:strRef>
      </c:tx>
      <c:layout>
        <c:manualLayout>
          <c:xMode val="edge"/>
          <c:yMode val="edge"/>
          <c:x val="0.17672570982327757"/>
          <c:y val="3.0045889425112184E-2"/>
        </c:manualLayout>
      </c:layout>
      <c:overlay val="0"/>
      <c:txPr>
        <a:bodyPr/>
        <a:lstStyle/>
        <a:p>
          <a:pPr algn="ctr">
            <a:defRPr sz="12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23321276775886884"/>
          <c:w val="0.72574797929215273"/>
          <c:h val="0.52094352722038773"/>
        </c:manualLayout>
      </c:layout>
      <c:barChart>
        <c:barDir val="col"/>
        <c:grouping val="clustered"/>
        <c:varyColors val="0"/>
        <c:ser>
          <c:idx val="3"/>
          <c:order val="0"/>
          <c:tx>
            <c:strRef>
              <c:f>'Chart (HIDE)'!$E$130</c:f>
              <c:strCache>
                <c:ptCount val="1"/>
                <c:pt idx="0">
                  <c:v>Historic Grazing Days</c:v>
                </c:pt>
              </c:strCache>
            </c:strRef>
          </c:tx>
          <c:spPr>
            <a:solidFill>
              <a:schemeClr val="bg1">
                <a:lumMod val="6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1-E791-41FB-BA10-A98F44664C73}"/>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'Chart (HIDE)'!$C$131:$C$133</c:f>
              <c:numCache>
                <c:formatCode>General</c:formatCode>
                <c:ptCount val="3"/>
              </c:numCache>
            </c:numRef>
          </c:cat>
          <c:val>
            <c:numRef>
              <c:f>'Chart (HIDE)'!$E$131:$E$133</c:f>
              <c:numCache>
                <c:formatCode>#,##0</c:formatCode>
                <c:ptCount val="3"/>
                <c:pt idx="1">
                  <c:v>134</c:v>
                </c:pt>
              </c:numCache>
            </c:numRef>
          </c:val>
          <c:extLst>
            <c:ext xmlns:c16="http://schemas.microsoft.com/office/drawing/2014/chart" uri="{C3380CC4-5D6E-409C-BE32-E72D297353CC}">
              <c16:uniqueId val="{00000002-E791-41FB-BA10-A98F44664C73}"/>
            </c:ext>
          </c:extLst>
        </c:ser>
        <c:ser>
          <c:idx val="4"/>
          <c:order val="1"/>
          <c:tx>
            <c:strRef>
              <c:f>'Chart (HIDE)'!$F$130</c:f>
              <c:strCache>
                <c:ptCount val="1"/>
                <c:pt idx="0">
                  <c:v>Pasture Days Covered by AgriInsurance</c:v>
                </c:pt>
              </c:strCache>
            </c:strRef>
          </c:tx>
          <c:spPr>
            <a:solidFill>
              <a:schemeClr val="bg1">
                <a:lumMod val="9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4-E791-41FB-BA10-A98F44664C73}"/>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(HIDE)'!$C$131:$C$133</c:f>
              <c:numCache>
                <c:formatCode>General</c:formatCode>
                <c:ptCount val="3"/>
              </c:numCache>
            </c:numRef>
          </c:cat>
          <c:val>
            <c:numRef>
              <c:f>'Chart (HIDE)'!$F$131:$F$133</c:f>
              <c:numCache>
                <c:formatCode>#,##0</c:formatCode>
                <c:ptCount val="3"/>
                <c:pt idx="1">
                  <c:v>121</c:v>
                </c:pt>
              </c:numCache>
            </c:numRef>
          </c:val>
          <c:extLst>
            <c:ext xmlns:c16="http://schemas.microsoft.com/office/drawing/2014/chart" uri="{C3380CC4-5D6E-409C-BE32-E72D297353CC}">
              <c16:uniqueId val="{00000005-E791-41FB-BA10-A98F44664C73}"/>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'Chart (HIDE)'!$G$130</c:f>
              <c:strCache>
                <c:ptCount val="1"/>
                <c:pt idx="0">
                  <c:v>100 Actual Grazing Days </c:v>
                </c:pt>
              </c:strCache>
            </c:strRef>
          </c:tx>
          <c:spPr>
            <a:ln w="44450">
              <a:solidFill>
                <a:schemeClr val="tx1"/>
              </a:solidFill>
            </a:ln>
          </c:spPr>
          <c:marker>
            <c:symbol val="none"/>
          </c:marker>
          <c:dLbls>
            <c:dLbl>
              <c:idx val="0"/>
              <c:layout>
                <c:manualLayout>
                  <c:x val="-0.11747288783912314"/>
                  <c:y val="5.1889344502863657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6-E791-41FB-BA10-A98F44664C73}"/>
                </c:ext>
              </c:extLst>
            </c:dLbl>
            <c:dLbl>
              <c:idx val="1"/>
              <c:delete val="1"/>
              <c:extLst>
                <c:ext xmlns:c15="http://schemas.microsoft.com/office/drawing/2012/chart" uri="{CE6537A1-D6FC-4f65-9D91-7224C49458BB}"/>
                <c:ext xmlns:c16="http://schemas.microsoft.com/office/drawing/2014/chart" uri="{C3380CC4-5D6E-409C-BE32-E72D297353CC}">
                  <c16:uniqueId val="{00000007-E791-41FB-BA10-A98F44664C73}"/>
                </c:ext>
              </c:extLst>
            </c:dLbl>
            <c:dLbl>
              <c:idx val="2"/>
              <c:delete val="1"/>
              <c:extLst>
                <c:ext xmlns:c15="http://schemas.microsoft.com/office/drawing/2012/chart" uri="{CE6537A1-D6FC-4f65-9D91-7224C49458BB}"/>
                <c:ext xmlns:c16="http://schemas.microsoft.com/office/drawing/2014/chart" uri="{C3380CC4-5D6E-409C-BE32-E72D297353CC}">
                  <c16:uniqueId val="{00000008-E791-41FB-BA10-A98F44664C73}"/>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'Chart (HIDE)'!$G$131:$G$133</c:f>
              <c:numCache>
                <c:formatCode>#,##0</c:formatCode>
                <c:ptCount val="3"/>
                <c:pt idx="0">
                  <c:v>100</c:v>
                </c:pt>
                <c:pt idx="1">
                  <c:v>100</c:v>
                </c:pt>
                <c:pt idx="2">
                  <c:v>100</c:v>
                </c:pt>
              </c:numCache>
            </c:numRef>
          </c:val>
          <c:smooth val="0"/>
          <c:extLst>
            <c:ext xmlns:c16="http://schemas.microsoft.com/office/drawing/2014/chart" uri="{C3380CC4-5D6E-409C-BE32-E72D297353CC}">
              <c16:uniqueId val="{00000009-E791-41FB-BA10-A98F44664C73}"/>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'Chart (HIDE)'!$D$134</c:f>
              <c:strCache>
                <c:ptCount val="1"/>
                <c:pt idx="0">
                  <c:v>Improved Pasture</c:v>
                </c:pt>
              </c:strCache>
            </c:strRef>
          </c:tx>
          <c:spPr>
            <a:ln w="28575" cap="rnd">
              <a:solidFill>
                <a:schemeClr val="tx1"/>
              </a:solidFill>
              <a:round/>
            </a:ln>
            <a:effectLst/>
          </c:spPr>
          <c:marker>
            <c:symbol val="none"/>
          </c:marker>
          <c:cat>
            <c:numRef>
              <c:f>'Chart (HIDE)'!$C$135:$C$216</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(HIDE)'!$D$135:$D$216</c:f>
              <c:numCache>
                <c:formatCode>"$"#,##0</c:formatCode>
                <c:ptCount val="82"/>
                <c:pt idx="0">
                  <c:v>0</c:v>
                </c:pt>
                <c:pt idx="1">
                  <c:v>164.70000000000164</c:v>
                </c:pt>
                <c:pt idx="2">
                  <c:v>439.20000000000164</c:v>
                </c:pt>
                <c:pt idx="3">
                  <c:v>713.70000000000164</c:v>
                </c:pt>
                <c:pt idx="4">
                  <c:v>988.20000000000164</c:v>
                </c:pt>
                <c:pt idx="5">
                  <c:v>1262.7000000000016</c:v>
                </c:pt>
                <c:pt idx="6">
                  <c:v>1537.2000000000016</c:v>
                </c:pt>
                <c:pt idx="7">
                  <c:v>1811.7000000000016</c:v>
                </c:pt>
                <c:pt idx="8">
                  <c:v>2086.2000000000016</c:v>
                </c:pt>
                <c:pt idx="9">
                  <c:v>2360.7000000000016</c:v>
                </c:pt>
                <c:pt idx="10">
                  <c:v>2635.2000000000016</c:v>
                </c:pt>
                <c:pt idx="11">
                  <c:v>2909.7000000000016</c:v>
                </c:pt>
                <c:pt idx="12">
                  <c:v>3184.2000000000016</c:v>
                </c:pt>
                <c:pt idx="13">
                  <c:v>3458.7000000000016</c:v>
                </c:pt>
                <c:pt idx="14">
                  <c:v>3733.2000000000016</c:v>
                </c:pt>
                <c:pt idx="15">
                  <c:v>4007.7000000000016</c:v>
                </c:pt>
                <c:pt idx="16">
                  <c:v>4282.2000000000016</c:v>
                </c:pt>
                <c:pt idx="17">
                  <c:v>4556.7000000000016</c:v>
                </c:pt>
                <c:pt idx="18">
                  <c:v>4831.2000000000016</c:v>
                </c:pt>
                <c:pt idx="19">
                  <c:v>5105.7000000000016</c:v>
                </c:pt>
                <c:pt idx="20">
                  <c:v>5380.2000000000016</c:v>
                </c:pt>
                <c:pt idx="21">
                  <c:v>5654.7000000000016</c:v>
                </c:pt>
                <c:pt idx="22">
                  <c:v>5929.2000000000016</c:v>
                </c:pt>
                <c:pt idx="23">
                  <c:v>6203.7000000000016</c:v>
                </c:pt>
                <c:pt idx="24">
                  <c:v>6478.2000000000016</c:v>
                </c:pt>
                <c:pt idx="25">
                  <c:v>6752.7000000000016</c:v>
                </c:pt>
                <c:pt idx="26">
                  <c:v>7027.2000000000016</c:v>
                </c:pt>
                <c:pt idx="27">
                  <c:v>7301.7000000000016</c:v>
                </c:pt>
                <c:pt idx="28">
                  <c:v>7576.2000000000016</c:v>
                </c:pt>
                <c:pt idx="29">
                  <c:v>7850.7000000000016</c:v>
                </c:pt>
                <c:pt idx="30">
                  <c:v>8125.2000000000016</c:v>
                </c:pt>
                <c:pt idx="31">
                  <c:v>8399.7000000000007</c:v>
                </c:pt>
                <c:pt idx="32">
                  <c:v>8674.2000000000007</c:v>
                </c:pt>
                <c:pt idx="33">
                  <c:v>8948.7000000000007</c:v>
                </c:pt>
                <c:pt idx="34">
                  <c:v>9223.2000000000007</c:v>
                </c:pt>
                <c:pt idx="35">
                  <c:v>9497.7000000000007</c:v>
                </c:pt>
                <c:pt idx="36">
                  <c:v>9772.2000000000007</c:v>
                </c:pt>
                <c:pt idx="37">
                  <c:v>10046.700000000001</c:v>
                </c:pt>
                <c:pt idx="38">
                  <c:v>10321.200000000001</c:v>
                </c:pt>
                <c:pt idx="39">
                  <c:v>10595.7</c:v>
                </c:pt>
                <c:pt idx="40">
                  <c:v>10870.2</c:v>
                </c:pt>
                <c:pt idx="41">
                  <c:v>11144.7</c:v>
                </c:pt>
                <c:pt idx="42">
                  <c:v>11419.2</c:v>
                </c:pt>
                <c:pt idx="43">
                  <c:v>11693.7</c:v>
                </c:pt>
                <c:pt idx="44">
                  <c:v>11968.2</c:v>
                </c:pt>
                <c:pt idx="45">
                  <c:v>12242.7</c:v>
                </c:pt>
                <c:pt idx="46">
                  <c:v>12517.2</c:v>
                </c:pt>
                <c:pt idx="47">
                  <c:v>12791.7</c:v>
                </c:pt>
                <c:pt idx="48">
                  <c:v>13066.2</c:v>
                </c:pt>
                <c:pt idx="49">
                  <c:v>13340.7</c:v>
                </c:pt>
                <c:pt idx="50">
                  <c:v>13615.2</c:v>
                </c:pt>
                <c:pt idx="51">
                  <c:v>13889.7</c:v>
                </c:pt>
                <c:pt idx="52">
                  <c:v>14164.2</c:v>
                </c:pt>
                <c:pt idx="53">
                  <c:v>14438.7</c:v>
                </c:pt>
                <c:pt idx="54">
                  <c:v>14713.2</c:v>
                </c:pt>
                <c:pt idx="55">
                  <c:v>14987.7</c:v>
                </c:pt>
                <c:pt idx="56">
                  <c:v>15262.2</c:v>
                </c:pt>
                <c:pt idx="57">
                  <c:v>15536.7</c:v>
                </c:pt>
                <c:pt idx="58">
                  <c:v>15811.2</c:v>
                </c:pt>
                <c:pt idx="59">
                  <c:v>16085.7</c:v>
                </c:pt>
                <c:pt idx="60">
                  <c:v>16360.2</c:v>
                </c:pt>
                <c:pt idx="61">
                  <c:v>16634.7</c:v>
                </c:pt>
                <c:pt idx="62">
                  <c:v>16909.2</c:v>
                </c:pt>
                <c:pt idx="63">
                  <c:v>17183.7</c:v>
                </c:pt>
                <c:pt idx="64">
                  <c:v>17458.2</c:v>
                </c:pt>
                <c:pt idx="65">
                  <c:v>17732.7</c:v>
                </c:pt>
                <c:pt idx="66">
                  <c:v>18007.2</c:v>
                </c:pt>
                <c:pt idx="67">
                  <c:v>18281.7</c:v>
                </c:pt>
                <c:pt idx="68">
                  <c:v>18556.2</c:v>
                </c:pt>
                <c:pt idx="69">
                  <c:v>18830.7</c:v>
                </c:pt>
                <c:pt idx="70">
                  <c:v>19105.2</c:v>
                </c:pt>
                <c:pt idx="71">
                  <c:v>19379.7</c:v>
                </c:pt>
                <c:pt idx="72">
                  <c:v>19654.2</c:v>
                </c:pt>
                <c:pt idx="73">
                  <c:v>19928.7</c:v>
                </c:pt>
                <c:pt idx="74">
                  <c:v>20203.2</c:v>
                </c:pt>
                <c:pt idx="75">
                  <c:v>20477.7</c:v>
                </c:pt>
                <c:pt idx="76">
                  <c:v>20752.2</c:v>
                </c:pt>
                <c:pt idx="77">
                  <c:v>21026.7</c:v>
                </c:pt>
                <c:pt idx="78">
                  <c:v>21301.200000000001</c:v>
                </c:pt>
                <c:pt idx="79">
                  <c:v>21575.7</c:v>
                </c:pt>
                <c:pt idx="80">
                  <c:v>21850.2</c:v>
                </c:pt>
                <c:pt idx="81">
                  <c:v>22124.7</c:v>
                </c:pt>
              </c:numCache>
            </c:numRef>
          </c:val>
          <c:smooth val="0"/>
          <c:extLst>
            <c:ext xmlns:c16="http://schemas.microsoft.com/office/drawing/2014/chart" uri="{C3380CC4-5D6E-409C-BE32-E72D297353CC}">
              <c16:uniqueId val="{00000000-DC96-4CD7-BE68-31E12235AD08}"/>
            </c:ext>
          </c:extLst>
        </c:ser>
        <c:ser>
          <c:idx val="1"/>
          <c:order val="1"/>
          <c:tx>
            <c:strRef>
              <c:f>'Chart (HIDE)'!$E$134</c:f>
              <c:strCache>
                <c:ptCount val="1"/>
                <c:pt idx="0">
                  <c:v>Unimproved Pasture</c:v>
                </c:pt>
              </c:strCache>
            </c:strRef>
          </c:tx>
          <c:spPr>
            <a:ln w="28575" cap="rnd">
              <a:solidFill>
                <a:schemeClr val="tx1"/>
              </a:solidFill>
              <a:prstDash val="dash"/>
              <a:round/>
            </a:ln>
            <a:effectLst/>
          </c:spPr>
          <c:marker>
            <c:symbol val="none"/>
          </c:marker>
          <c:cat>
            <c:numRef>
              <c:f>'Chart (HIDE)'!$C$135:$C$216</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(HIDE)'!$E$135:$E$216</c:f>
              <c:numCache>
                <c:formatCode>"$"#,##0</c:formatCode>
                <c:ptCount val="82"/>
                <c:pt idx="0">
                  <c:v>0</c:v>
                </c:pt>
                <c:pt idx="1">
                  <c:v>56.699999999999591</c:v>
                </c:pt>
                <c:pt idx="2">
                  <c:v>151.19999999999959</c:v>
                </c:pt>
                <c:pt idx="3">
                  <c:v>245.69999999999959</c:v>
                </c:pt>
                <c:pt idx="4">
                  <c:v>340.19999999999959</c:v>
                </c:pt>
                <c:pt idx="5">
                  <c:v>434.69999999999959</c:v>
                </c:pt>
                <c:pt idx="6">
                  <c:v>529.19999999999959</c:v>
                </c:pt>
                <c:pt idx="7">
                  <c:v>623.69999999999959</c:v>
                </c:pt>
                <c:pt idx="8">
                  <c:v>718.19999999999959</c:v>
                </c:pt>
                <c:pt idx="9">
                  <c:v>812.69999999999959</c:v>
                </c:pt>
                <c:pt idx="10">
                  <c:v>907.19999999999959</c:v>
                </c:pt>
                <c:pt idx="11">
                  <c:v>1001.6999999999996</c:v>
                </c:pt>
                <c:pt idx="12">
                  <c:v>1096.1999999999996</c:v>
                </c:pt>
                <c:pt idx="13">
                  <c:v>1190.6999999999996</c:v>
                </c:pt>
                <c:pt idx="14">
                  <c:v>1285.1999999999996</c:v>
                </c:pt>
                <c:pt idx="15">
                  <c:v>1379.6999999999996</c:v>
                </c:pt>
                <c:pt idx="16">
                  <c:v>1474.1999999999996</c:v>
                </c:pt>
                <c:pt idx="17">
                  <c:v>1568.6999999999996</c:v>
                </c:pt>
                <c:pt idx="18">
                  <c:v>1663.1999999999996</c:v>
                </c:pt>
                <c:pt idx="19">
                  <c:v>1757.6999999999996</c:v>
                </c:pt>
                <c:pt idx="20">
                  <c:v>1852.1999999999996</c:v>
                </c:pt>
                <c:pt idx="21">
                  <c:v>1946.6999999999996</c:v>
                </c:pt>
                <c:pt idx="22">
                  <c:v>2041.1999999999996</c:v>
                </c:pt>
                <c:pt idx="23">
                  <c:v>2135.6999999999998</c:v>
                </c:pt>
                <c:pt idx="24">
                  <c:v>2230.1999999999998</c:v>
                </c:pt>
                <c:pt idx="25">
                  <c:v>2324.6999999999998</c:v>
                </c:pt>
                <c:pt idx="26">
                  <c:v>2419.1999999999998</c:v>
                </c:pt>
                <c:pt idx="27">
                  <c:v>2513.6999999999998</c:v>
                </c:pt>
                <c:pt idx="28">
                  <c:v>2608.1999999999998</c:v>
                </c:pt>
                <c:pt idx="29">
                  <c:v>2702.7</c:v>
                </c:pt>
                <c:pt idx="30">
                  <c:v>2797.2</c:v>
                </c:pt>
                <c:pt idx="31">
                  <c:v>2891.7</c:v>
                </c:pt>
                <c:pt idx="32">
                  <c:v>2986.2</c:v>
                </c:pt>
                <c:pt idx="33">
                  <c:v>3080.7</c:v>
                </c:pt>
                <c:pt idx="34">
                  <c:v>3175.2</c:v>
                </c:pt>
                <c:pt idx="35">
                  <c:v>3269.7</c:v>
                </c:pt>
                <c:pt idx="36">
                  <c:v>3364.2</c:v>
                </c:pt>
                <c:pt idx="37">
                  <c:v>3458.7</c:v>
                </c:pt>
                <c:pt idx="38">
                  <c:v>3553.2</c:v>
                </c:pt>
                <c:pt idx="39">
                  <c:v>3647.7</c:v>
                </c:pt>
                <c:pt idx="40">
                  <c:v>3742.2</c:v>
                </c:pt>
                <c:pt idx="41">
                  <c:v>3836.7</c:v>
                </c:pt>
                <c:pt idx="42">
                  <c:v>3931.2</c:v>
                </c:pt>
                <c:pt idx="43">
                  <c:v>4025.7</c:v>
                </c:pt>
                <c:pt idx="44">
                  <c:v>4120.2</c:v>
                </c:pt>
                <c:pt idx="45">
                  <c:v>4214.7</c:v>
                </c:pt>
                <c:pt idx="46">
                  <c:v>4309.2</c:v>
                </c:pt>
                <c:pt idx="47">
                  <c:v>4403.7</c:v>
                </c:pt>
                <c:pt idx="48">
                  <c:v>4498.2</c:v>
                </c:pt>
                <c:pt idx="49">
                  <c:v>4592.7</c:v>
                </c:pt>
                <c:pt idx="50">
                  <c:v>4687.2</c:v>
                </c:pt>
                <c:pt idx="51">
                  <c:v>4781.7</c:v>
                </c:pt>
                <c:pt idx="52">
                  <c:v>4876.2</c:v>
                </c:pt>
                <c:pt idx="53">
                  <c:v>4970.7</c:v>
                </c:pt>
                <c:pt idx="54">
                  <c:v>5065.2</c:v>
                </c:pt>
                <c:pt idx="55">
                  <c:v>5159.7</c:v>
                </c:pt>
                <c:pt idx="56">
                  <c:v>5254.2</c:v>
                </c:pt>
                <c:pt idx="57">
                  <c:v>5348.7</c:v>
                </c:pt>
                <c:pt idx="58">
                  <c:v>5443.2</c:v>
                </c:pt>
                <c:pt idx="59">
                  <c:v>5537.7</c:v>
                </c:pt>
                <c:pt idx="60">
                  <c:v>5632.2</c:v>
                </c:pt>
                <c:pt idx="61">
                  <c:v>5726.7</c:v>
                </c:pt>
                <c:pt idx="62">
                  <c:v>5821.2</c:v>
                </c:pt>
                <c:pt idx="63">
                  <c:v>5915.7</c:v>
                </c:pt>
                <c:pt idx="64">
                  <c:v>6010.2</c:v>
                </c:pt>
                <c:pt idx="65">
                  <c:v>6104.7</c:v>
                </c:pt>
                <c:pt idx="66">
                  <c:v>6199.2</c:v>
                </c:pt>
                <c:pt idx="67">
                  <c:v>6293.7</c:v>
                </c:pt>
                <c:pt idx="68">
                  <c:v>6388.2</c:v>
                </c:pt>
                <c:pt idx="69">
                  <c:v>6482.7</c:v>
                </c:pt>
                <c:pt idx="70">
                  <c:v>6577.2</c:v>
                </c:pt>
                <c:pt idx="71">
                  <c:v>6671.7</c:v>
                </c:pt>
                <c:pt idx="72">
                  <c:v>6766.2</c:v>
                </c:pt>
                <c:pt idx="73">
                  <c:v>6860.7</c:v>
                </c:pt>
                <c:pt idx="74">
                  <c:v>6955.2</c:v>
                </c:pt>
                <c:pt idx="75">
                  <c:v>7049.7</c:v>
                </c:pt>
                <c:pt idx="76">
                  <c:v>7144.2</c:v>
                </c:pt>
                <c:pt idx="77">
                  <c:v>7238.7</c:v>
                </c:pt>
                <c:pt idx="78">
                  <c:v>7333.2</c:v>
                </c:pt>
                <c:pt idx="79">
                  <c:v>7427.7</c:v>
                </c:pt>
                <c:pt idx="80">
                  <c:v>7522.2</c:v>
                </c:pt>
                <c:pt idx="81">
                  <c:v>7616.7</c:v>
                </c:pt>
              </c:numCache>
            </c:numRef>
          </c:val>
          <c:smooth val="0"/>
          <c:extLst>
            <c:ext xmlns:c16="http://schemas.microsoft.com/office/drawing/2014/chart" uri="{C3380CC4-5D6E-409C-BE32-E72D297353CC}">
              <c16:uniqueId val="{00000001-DC96-4CD7-BE68-31E12235AD08}"/>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layout>
            <c:manualLayout>
              <c:xMode val="edge"/>
              <c:yMode val="edge"/>
              <c:x val="0.4557704494126395"/>
              <c:y val="0.81558314826031364"/>
            </c:manualLayout>
          </c:layout>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layout>
        <c:manualLayout>
          <c:xMode val="edge"/>
          <c:yMode val="edge"/>
          <c:x val="3.3320570658054616E-3"/>
          <c:y val="0.8568073221616529"/>
          <c:w val="0.993335663908819"/>
          <c:h val="0.1175516521973214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'Pasture Ins Calc (HIDE)'!$D$88</c:f>
          <c:strCache>
            <c:ptCount val="1"/>
            <c:pt idx="0">
              <c:v>Pasture Insurance Indemnity (based on 146 Head @ 134 days historic grazing period)</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'Pasture Ins Calc (HIDE)'!$D$90</c:f>
              <c:strCache>
                <c:ptCount val="1"/>
                <c:pt idx="0">
                  <c:v>Pasture Insurance Indemnity</c:v>
                </c:pt>
              </c:strCache>
            </c:strRef>
          </c:tx>
          <c:spPr>
            <a:ln w="28575" cap="rnd">
              <a:solidFill>
                <a:schemeClr val="accent1"/>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(HIDE)'!$H$91:$H$172</c:f>
              <c:numCache>
                <c:formatCode>"$"#,##0</c:formatCode>
                <c:ptCount val="82"/>
                <c:pt idx="0">
                  <c:v>0</c:v>
                </c:pt>
                <c:pt idx="1">
                  <c:v>228</c:v>
                </c:pt>
                <c:pt idx="2">
                  <c:v>608</c:v>
                </c:pt>
                <c:pt idx="3">
                  <c:v>988</c:v>
                </c:pt>
                <c:pt idx="4">
                  <c:v>1368</c:v>
                </c:pt>
                <c:pt idx="5">
                  <c:v>1748</c:v>
                </c:pt>
                <c:pt idx="6">
                  <c:v>2128</c:v>
                </c:pt>
                <c:pt idx="7">
                  <c:v>2508</c:v>
                </c:pt>
                <c:pt idx="8">
                  <c:v>2888</c:v>
                </c:pt>
                <c:pt idx="9">
                  <c:v>3268</c:v>
                </c:pt>
                <c:pt idx="10">
                  <c:v>3648</c:v>
                </c:pt>
                <c:pt idx="11">
                  <c:v>4028</c:v>
                </c:pt>
                <c:pt idx="12">
                  <c:v>4408</c:v>
                </c:pt>
                <c:pt idx="13">
                  <c:v>4788</c:v>
                </c:pt>
                <c:pt idx="14">
                  <c:v>5168</c:v>
                </c:pt>
                <c:pt idx="15">
                  <c:v>5548</c:v>
                </c:pt>
                <c:pt idx="16">
                  <c:v>5928</c:v>
                </c:pt>
                <c:pt idx="17">
                  <c:v>6308</c:v>
                </c:pt>
                <c:pt idx="18">
                  <c:v>6688</c:v>
                </c:pt>
                <c:pt idx="19">
                  <c:v>7068</c:v>
                </c:pt>
                <c:pt idx="20">
                  <c:v>7448</c:v>
                </c:pt>
                <c:pt idx="21">
                  <c:v>7828</c:v>
                </c:pt>
                <c:pt idx="22">
                  <c:v>8208</c:v>
                </c:pt>
                <c:pt idx="23">
                  <c:v>8588</c:v>
                </c:pt>
                <c:pt idx="24">
                  <c:v>8968</c:v>
                </c:pt>
                <c:pt idx="25">
                  <c:v>9348</c:v>
                </c:pt>
                <c:pt idx="26">
                  <c:v>9728</c:v>
                </c:pt>
                <c:pt idx="27">
                  <c:v>10108</c:v>
                </c:pt>
                <c:pt idx="28">
                  <c:v>10488</c:v>
                </c:pt>
                <c:pt idx="29">
                  <c:v>10868</c:v>
                </c:pt>
                <c:pt idx="30">
                  <c:v>11248</c:v>
                </c:pt>
                <c:pt idx="31">
                  <c:v>11628</c:v>
                </c:pt>
                <c:pt idx="32">
                  <c:v>12008</c:v>
                </c:pt>
                <c:pt idx="33">
                  <c:v>12388</c:v>
                </c:pt>
                <c:pt idx="34">
                  <c:v>12768</c:v>
                </c:pt>
                <c:pt idx="35">
                  <c:v>13148</c:v>
                </c:pt>
                <c:pt idx="36">
                  <c:v>13528</c:v>
                </c:pt>
                <c:pt idx="37">
                  <c:v>13908</c:v>
                </c:pt>
                <c:pt idx="38">
                  <c:v>14288</c:v>
                </c:pt>
                <c:pt idx="39">
                  <c:v>14668</c:v>
                </c:pt>
                <c:pt idx="40">
                  <c:v>15048</c:v>
                </c:pt>
                <c:pt idx="41">
                  <c:v>15428</c:v>
                </c:pt>
                <c:pt idx="42">
                  <c:v>15808</c:v>
                </c:pt>
                <c:pt idx="43">
                  <c:v>16188</c:v>
                </c:pt>
                <c:pt idx="44">
                  <c:v>16568</c:v>
                </c:pt>
                <c:pt idx="45">
                  <c:v>16948</c:v>
                </c:pt>
                <c:pt idx="46">
                  <c:v>17328</c:v>
                </c:pt>
                <c:pt idx="47">
                  <c:v>17708</c:v>
                </c:pt>
                <c:pt idx="48">
                  <c:v>18088</c:v>
                </c:pt>
                <c:pt idx="49">
                  <c:v>18468</c:v>
                </c:pt>
                <c:pt idx="50">
                  <c:v>18848</c:v>
                </c:pt>
                <c:pt idx="51">
                  <c:v>19228</c:v>
                </c:pt>
                <c:pt idx="52">
                  <c:v>19608</c:v>
                </c:pt>
                <c:pt idx="53">
                  <c:v>19988</c:v>
                </c:pt>
                <c:pt idx="54">
                  <c:v>20368</c:v>
                </c:pt>
                <c:pt idx="55">
                  <c:v>20748</c:v>
                </c:pt>
                <c:pt idx="56">
                  <c:v>21128</c:v>
                </c:pt>
                <c:pt idx="57">
                  <c:v>21508</c:v>
                </c:pt>
                <c:pt idx="58">
                  <c:v>21888</c:v>
                </c:pt>
                <c:pt idx="59">
                  <c:v>22268</c:v>
                </c:pt>
                <c:pt idx="60">
                  <c:v>22648</c:v>
                </c:pt>
                <c:pt idx="61">
                  <c:v>23028</c:v>
                </c:pt>
                <c:pt idx="62">
                  <c:v>23408</c:v>
                </c:pt>
                <c:pt idx="63">
                  <c:v>23788</c:v>
                </c:pt>
                <c:pt idx="64">
                  <c:v>24168</c:v>
                </c:pt>
                <c:pt idx="65">
                  <c:v>24548</c:v>
                </c:pt>
                <c:pt idx="66">
                  <c:v>24928</c:v>
                </c:pt>
                <c:pt idx="67">
                  <c:v>25308</c:v>
                </c:pt>
                <c:pt idx="68">
                  <c:v>25688</c:v>
                </c:pt>
                <c:pt idx="69">
                  <c:v>26068</c:v>
                </c:pt>
                <c:pt idx="70">
                  <c:v>26448</c:v>
                </c:pt>
                <c:pt idx="71">
                  <c:v>26828</c:v>
                </c:pt>
                <c:pt idx="72">
                  <c:v>27208</c:v>
                </c:pt>
                <c:pt idx="73">
                  <c:v>27588</c:v>
                </c:pt>
                <c:pt idx="74">
                  <c:v>27968</c:v>
                </c:pt>
                <c:pt idx="75">
                  <c:v>28348</c:v>
                </c:pt>
                <c:pt idx="76">
                  <c:v>28728</c:v>
                </c:pt>
                <c:pt idx="77">
                  <c:v>29108</c:v>
                </c:pt>
                <c:pt idx="78">
                  <c:v>29488</c:v>
                </c:pt>
                <c:pt idx="79">
                  <c:v>29868</c:v>
                </c:pt>
                <c:pt idx="80">
                  <c:v>30248</c:v>
                </c:pt>
                <c:pt idx="81">
                  <c:v>30628</c:v>
                </c:pt>
              </c:numCache>
            </c:numRef>
          </c:val>
          <c:smooth val="0"/>
          <c:extLst>
            <c:ext xmlns:c16="http://schemas.microsoft.com/office/drawing/2014/chart" uri="{C3380CC4-5D6E-409C-BE32-E72D297353CC}">
              <c16:uniqueId val="{00000000-F4D3-45D5-8B21-CB14940E2CA7}"/>
            </c:ext>
          </c:extLst>
        </c:ser>
        <c:ser>
          <c:idx val="1"/>
          <c:order val="1"/>
          <c:tx>
            <c:strRef>
              <c:f>'Pasture Ins Calc (HIDE)'!$F$90</c:f>
              <c:strCache>
                <c:ptCount val="1"/>
                <c:pt idx="0">
                  <c:v>Breakeven</c:v>
                </c:pt>
              </c:strCache>
            </c:strRef>
          </c:tx>
          <c:spPr>
            <a:ln w="28575" cap="rnd">
              <a:solidFill>
                <a:schemeClr val="accent2"/>
              </a:solidFill>
              <a:round/>
            </a:ln>
            <a:effectLst/>
          </c:spPr>
          <c:marker>
            <c:symbol val="none"/>
          </c:marker>
          <c:cat>
            <c:numRef>
              <c:f>'Pasture Ins Calc (HIDE)'!$G$91:$G$172</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'Pasture Ins Calc (HIDE)'!$F$91:$F$172</c:f>
              <c:numCache>
                <c:formatCode>"$"#,##0</c:formatCode>
                <c:ptCount val="82"/>
                <c:pt idx="0">
                  <c:v>751.57920000000013</c:v>
                </c:pt>
                <c:pt idx="1">
                  <c:v>751.57920000000013</c:v>
                </c:pt>
                <c:pt idx="2">
                  <c:v>751.57920000000013</c:v>
                </c:pt>
                <c:pt idx="3">
                  <c:v>751.57920000000013</c:v>
                </c:pt>
                <c:pt idx="4">
                  <c:v>751.57920000000013</c:v>
                </c:pt>
                <c:pt idx="5">
                  <c:v>751.57920000000013</c:v>
                </c:pt>
                <c:pt idx="6">
                  <c:v>751.57920000000013</c:v>
                </c:pt>
                <c:pt idx="7">
                  <c:v>751.57920000000013</c:v>
                </c:pt>
                <c:pt idx="8">
                  <c:v>751.57920000000013</c:v>
                </c:pt>
                <c:pt idx="9">
                  <c:v>751.57920000000013</c:v>
                </c:pt>
                <c:pt idx="10">
                  <c:v>751.57920000000013</c:v>
                </c:pt>
                <c:pt idx="11">
                  <c:v>751.57920000000013</c:v>
                </c:pt>
                <c:pt idx="12">
                  <c:v>751.57920000000013</c:v>
                </c:pt>
                <c:pt idx="13">
                  <c:v>751.57920000000013</c:v>
                </c:pt>
                <c:pt idx="14">
                  <c:v>751.57920000000013</c:v>
                </c:pt>
                <c:pt idx="15">
                  <c:v>751.57920000000013</c:v>
                </c:pt>
                <c:pt idx="16">
                  <c:v>751.57920000000013</c:v>
                </c:pt>
                <c:pt idx="17">
                  <c:v>751.57920000000013</c:v>
                </c:pt>
                <c:pt idx="18">
                  <c:v>751.57920000000013</c:v>
                </c:pt>
                <c:pt idx="19">
                  <c:v>751.57920000000013</c:v>
                </c:pt>
                <c:pt idx="20">
                  <c:v>751.57920000000013</c:v>
                </c:pt>
                <c:pt idx="21">
                  <c:v>751.57920000000013</c:v>
                </c:pt>
                <c:pt idx="22">
                  <c:v>751.57920000000013</c:v>
                </c:pt>
                <c:pt idx="23">
                  <c:v>751.57920000000013</c:v>
                </c:pt>
                <c:pt idx="24">
                  <c:v>751.57920000000013</c:v>
                </c:pt>
                <c:pt idx="25">
                  <c:v>751.57920000000013</c:v>
                </c:pt>
                <c:pt idx="26">
                  <c:v>751.57920000000013</c:v>
                </c:pt>
                <c:pt idx="27">
                  <c:v>751.57920000000013</c:v>
                </c:pt>
                <c:pt idx="28">
                  <c:v>751.57920000000013</c:v>
                </c:pt>
                <c:pt idx="29">
                  <c:v>751.57920000000013</c:v>
                </c:pt>
                <c:pt idx="30">
                  <c:v>751.57920000000013</c:v>
                </c:pt>
                <c:pt idx="31">
                  <c:v>751.57920000000013</c:v>
                </c:pt>
                <c:pt idx="32">
                  <c:v>751.57920000000013</c:v>
                </c:pt>
                <c:pt idx="33">
                  <c:v>751.57920000000013</c:v>
                </c:pt>
                <c:pt idx="34">
                  <c:v>751.57920000000013</c:v>
                </c:pt>
                <c:pt idx="35">
                  <c:v>751.57920000000013</c:v>
                </c:pt>
                <c:pt idx="36">
                  <c:v>751.57920000000013</c:v>
                </c:pt>
                <c:pt idx="37">
                  <c:v>751.57920000000013</c:v>
                </c:pt>
                <c:pt idx="38">
                  <c:v>751.57920000000013</c:v>
                </c:pt>
                <c:pt idx="39">
                  <c:v>751.57920000000013</c:v>
                </c:pt>
                <c:pt idx="40">
                  <c:v>751.57920000000013</c:v>
                </c:pt>
                <c:pt idx="41">
                  <c:v>751.57920000000013</c:v>
                </c:pt>
                <c:pt idx="42">
                  <c:v>751.57920000000013</c:v>
                </c:pt>
                <c:pt idx="43">
                  <c:v>751.57920000000013</c:v>
                </c:pt>
                <c:pt idx="44">
                  <c:v>751.57920000000013</c:v>
                </c:pt>
                <c:pt idx="45">
                  <c:v>751.57920000000013</c:v>
                </c:pt>
                <c:pt idx="46">
                  <c:v>751.57920000000013</c:v>
                </c:pt>
                <c:pt idx="47">
                  <c:v>751.57920000000013</c:v>
                </c:pt>
                <c:pt idx="48">
                  <c:v>751.57920000000013</c:v>
                </c:pt>
                <c:pt idx="49">
                  <c:v>751.57920000000013</c:v>
                </c:pt>
                <c:pt idx="50">
                  <c:v>751.57920000000013</c:v>
                </c:pt>
                <c:pt idx="51">
                  <c:v>751.57920000000013</c:v>
                </c:pt>
                <c:pt idx="52">
                  <c:v>751.57920000000013</c:v>
                </c:pt>
                <c:pt idx="53">
                  <c:v>751.57920000000013</c:v>
                </c:pt>
                <c:pt idx="54">
                  <c:v>751.57920000000013</c:v>
                </c:pt>
                <c:pt idx="55">
                  <c:v>751.57920000000013</c:v>
                </c:pt>
                <c:pt idx="56">
                  <c:v>751.57920000000013</c:v>
                </c:pt>
                <c:pt idx="57">
                  <c:v>751.57920000000013</c:v>
                </c:pt>
                <c:pt idx="58">
                  <c:v>751.57920000000013</c:v>
                </c:pt>
                <c:pt idx="59">
                  <c:v>751.57920000000013</c:v>
                </c:pt>
                <c:pt idx="60">
                  <c:v>751.57920000000013</c:v>
                </c:pt>
                <c:pt idx="61">
                  <c:v>751.57920000000013</c:v>
                </c:pt>
                <c:pt idx="62">
                  <c:v>751.57920000000013</c:v>
                </c:pt>
                <c:pt idx="63">
                  <c:v>751.57920000000013</c:v>
                </c:pt>
                <c:pt idx="64">
                  <c:v>751.57920000000013</c:v>
                </c:pt>
                <c:pt idx="65">
                  <c:v>751.57920000000013</c:v>
                </c:pt>
                <c:pt idx="66">
                  <c:v>751.57920000000013</c:v>
                </c:pt>
                <c:pt idx="67">
                  <c:v>751.57920000000013</c:v>
                </c:pt>
                <c:pt idx="68">
                  <c:v>751.57920000000013</c:v>
                </c:pt>
                <c:pt idx="69">
                  <c:v>751.57920000000013</c:v>
                </c:pt>
                <c:pt idx="70">
                  <c:v>751.57920000000013</c:v>
                </c:pt>
                <c:pt idx="71">
                  <c:v>751.57920000000013</c:v>
                </c:pt>
                <c:pt idx="72">
                  <c:v>751.57920000000013</c:v>
                </c:pt>
                <c:pt idx="73">
                  <c:v>751.57920000000013</c:v>
                </c:pt>
                <c:pt idx="74">
                  <c:v>751.57920000000013</c:v>
                </c:pt>
                <c:pt idx="75">
                  <c:v>751.57920000000013</c:v>
                </c:pt>
                <c:pt idx="76">
                  <c:v>751.57920000000013</c:v>
                </c:pt>
                <c:pt idx="77">
                  <c:v>751.57920000000013</c:v>
                </c:pt>
                <c:pt idx="78">
                  <c:v>751.57920000000013</c:v>
                </c:pt>
                <c:pt idx="79">
                  <c:v>751.57920000000013</c:v>
                </c:pt>
                <c:pt idx="80">
                  <c:v>751.57920000000013</c:v>
                </c:pt>
                <c:pt idx="81">
                  <c:v>751.57920000000013</c:v>
                </c:pt>
              </c:numCache>
            </c:numRef>
          </c:val>
          <c:smooth val="0"/>
          <c:extLst>
            <c:ext xmlns:c16="http://schemas.microsoft.com/office/drawing/2014/chart" uri="{C3380CC4-5D6E-409C-BE32-E72D297353CC}">
              <c16:uniqueId val="{00000001-F4D3-45D5-8B21-CB14940E2CA7}"/>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 Indemnity</a:t>
                </a:r>
              </a:p>
            </c:rich>
          </c:tx>
          <c:overlay val="0"/>
          <c:spPr>
            <a:noFill/>
            <a:ln>
              <a:noFill/>
            </a:ln>
            <a:effectLst/>
          </c:spPr>
        </c:title>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'Pasture Ins Calc (HIDE)'!$H$174</c:f>
          <c:strCache>
            <c:ptCount val="1"/>
            <c:pt idx="0">
              <c:v>Indemnity = $7,448 or $51/head</c:v>
            </c:pt>
          </c:strCache>
        </c:strRef>
      </c:tx>
      <c:layout>
        <c:manualLayout>
          <c:xMode val="edge"/>
          <c:yMode val="edge"/>
          <c:x val="0.23427597779785725"/>
          <c:y val="3.0045960412153721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16439569507959978"/>
          <c:w val="0.72574797929215273"/>
          <c:h val="0.58976079955071115"/>
        </c:manualLayout>
      </c:layout>
      <c:barChart>
        <c:barDir val="col"/>
        <c:grouping val="clustered"/>
        <c:varyColors val="0"/>
        <c:ser>
          <c:idx val="3"/>
          <c:order val="0"/>
          <c:tx>
            <c:strRef>
              <c:f>'Pasture Ins Calc (HIDE)'!$F$175</c:f>
              <c:strCache>
                <c:ptCount val="1"/>
                <c:pt idx="0">
                  <c:v>Historic Grazing Days</c:v>
                </c:pt>
              </c:strCache>
            </c:strRef>
          </c:tx>
          <c:spPr>
            <a:solidFill>
              <a:schemeClr val="bg1">
                <a:lumMod val="85000"/>
              </a:schemeClr>
            </a:solidFill>
          </c:spPr>
          <c:invertIfNegative val="0"/>
          <c:dPt>
            <c:idx val="1"/>
            <c:invertIfNegative val="0"/>
            <c:bubble3D val="0"/>
            <c:spPr>
              <a:solidFill>
                <a:schemeClr val="bg1">
                  <a:lumMod val="65000"/>
                </a:schemeClr>
              </a:solidFill>
            </c:spPr>
            <c:extLst>
              <c:ext xmlns:c16="http://schemas.microsoft.com/office/drawing/2014/chart" uri="{C3380CC4-5D6E-409C-BE32-E72D297353CC}">
                <c16:uniqueId val="{00000001-B06A-438C-9C5B-BBDD50D70D46}"/>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'Pasture Ins Calc (HIDE)'!$D$184:$D$186</c:f>
              <c:numCache>
                <c:formatCode>General</c:formatCode>
                <c:ptCount val="3"/>
              </c:numCache>
            </c:numRef>
          </c:cat>
          <c:val>
            <c:numRef>
              <c:f>'Pasture Ins Calc (HIDE)'!$F$176:$F$178</c:f>
              <c:numCache>
                <c:formatCode>#,##0</c:formatCode>
                <c:ptCount val="3"/>
                <c:pt idx="1">
                  <c:v>134</c:v>
                </c:pt>
              </c:numCache>
            </c:numRef>
          </c:val>
          <c:extLst>
            <c:ext xmlns:c16="http://schemas.microsoft.com/office/drawing/2014/chart" uri="{C3380CC4-5D6E-409C-BE32-E72D297353CC}">
              <c16:uniqueId val="{00000000-46BF-4B60-9298-68ADD6041D26}"/>
            </c:ext>
          </c:extLst>
        </c:ser>
        <c:ser>
          <c:idx val="4"/>
          <c:order val="1"/>
          <c:tx>
            <c:strRef>
              <c:f>'Pasture Ins Calc (HIDE)'!$G$175</c:f>
              <c:strCache>
                <c:ptCount val="1"/>
                <c:pt idx="0">
                  <c:v>Pasture Days Covered by AgriInsurance</c:v>
                </c:pt>
              </c:strCache>
            </c:strRef>
          </c:tx>
          <c:spPr>
            <a:solidFill>
              <a:schemeClr val="bg1">
                <a:lumMod val="65000"/>
              </a:schemeClr>
            </a:solidFill>
          </c:spPr>
          <c:invertIfNegative val="0"/>
          <c:dPt>
            <c:idx val="1"/>
            <c:invertIfNegative val="0"/>
            <c:bubble3D val="0"/>
            <c:spPr>
              <a:solidFill>
                <a:schemeClr val="bg1">
                  <a:lumMod val="85000"/>
                </a:schemeClr>
              </a:solidFill>
            </c:spPr>
            <c:extLst>
              <c:ext xmlns:c16="http://schemas.microsoft.com/office/drawing/2014/chart" uri="{C3380CC4-5D6E-409C-BE32-E72D297353CC}">
                <c16:uniqueId val="{00000000-B06A-438C-9C5B-BBDD50D70D46}"/>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'Pasture Ins Calc (HIDE)'!$D$184:$D$186</c:f>
              <c:numCache>
                <c:formatCode>General</c:formatCode>
                <c:ptCount val="3"/>
              </c:numCache>
            </c:numRef>
          </c:cat>
          <c:val>
            <c:numRef>
              <c:f>'Pasture Ins Calc (HIDE)'!$G$176:$G$178</c:f>
              <c:numCache>
                <c:formatCode>#,##0</c:formatCode>
                <c:ptCount val="3"/>
                <c:pt idx="1">
                  <c:v>121</c:v>
                </c:pt>
              </c:numCache>
            </c:numRef>
          </c:val>
          <c:extLst>
            <c:ext xmlns:c16="http://schemas.microsoft.com/office/drawing/2014/chart" uri="{C3380CC4-5D6E-409C-BE32-E72D297353CC}">
              <c16:uniqueId val="{00000001-46BF-4B60-9298-68ADD6041D26}"/>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'Pasture Ins Calc (HIDE)'!$H$175</c:f>
              <c:strCache>
                <c:ptCount val="1"/>
                <c:pt idx="0">
                  <c:v>101 Actual Grazing Days </c:v>
                </c:pt>
              </c:strCache>
            </c:strRef>
          </c:tx>
          <c:spPr>
            <a:ln w="44450">
              <a:solidFill>
                <a:schemeClr val="tx1"/>
              </a:solidFill>
            </a:ln>
          </c:spPr>
          <c:marker>
            <c:symbol val="none"/>
          </c:marker>
          <c:dLbls>
            <c:dLbl>
              <c:idx val="0"/>
              <c:layout>
                <c:manualLayout>
                  <c:x val="-0.10327903811234786"/>
                  <c:y val="6.1480992295317921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2-46BF-4B60-9298-68ADD6041D26}"/>
                </c:ext>
              </c:extLst>
            </c:dLbl>
            <c:dLbl>
              <c:idx val="1"/>
              <c:delete val="1"/>
              <c:extLst>
                <c:ext xmlns:c15="http://schemas.microsoft.com/office/drawing/2012/chart" uri="{CE6537A1-D6FC-4f65-9D91-7224C49458BB}"/>
                <c:ext xmlns:c16="http://schemas.microsoft.com/office/drawing/2014/chart" uri="{C3380CC4-5D6E-409C-BE32-E72D297353CC}">
                  <c16:uniqueId val="{00000003-46BF-4B60-9298-68ADD6041D26}"/>
                </c:ext>
              </c:extLst>
            </c:dLbl>
            <c:dLbl>
              <c:idx val="2"/>
              <c:delete val="1"/>
              <c:extLst>
                <c:ext xmlns:c15="http://schemas.microsoft.com/office/drawing/2012/chart" uri="{CE6537A1-D6FC-4f65-9D91-7224C49458BB}"/>
                <c:ext xmlns:c16="http://schemas.microsoft.com/office/drawing/2014/chart" uri="{C3380CC4-5D6E-409C-BE32-E72D297353CC}">
                  <c16:uniqueId val="{00000004-46BF-4B60-9298-68ADD6041D26}"/>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'Pasture Ins Calc (HIDE)'!$H$176:$H$178</c:f>
              <c:numCache>
                <c:formatCode>#,##0</c:formatCode>
                <c:ptCount val="3"/>
                <c:pt idx="0">
                  <c:v>101</c:v>
                </c:pt>
                <c:pt idx="1">
                  <c:v>101</c:v>
                </c:pt>
                <c:pt idx="2">
                  <c:v>101</c:v>
                </c:pt>
              </c:numCache>
            </c:numRef>
          </c:val>
          <c:smooth val="0"/>
          <c:extLst>
            <c:ext xmlns:c16="http://schemas.microsoft.com/office/drawing/2014/chart" uri="{C3380CC4-5D6E-409C-BE32-E72D297353CC}">
              <c16:uniqueId val="{00000005-46BF-4B60-9298-68ADD6041D26}"/>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gov.mb.ca/agriculture/farm-management/farm-business-management-contacts.html" TargetMode="External"/><Relationship Id="rId2" Type="http://schemas.openxmlformats.org/officeDocument/2006/relationships/hyperlink" Target="https://www.gov.mb.ca/agriculture/farm-management/farm-machinery/index.html" TargetMode="External"/><Relationship Id="rId1" Type="http://schemas.openxmlformats.org/officeDocument/2006/relationships/image" Target="../media/image1.jpeg"/><Relationship Id="rId6" Type="http://schemas.openxmlformats.org/officeDocument/2006/relationships/image" Target="../media/image3.png"/><Relationship Id="rId5" Type="http://schemas.openxmlformats.org/officeDocument/2006/relationships/hyperlink" Target="https://www.gov.mb.ca/agriculture/farm-management/cost-production/index.html" TargetMode="External"/><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gov.mb.ca/agriculture/farm-management/farm-business-management-contacts.html" TargetMode="External"/></Relationships>
</file>

<file path=xl/drawings/_rels/drawing1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hyperlink" Target="https://www.gov.mb.ca/agriculture/farm-management/farmland-buildings/index.html"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361950</xdr:colOff>
      <xdr:row>0</xdr:row>
      <xdr:rowOff>104775</xdr:rowOff>
    </xdr:from>
    <xdr:to>
      <xdr:col>8</xdr:col>
      <xdr:colOff>514350</xdr:colOff>
      <xdr:row>2</xdr:row>
      <xdr:rowOff>47625</xdr:rowOff>
    </xdr:to>
    <xdr:pic>
      <xdr:nvPicPr>
        <xdr:cNvPr id="12847" name="Picture 2" descr="Manitoba Government Logo">
          <a:extLst>
            <a:ext uri="{FF2B5EF4-FFF2-40B4-BE49-F238E27FC236}">
              <a16:creationId xmlns:a16="http://schemas.microsoft.com/office/drawing/2014/main" id="{00000000-0008-0000-0000-00002F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104775"/>
          <a:ext cx="16764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476250</xdr:colOff>
      <xdr:row>42</xdr:row>
      <xdr:rowOff>209550</xdr:rowOff>
    </xdr:from>
    <xdr:to>
      <xdr:col>6</xdr:col>
      <xdr:colOff>539097</xdr:colOff>
      <xdr:row>44</xdr:row>
      <xdr:rowOff>19050</xdr:rowOff>
    </xdr:to>
    <xdr:sp macro="" textlink="">
      <xdr:nvSpPr>
        <xdr:cNvPr id="3" name="TextBox 2">
          <a:hlinkClick xmlns:r="http://schemas.openxmlformats.org/officeDocument/2006/relationships" r:id="rId2" tooltip="Click here Farm Machinery Cost of Production Guide"/>
          <a:extLst>
            <a:ext uri="{FF2B5EF4-FFF2-40B4-BE49-F238E27FC236}">
              <a16:creationId xmlns:a16="http://schemas.microsoft.com/office/drawing/2014/main" id="{00000000-0008-0000-0000-000003000000}"/>
            </a:ext>
          </a:extLst>
        </xdr:cNvPr>
        <xdr:cNvSpPr txBox="1"/>
      </xdr:nvSpPr>
      <xdr:spPr>
        <a:xfrm>
          <a:off x="476250" y="9963150"/>
          <a:ext cx="4463397" cy="2952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400" b="0" i="1" u="sng" baseline="0">
              <a:solidFill>
                <a:srgbClr val="0000FF"/>
              </a:solidFill>
              <a:uFill>
                <a:solidFill>
                  <a:srgbClr val="0000FF"/>
                </a:solidFill>
              </a:uFill>
              <a:latin typeface="Arial" pitchFamily="34" charset="0"/>
              <a:cs typeface="Arial" pitchFamily="34" charset="0"/>
            </a:rPr>
            <a:t>The Farm Machinery Cost of Production Guide</a:t>
          </a:r>
          <a:endParaRPr lang="en-CA" sz="1400" b="0" i="1" u="none" baseline="0">
            <a:solidFill>
              <a:sysClr val="windowText" lastClr="000000"/>
            </a:solidFill>
            <a:latin typeface="Arial" pitchFamily="34" charset="0"/>
            <a:cs typeface="Arial" pitchFamily="34" charset="0"/>
          </a:endParaRPr>
        </a:p>
      </xdr:txBody>
    </xdr:sp>
    <xdr:clientData/>
  </xdr:twoCellAnchor>
  <xdr:twoCellAnchor editAs="oneCell">
    <xdr:from>
      <xdr:col>2</xdr:col>
      <xdr:colOff>76200</xdr:colOff>
      <xdr:row>45</xdr:row>
      <xdr:rowOff>76200</xdr:rowOff>
    </xdr:from>
    <xdr:to>
      <xdr:col>8</xdr:col>
      <xdr:colOff>552450</xdr:colOff>
      <xdr:row>50</xdr:row>
      <xdr:rowOff>57150</xdr:rowOff>
    </xdr:to>
    <xdr:pic>
      <xdr:nvPicPr>
        <xdr:cNvPr id="12849" name="Picture 6" descr="Farm Management contact info.">
          <a:hlinkClick xmlns:r="http://schemas.openxmlformats.org/officeDocument/2006/relationships" r:id="rId3" tooltip="Click here for a list of Farm Management contacts."/>
          <a:extLst>
            <a:ext uri="{FF2B5EF4-FFF2-40B4-BE49-F238E27FC236}">
              <a16:creationId xmlns:a16="http://schemas.microsoft.com/office/drawing/2014/main" id="{00000000-0008-0000-0000-00003132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8750" y="10544175"/>
          <a:ext cx="50482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450061</xdr:colOff>
      <xdr:row>37</xdr:row>
      <xdr:rowOff>76200</xdr:rowOff>
    </xdr:from>
    <xdr:to>
      <xdr:col>6</xdr:col>
      <xdr:colOff>73814</xdr:colOff>
      <xdr:row>41</xdr:row>
      <xdr:rowOff>238125</xdr:rowOff>
    </xdr:to>
    <xdr:pic>
      <xdr:nvPicPr>
        <xdr:cNvPr id="12850" name="Picture 1" descr="QR code leading to all cost of production calculators.">
          <a:hlinkClick xmlns:r="http://schemas.openxmlformats.org/officeDocument/2006/relationships" r:id="rId5" tooltip="Click here for list of Cost of Production Guides"/>
          <a:extLst>
            <a:ext uri="{FF2B5EF4-FFF2-40B4-BE49-F238E27FC236}">
              <a16:creationId xmlns:a16="http://schemas.microsoft.com/office/drawing/2014/main" id="{00000000-0008-0000-0000-00003232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bwMode="auto">
        <a:xfrm>
          <a:off x="3406621" y="8492490"/>
          <a:ext cx="1193473" cy="11830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914400</xdr:colOff>
      <xdr:row>59</xdr:row>
      <xdr:rowOff>47625</xdr:rowOff>
    </xdr:from>
    <xdr:to>
      <xdr:col>6</xdr:col>
      <xdr:colOff>228600</xdr:colOff>
      <xdr:row>63</xdr:row>
      <xdr:rowOff>180975</xdr:rowOff>
    </xdr:to>
    <xdr:pic>
      <xdr:nvPicPr>
        <xdr:cNvPr id="9852" name="Picture 6" descr="Farm Management contact info.">
          <a:hlinkClick xmlns:r="http://schemas.openxmlformats.org/officeDocument/2006/relationships" r:id="rId1" tooltip="Click here for a list of Farm Management contacts."/>
          <a:extLst>
            <a:ext uri="{FF2B5EF4-FFF2-40B4-BE49-F238E27FC236}">
              <a16:creationId xmlns:a16="http://schemas.microsoft.com/office/drawing/2014/main" id="{00000000-0008-0000-0600-00007C2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1575" y="10115550"/>
          <a:ext cx="40005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342900</xdr:colOff>
      <xdr:row>0</xdr:row>
      <xdr:rowOff>180975</xdr:rowOff>
    </xdr:from>
    <xdr:to>
      <xdr:col>9</xdr:col>
      <xdr:colOff>752475</xdr:colOff>
      <xdr:row>1</xdr:row>
      <xdr:rowOff>123825</xdr:rowOff>
    </xdr:to>
    <xdr:pic>
      <xdr:nvPicPr>
        <xdr:cNvPr id="613470" name="Picture 2" descr="GovMB_Logo_blk10.jpg">
          <a:extLst>
            <a:ext uri="{FF2B5EF4-FFF2-40B4-BE49-F238E27FC236}">
              <a16:creationId xmlns:a16="http://schemas.microsoft.com/office/drawing/2014/main" id="{00000000-0008-0000-0900-00005E5C0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5" y="180975"/>
          <a:ext cx="1533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2143125</xdr:colOff>
      <xdr:row>80</xdr:row>
      <xdr:rowOff>47625</xdr:rowOff>
    </xdr:from>
    <xdr:to>
      <xdr:col>4</xdr:col>
      <xdr:colOff>304800</xdr:colOff>
      <xdr:row>85</xdr:row>
      <xdr:rowOff>66675</xdr:rowOff>
    </xdr:to>
    <xdr:pic>
      <xdr:nvPicPr>
        <xdr:cNvPr id="613471" name="Picture 3">
          <a:hlinkClick xmlns:r="http://schemas.openxmlformats.org/officeDocument/2006/relationships" r:id="rId2" tooltip="Click here for a list of Farm Management contacts."/>
          <a:extLst>
            <a:ext uri="{FF2B5EF4-FFF2-40B4-BE49-F238E27FC236}">
              <a16:creationId xmlns:a16="http://schemas.microsoft.com/office/drawing/2014/main" id="{00000000-0008-0000-0900-00005F5C09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53257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733425</xdr:colOff>
      <xdr:row>89</xdr:row>
      <xdr:rowOff>95250</xdr:rowOff>
    </xdr:from>
    <xdr:to>
      <xdr:col>14</xdr:col>
      <xdr:colOff>542925</xdr:colOff>
      <xdr:row>114</xdr:row>
      <xdr:rowOff>133350</xdr:rowOff>
    </xdr:to>
    <xdr:graphicFrame macro="">
      <xdr:nvGraphicFramePr>
        <xdr:cNvPr id="8" name="Chart 5">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142874</xdr:colOff>
      <xdr:row>53</xdr:row>
      <xdr:rowOff>152399</xdr:rowOff>
    </xdr:from>
    <xdr:to>
      <xdr:col>4</xdr:col>
      <xdr:colOff>152400</xdr:colOff>
      <xdr:row>68</xdr:row>
      <xdr:rowOff>152399</xdr:rowOff>
    </xdr:to>
    <xdr:graphicFrame macro="">
      <xdr:nvGraphicFramePr>
        <xdr:cNvPr id="12" name="Chart 3">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485775</xdr:colOff>
      <xdr:row>53</xdr:row>
      <xdr:rowOff>161925</xdr:rowOff>
    </xdr:from>
    <xdr:to>
      <xdr:col>9</xdr:col>
      <xdr:colOff>781050</xdr:colOff>
      <xdr:row>68</xdr:row>
      <xdr:rowOff>133350</xdr:rowOff>
    </xdr:to>
    <xdr:graphicFrame macro="">
      <xdr:nvGraphicFramePr>
        <xdr:cNvPr id="13" name="Chart 5">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1647825</xdr:colOff>
      <xdr:row>56</xdr:row>
      <xdr:rowOff>57150</xdr:rowOff>
    </xdr:from>
    <xdr:to>
      <xdr:col>2</xdr:col>
      <xdr:colOff>2971800</xdr:colOff>
      <xdr:row>57</xdr:row>
      <xdr:rowOff>95250</xdr:rowOff>
    </xdr:to>
    <xdr:sp macro="" textlink="$B$174">
      <xdr:nvSpPr>
        <xdr:cNvPr id="2" name="TextBox 1">
          <a:extLst>
            <a:ext uri="{FF2B5EF4-FFF2-40B4-BE49-F238E27FC236}">
              <a16:creationId xmlns:a16="http://schemas.microsoft.com/office/drawing/2014/main" id="{00000000-0008-0000-0900-000002000000}"/>
            </a:ext>
          </a:extLst>
        </xdr:cNvPr>
        <xdr:cNvSpPr txBox="1"/>
      </xdr:nvSpPr>
      <xdr:spPr>
        <a:xfrm>
          <a:off x="3400425" y="11287125"/>
          <a:ext cx="13239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B2B590A-E43A-4D06-8585-58588D84B055}" type="TxLink">
            <a:rPr lang="en-US" sz="1000" b="0" i="0" u="none" strike="noStrike">
              <a:solidFill>
                <a:srgbClr val="000000"/>
              </a:solidFill>
              <a:latin typeface="Arial"/>
              <a:cs typeface="Arial"/>
            </a:rPr>
            <a:pPr algn="ctr"/>
            <a:t>Premium = $752</a:t>
          </a:fld>
          <a:endParaRPr lang="en-CA" sz="900"/>
        </a:p>
      </xdr:txBody>
    </xdr:sp>
    <xdr:clientData/>
  </xdr:twoCellAnchor>
  <xdr:twoCellAnchor>
    <xdr:from>
      <xdr:col>8</xdr:col>
      <xdr:colOff>409575</xdr:colOff>
      <xdr:row>63</xdr:row>
      <xdr:rowOff>0</xdr:rowOff>
    </xdr:from>
    <xdr:to>
      <xdr:col>9</xdr:col>
      <xdr:colOff>581025</xdr:colOff>
      <xdr:row>64</xdr:row>
      <xdr:rowOff>38100</xdr:rowOff>
    </xdr:to>
    <xdr:sp macro="" textlink="$B$174">
      <xdr:nvSpPr>
        <xdr:cNvPr id="15" name="TextBox 14">
          <a:extLst>
            <a:ext uri="{FF2B5EF4-FFF2-40B4-BE49-F238E27FC236}">
              <a16:creationId xmlns:a16="http://schemas.microsoft.com/office/drawing/2014/main" id="{00000000-0008-0000-0900-00000F000000}"/>
            </a:ext>
          </a:extLst>
        </xdr:cNvPr>
        <xdr:cNvSpPr txBox="1"/>
      </xdr:nvSpPr>
      <xdr:spPr>
        <a:xfrm>
          <a:off x="8677275" y="12630150"/>
          <a:ext cx="12954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B2B590A-E43A-4D06-8585-58588D84B055}" type="TxLink">
            <a:rPr lang="en-US" sz="1000" b="0" i="0" u="none" strike="noStrike">
              <a:solidFill>
                <a:srgbClr val="000000"/>
              </a:solidFill>
              <a:latin typeface="Arial"/>
              <a:cs typeface="Arial"/>
            </a:rPr>
            <a:pPr algn="ctr"/>
            <a:t>Premium = $752</a:t>
          </a:fld>
          <a:endParaRPr lang="en-CA" sz="9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542925</xdr:colOff>
      <xdr:row>19</xdr:row>
      <xdr:rowOff>1</xdr:rowOff>
    </xdr:from>
    <xdr:to>
      <xdr:col>14</xdr:col>
      <xdr:colOff>247650</xdr:colOff>
      <xdr:row>39</xdr:row>
      <xdr:rowOff>52388</xdr:rowOff>
    </xdr:to>
    <xdr:graphicFrame macro="">
      <xdr:nvGraphicFramePr>
        <xdr:cNvPr id="67379" name="Chart 7">
          <a:extLst>
            <a:ext uri="{FF2B5EF4-FFF2-40B4-BE49-F238E27FC236}">
              <a16:creationId xmlns:a16="http://schemas.microsoft.com/office/drawing/2014/main" id="{00000000-0008-0000-0A00-000033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41</xdr:row>
      <xdr:rowOff>123825</xdr:rowOff>
    </xdr:from>
    <xdr:to>
      <xdr:col>14</xdr:col>
      <xdr:colOff>180975</xdr:colOff>
      <xdr:row>62</xdr:row>
      <xdr:rowOff>9525</xdr:rowOff>
    </xdr:to>
    <xdr:graphicFrame macro="">
      <xdr:nvGraphicFramePr>
        <xdr:cNvPr id="67380" name="Chart 7">
          <a:extLst>
            <a:ext uri="{FF2B5EF4-FFF2-40B4-BE49-F238E27FC236}">
              <a16:creationId xmlns:a16="http://schemas.microsoft.com/office/drawing/2014/main" id="{00000000-0008-0000-0A00-000034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476250</xdr:colOff>
      <xdr:row>2</xdr:row>
      <xdr:rowOff>0</xdr:rowOff>
    </xdr:from>
    <xdr:to>
      <xdr:col>14</xdr:col>
      <xdr:colOff>200025</xdr:colOff>
      <xdr:row>20</xdr:row>
      <xdr:rowOff>76200</xdr:rowOff>
    </xdr:to>
    <xdr:graphicFrame macro="">
      <xdr:nvGraphicFramePr>
        <xdr:cNvPr id="67381" name="Chart 7">
          <a:extLst>
            <a:ext uri="{FF2B5EF4-FFF2-40B4-BE49-F238E27FC236}">
              <a16:creationId xmlns:a16="http://schemas.microsoft.com/office/drawing/2014/main" id="{00000000-0008-0000-0A00-000035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61912</xdr:colOff>
      <xdr:row>64</xdr:row>
      <xdr:rowOff>30956</xdr:rowOff>
    </xdr:from>
    <xdr:to>
      <xdr:col>14</xdr:col>
      <xdr:colOff>269081</xdr:colOff>
      <xdr:row>82</xdr:row>
      <xdr:rowOff>107156</xdr:rowOff>
    </xdr:to>
    <xdr:graphicFrame macro="">
      <xdr:nvGraphicFramePr>
        <xdr:cNvPr id="67382" name="Chart 7">
          <a:extLst>
            <a:ext uri="{FF2B5EF4-FFF2-40B4-BE49-F238E27FC236}">
              <a16:creationId xmlns:a16="http://schemas.microsoft.com/office/drawing/2014/main" id="{00000000-0008-0000-0A00-000036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57150</xdr:colOff>
      <xdr:row>87</xdr:row>
      <xdr:rowOff>9525</xdr:rowOff>
    </xdr:from>
    <xdr:to>
      <xdr:col>20</xdr:col>
      <xdr:colOff>323850</xdr:colOff>
      <xdr:row>104</xdr:row>
      <xdr:rowOff>142875</xdr:rowOff>
    </xdr:to>
    <xdr:graphicFrame macro="">
      <xdr:nvGraphicFramePr>
        <xdr:cNvPr id="67383" name="Chart 7">
          <a:extLst>
            <a:ext uri="{FF2B5EF4-FFF2-40B4-BE49-F238E27FC236}">
              <a16:creationId xmlns:a16="http://schemas.microsoft.com/office/drawing/2014/main" id="{00000000-0008-0000-0A00-000037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485775</xdr:colOff>
      <xdr:row>109</xdr:row>
      <xdr:rowOff>447675</xdr:rowOff>
    </xdr:from>
    <xdr:to>
      <xdr:col>20</xdr:col>
      <xdr:colOff>238125</xdr:colOff>
      <xdr:row>124</xdr:row>
      <xdr:rowOff>152400</xdr:rowOff>
    </xdr:to>
    <xdr:graphicFrame macro="">
      <xdr:nvGraphicFramePr>
        <xdr:cNvPr id="67384" name="Chart 7">
          <a:extLst>
            <a:ext uri="{FF2B5EF4-FFF2-40B4-BE49-F238E27FC236}">
              <a16:creationId xmlns:a16="http://schemas.microsoft.com/office/drawing/2014/main" id="{00000000-0008-0000-0A00-000038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447675</xdr:colOff>
      <xdr:row>109</xdr:row>
      <xdr:rowOff>447675</xdr:rowOff>
    </xdr:from>
    <xdr:to>
      <xdr:col>30</xdr:col>
      <xdr:colOff>200025</xdr:colOff>
      <xdr:row>124</xdr:row>
      <xdr:rowOff>152400</xdr:rowOff>
    </xdr:to>
    <xdr:graphicFrame macro="">
      <xdr:nvGraphicFramePr>
        <xdr:cNvPr id="67385" name="Chart 7">
          <a:extLst>
            <a:ext uri="{FF2B5EF4-FFF2-40B4-BE49-F238E27FC236}">
              <a16:creationId xmlns:a16="http://schemas.microsoft.com/office/drawing/2014/main" id="{00000000-0008-0000-0A00-000039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0</xdr:colOff>
      <xdr:row>87</xdr:row>
      <xdr:rowOff>0</xdr:rowOff>
    </xdr:from>
    <xdr:to>
      <xdr:col>30</xdr:col>
      <xdr:colOff>266700</xdr:colOff>
      <xdr:row>104</xdr:row>
      <xdr:rowOff>133350</xdr:rowOff>
    </xdr:to>
    <xdr:graphicFrame macro="">
      <xdr:nvGraphicFramePr>
        <xdr:cNvPr id="67386" name="Chart 7">
          <a:extLst>
            <a:ext uri="{FF2B5EF4-FFF2-40B4-BE49-F238E27FC236}">
              <a16:creationId xmlns:a16="http://schemas.microsoft.com/office/drawing/2014/main" id="{00000000-0008-0000-0A00-00003A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0</xdr:colOff>
      <xdr:row>87</xdr:row>
      <xdr:rowOff>0</xdr:rowOff>
    </xdr:from>
    <xdr:to>
      <xdr:col>40</xdr:col>
      <xdr:colOff>266700</xdr:colOff>
      <xdr:row>104</xdr:row>
      <xdr:rowOff>133350</xdr:rowOff>
    </xdr:to>
    <xdr:graphicFrame macro="">
      <xdr:nvGraphicFramePr>
        <xdr:cNvPr id="67387" name="Chart 7">
          <a:extLst>
            <a:ext uri="{FF2B5EF4-FFF2-40B4-BE49-F238E27FC236}">
              <a16:creationId xmlns:a16="http://schemas.microsoft.com/office/drawing/2014/main" id="{00000000-0008-0000-0A00-00003B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30</xdr:col>
      <xdr:colOff>466725</xdr:colOff>
      <xdr:row>109</xdr:row>
      <xdr:rowOff>485775</xdr:rowOff>
    </xdr:from>
    <xdr:to>
      <xdr:col>40</xdr:col>
      <xdr:colOff>219075</xdr:colOff>
      <xdr:row>125</xdr:row>
      <xdr:rowOff>28575</xdr:rowOff>
    </xdr:to>
    <xdr:graphicFrame macro="">
      <xdr:nvGraphicFramePr>
        <xdr:cNvPr id="67388" name="Chart 10">
          <a:extLst>
            <a:ext uri="{FF2B5EF4-FFF2-40B4-BE49-F238E27FC236}">
              <a16:creationId xmlns:a16="http://schemas.microsoft.com/office/drawing/2014/main" id="{00000000-0008-0000-0A00-00003C07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0</xdr:colOff>
      <xdr:row>64</xdr:row>
      <xdr:rowOff>0</xdr:rowOff>
    </xdr:from>
    <xdr:to>
      <xdr:col>32</xdr:col>
      <xdr:colOff>207169</xdr:colOff>
      <xdr:row>82</xdr:row>
      <xdr:rowOff>76200</xdr:rowOff>
    </xdr:to>
    <xdr:graphicFrame macro="">
      <xdr:nvGraphicFramePr>
        <xdr:cNvPr id="12" name="Chart 7">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0.68399</cdr:x>
      <cdr:y>0.92802</cdr:y>
    </cdr:from>
    <cdr:to>
      <cdr:x>1</cdr:x>
      <cdr:y>1</cdr:y>
    </cdr:to>
    <cdr:sp macro="" textlink="">
      <cdr:nvSpPr>
        <cdr:cNvPr id="2" name="TextBox 1"/>
        <cdr:cNvSpPr txBox="1"/>
      </cdr:nvSpPr>
      <cdr:spPr>
        <a:xfrm xmlns:a="http://schemas.openxmlformats.org/drawingml/2006/main">
          <a:off x="3133725" y="3376647"/>
          <a:ext cx="1447800" cy="261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4.xml><?xml version="1.0" encoding="utf-8"?>
<c:userShapes xmlns:c="http://schemas.openxmlformats.org/drawingml/2006/chart">
  <cdr:relSizeAnchor xmlns:cdr="http://schemas.openxmlformats.org/drawingml/2006/chartDrawing">
    <cdr:from>
      <cdr:x>0.69811</cdr:x>
      <cdr:y>0.92802</cdr:y>
    </cdr:from>
    <cdr:to>
      <cdr:x>1</cdr:x>
      <cdr:y>1</cdr:y>
    </cdr:to>
    <cdr:sp macro="" textlink="">
      <cdr:nvSpPr>
        <cdr:cNvPr id="2" name="TextBox 1"/>
        <cdr:cNvSpPr txBox="1"/>
      </cdr:nvSpPr>
      <cdr:spPr>
        <a:xfrm xmlns:a="http://schemas.openxmlformats.org/drawingml/2006/main">
          <a:off x="3171825" y="3376647"/>
          <a:ext cx="1371600" cy="261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5.xml><?xml version="1.0" encoding="utf-8"?>
<c:userShapes xmlns:c="http://schemas.openxmlformats.org/drawingml/2006/chart">
  <cdr:relSizeAnchor xmlns:cdr="http://schemas.openxmlformats.org/drawingml/2006/chartDrawing">
    <cdr:from>
      <cdr:x>0.66253</cdr:x>
      <cdr:y>0.92802</cdr:y>
    </cdr:from>
    <cdr:to>
      <cdr:x>1</cdr:x>
      <cdr:y>1</cdr:y>
    </cdr:to>
    <cdr:sp macro="" textlink="">
      <cdr:nvSpPr>
        <cdr:cNvPr id="2" name="TextBox 1"/>
        <cdr:cNvSpPr txBox="1"/>
      </cdr:nvSpPr>
      <cdr:spPr>
        <a:xfrm xmlns:a="http://schemas.openxmlformats.org/drawingml/2006/main">
          <a:off x="3048000" y="3102626"/>
          <a:ext cx="1552575"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16.xml><?xml version="1.0" encoding="utf-8"?>
<c:userShapes xmlns:c="http://schemas.openxmlformats.org/drawingml/2006/chart">
  <cdr:relSizeAnchor xmlns:cdr="http://schemas.openxmlformats.org/drawingml/2006/chartDrawing">
    <cdr:from>
      <cdr:x>0.68323</cdr:x>
      <cdr:y>0.92992</cdr:y>
    </cdr:from>
    <cdr:to>
      <cdr:x>1</cdr:x>
      <cdr:y>1</cdr:y>
    </cdr:to>
    <cdr:sp macro="" textlink="">
      <cdr:nvSpPr>
        <cdr:cNvPr id="2" name="TextBox 1"/>
        <cdr:cNvSpPr txBox="1"/>
      </cdr:nvSpPr>
      <cdr:spPr>
        <a:xfrm xmlns:a="http://schemas.openxmlformats.org/drawingml/2006/main">
          <a:off x="3045618" y="3159919"/>
          <a:ext cx="141208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17.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18.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19.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28574</xdr:colOff>
      <xdr:row>14</xdr:row>
      <xdr:rowOff>9525</xdr:rowOff>
    </xdr:from>
    <xdr:to>
      <xdr:col>5</xdr:col>
      <xdr:colOff>133350</xdr:colOff>
      <xdr:row>34</xdr:row>
      <xdr:rowOff>114300</xdr:rowOff>
    </xdr:to>
    <xdr:graphicFrame macro="">
      <xdr:nvGraphicFramePr>
        <xdr:cNvPr id="2" name="Chart 7" descr="Impact of stocking rate on pasture cost per day graph.">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200025</xdr:colOff>
      <xdr:row>14</xdr:row>
      <xdr:rowOff>0</xdr:rowOff>
    </xdr:from>
    <xdr:to>
      <xdr:col>10</xdr:col>
      <xdr:colOff>676275</xdr:colOff>
      <xdr:row>34</xdr:row>
      <xdr:rowOff>104775</xdr:rowOff>
    </xdr:to>
    <xdr:graphicFrame macro="">
      <xdr:nvGraphicFramePr>
        <xdr:cNvPr id="3" name="Chart 7" descr="Impact of grazing days on pasture cost per day graph.">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35</xdr:row>
      <xdr:rowOff>0</xdr:rowOff>
    </xdr:from>
    <xdr:to>
      <xdr:col>5</xdr:col>
      <xdr:colOff>123824</xdr:colOff>
      <xdr:row>55</xdr:row>
      <xdr:rowOff>95250</xdr:rowOff>
    </xdr:to>
    <xdr:graphicFrame macro="">
      <xdr:nvGraphicFramePr>
        <xdr:cNvPr id="4" name="Chart 7" descr="Impact of land value on pasture cost per day (at 8% for 25 years) graph.">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209550</xdr:colOff>
      <xdr:row>35</xdr:row>
      <xdr:rowOff>0</xdr:rowOff>
    </xdr:from>
    <xdr:to>
      <xdr:col>10</xdr:col>
      <xdr:colOff>666750</xdr:colOff>
      <xdr:row>55</xdr:row>
      <xdr:rowOff>104775</xdr:rowOff>
    </xdr:to>
    <xdr:graphicFrame macro="">
      <xdr:nvGraphicFramePr>
        <xdr:cNvPr id="5" name="Chart 7" descr="Impact of owned pasture equity on pasture cost per day (at 8% for 25 years) graph.">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47625</xdr:colOff>
      <xdr:row>55</xdr:row>
      <xdr:rowOff>142875</xdr:rowOff>
    </xdr:from>
    <xdr:to>
      <xdr:col>5</xdr:col>
      <xdr:colOff>123825</xdr:colOff>
      <xdr:row>76</xdr:row>
      <xdr:rowOff>85725</xdr:rowOff>
    </xdr:to>
    <xdr:graphicFrame macro="">
      <xdr:nvGraphicFramePr>
        <xdr:cNvPr id="6" name="Chart 7" descr="Impact of interest rates on pasture cost per day (at 75% equity for 25 years) graph.">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1.xml><?xml version="1.0" encoding="utf-8"?>
<c:userShapes xmlns:c="http://schemas.openxmlformats.org/drawingml/2006/chart">
  <cdr:relSizeAnchor xmlns:cdr="http://schemas.openxmlformats.org/drawingml/2006/chartDrawing">
    <cdr:from>
      <cdr:x>0.40268</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2.xml><?xml version="1.0" encoding="utf-8"?>
<c:userShapes xmlns:c="http://schemas.openxmlformats.org/drawingml/2006/chart">
  <cdr:relSizeAnchor xmlns:cdr="http://schemas.openxmlformats.org/drawingml/2006/chartDrawing">
    <cdr:from>
      <cdr:x>0.40292</cdr:x>
      <cdr:y>0.92802</cdr:y>
    </cdr:from>
    <cdr:to>
      <cdr:x>1</cdr:x>
      <cdr:y>1</cdr:y>
    </cdr:to>
    <cdr:sp macro="" textlink="">
      <cdr:nvSpPr>
        <cdr:cNvPr id="2" name="TextBox 1"/>
        <cdr:cNvSpPr txBox="1"/>
      </cdr:nvSpPr>
      <cdr:spPr>
        <a:xfrm xmlns:a="http://schemas.openxmlformats.org/drawingml/2006/main">
          <a:off x="1476375" y="3049590"/>
          <a:ext cx="3000375" cy="2365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and Resource Development </a:t>
          </a:r>
        </a:p>
      </cdr:txBody>
    </cdr:sp>
  </cdr:relSizeAnchor>
</c:userShapes>
</file>

<file path=xl/drawings/drawing23.xml><?xml version="1.0" encoding="utf-8"?>
<c:userShapes xmlns:c="http://schemas.openxmlformats.org/drawingml/2006/chart">
  <cdr:relSizeAnchor xmlns:cdr="http://schemas.openxmlformats.org/drawingml/2006/chartDrawing">
    <cdr:from>
      <cdr:x>0.68323</cdr:x>
      <cdr:y>0.92992</cdr:y>
    </cdr:from>
    <cdr:to>
      <cdr:x>1</cdr:x>
      <cdr:y>1</cdr:y>
    </cdr:to>
    <cdr:sp macro="" textlink="">
      <cdr:nvSpPr>
        <cdr:cNvPr id="2" name="TextBox 1"/>
        <cdr:cNvSpPr txBox="1"/>
      </cdr:nvSpPr>
      <cdr:spPr>
        <a:xfrm xmlns:a="http://schemas.openxmlformats.org/drawingml/2006/main">
          <a:off x="3045618" y="3159919"/>
          <a:ext cx="1412082" cy="238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3.xml><?xml version="1.0" encoding="utf-8"?>
<c:userShapes xmlns:c="http://schemas.openxmlformats.org/drawingml/2006/chart">
  <cdr:relSizeAnchor xmlns:cdr="http://schemas.openxmlformats.org/drawingml/2006/chartDrawing">
    <cdr:from>
      <cdr:x>0.65285</cdr:x>
      <cdr:y>0.92802</cdr:y>
    </cdr:from>
    <cdr:to>
      <cdr:x>1</cdr:x>
      <cdr:y>1</cdr:y>
    </cdr:to>
    <cdr:sp macro="" textlink="">
      <cdr:nvSpPr>
        <cdr:cNvPr id="2" name="TextBox 1"/>
        <cdr:cNvSpPr txBox="1"/>
      </cdr:nvSpPr>
      <cdr:spPr>
        <a:xfrm xmlns:a="http://schemas.openxmlformats.org/drawingml/2006/main">
          <a:off x="2400300" y="3102626"/>
          <a:ext cx="1276350"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Manitoba Agriculture  </a:t>
          </a:r>
        </a:p>
      </cdr:txBody>
    </cdr:sp>
  </cdr:relSizeAnchor>
</c:userShapes>
</file>

<file path=xl/drawings/drawing4.xml><?xml version="1.0" encoding="utf-8"?>
<c:userShapes xmlns:c="http://schemas.openxmlformats.org/drawingml/2006/chart">
  <cdr:relSizeAnchor xmlns:cdr="http://schemas.openxmlformats.org/drawingml/2006/chartDrawing">
    <cdr:from>
      <cdr:x>0.64251</cdr:x>
      <cdr:y>0.92802</cdr:y>
    </cdr:from>
    <cdr:to>
      <cdr:x>1</cdr:x>
      <cdr:y>1</cdr:y>
    </cdr:to>
    <cdr:sp macro="" textlink="">
      <cdr:nvSpPr>
        <cdr:cNvPr id="2" name="TextBox 1"/>
        <cdr:cNvSpPr txBox="1"/>
      </cdr:nvSpPr>
      <cdr:spPr>
        <a:xfrm xmlns:a="http://schemas.openxmlformats.org/drawingml/2006/main">
          <a:off x="2533650" y="3102626"/>
          <a:ext cx="1409700" cy="2406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Manitoba Agriculture </a:t>
          </a:r>
        </a:p>
      </cdr:txBody>
    </cdr:sp>
  </cdr:relSizeAnchor>
</c:userShapes>
</file>

<file path=xl/drawings/drawing5.xml><?xml version="1.0" encoding="utf-8"?>
<c:userShapes xmlns:c="http://schemas.openxmlformats.org/drawingml/2006/chart">
  <cdr:relSizeAnchor xmlns:cdr="http://schemas.openxmlformats.org/drawingml/2006/chartDrawing">
    <cdr:from>
      <cdr:x>0.60937</cdr:x>
      <cdr:y>0.92802</cdr:y>
    </cdr:from>
    <cdr:to>
      <cdr:x>1</cdr:x>
      <cdr:y>1</cdr:y>
    </cdr:to>
    <cdr:sp macro="" textlink="">
      <cdr:nvSpPr>
        <cdr:cNvPr id="2" name="TextBox 1"/>
        <cdr:cNvSpPr txBox="1"/>
      </cdr:nvSpPr>
      <cdr:spPr>
        <a:xfrm xmlns:a="http://schemas.openxmlformats.org/drawingml/2006/main">
          <a:off x="2228849" y="3093787"/>
          <a:ext cx="1428751" cy="239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 </a:t>
          </a:r>
        </a:p>
      </cdr:txBody>
    </cdr:sp>
  </cdr:relSizeAnchor>
</c:userShapes>
</file>

<file path=xl/drawings/drawing6.xml><?xml version="1.0" encoding="utf-8"?>
<c:userShapes xmlns:c="http://schemas.openxmlformats.org/drawingml/2006/chart">
  <cdr:relSizeAnchor xmlns:cdr="http://schemas.openxmlformats.org/drawingml/2006/chartDrawing">
    <cdr:from>
      <cdr:x>0.62864</cdr:x>
      <cdr:y>0.92992</cdr:y>
    </cdr:from>
    <cdr:to>
      <cdr:x>1</cdr:x>
      <cdr:y>1</cdr:y>
    </cdr:to>
    <cdr:sp macro="" textlink="">
      <cdr:nvSpPr>
        <cdr:cNvPr id="2" name="TextBox 1"/>
        <cdr:cNvSpPr txBox="1"/>
      </cdr:nvSpPr>
      <cdr:spPr>
        <a:xfrm xmlns:a="http://schemas.openxmlformats.org/drawingml/2006/main">
          <a:off x="2466975" y="3108978"/>
          <a:ext cx="1457325" cy="234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7.xml><?xml version="1.0" encoding="utf-8"?>
<c:userShapes xmlns:c="http://schemas.openxmlformats.org/drawingml/2006/chart">
  <cdr:relSizeAnchor xmlns:cdr="http://schemas.openxmlformats.org/drawingml/2006/chartDrawing">
    <cdr:from>
      <cdr:x>0.625</cdr:x>
      <cdr:y>0.92992</cdr:y>
    </cdr:from>
    <cdr:to>
      <cdr:x>1</cdr:x>
      <cdr:y>1</cdr:y>
    </cdr:to>
    <cdr:sp macro="" textlink="">
      <cdr:nvSpPr>
        <cdr:cNvPr id="2" name="TextBox 1"/>
        <cdr:cNvSpPr txBox="1"/>
      </cdr:nvSpPr>
      <cdr:spPr>
        <a:xfrm xmlns:a="http://schemas.openxmlformats.org/drawingml/2006/main">
          <a:off x="2286000" y="3108978"/>
          <a:ext cx="1371600" cy="234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000"/>
            <a:t>Manitoba Agriculture</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142875</xdr:colOff>
      <xdr:row>43</xdr:row>
      <xdr:rowOff>152399</xdr:rowOff>
    </xdr:from>
    <xdr:to>
      <xdr:col>3</xdr:col>
      <xdr:colOff>333376</xdr:colOff>
      <xdr:row>62</xdr:row>
      <xdr:rowOff>57149</xdr:rowOff>
    </xdr:to>
    <xdr:graphicFrame macro="">
      <xdr:nvGraphicFramePr>
        <xdr:cNvPr id="2" name="Chart 3" descr="Actual Grazing days.">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428625</xdr:colOff>
      <xdr:row>43</xdr:row>
      <xdr:rowOff>152400</xdr:rowOff>
    </xdr:from>
    <xdr:to>
      <xdr:col>8</xdr:col>
      <xdr:colOff>581025</xdr:colOff>
      <xdr:row>62</xdr:row>
      <xdr:rowOff>47625</xdr:rowOff>
    </xdr:to>
    <xdr:graphicFrame macro="">
      <xdr:nvGraphicFramePr>
        <xdr:cNvPr id="3" name="Chart 5" descr="Indemnity based on days on pasture graph.">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314325</xdr:colOff>
      <xdr:row>55</xdr:row>
      <xdr:rowOff>123825</xdr:rowOff>
    </xdr:from>
    <xdr:to>
      <xdr:col>8</xdr:col>
      <xdr:colOff>390525</xdr:colOff>
      <xdr:row>57</xdr:row>
      <xdr:rowOff>38100</xdr:rowOff>
    </xdr:to>
    <xdr:sp macro="" textlink="#REF!">
      <xdr:nvSpPr>
        <xdr:cNvPr id="4" name="TextBox 3">
          <a:extLst>
            <a:ext uri="{FF2B5EF4-FFF2-40B4-BE49-F238E27FC236}">
              <a16:creationId xmlns:a16="http://schemas.microsoft.com/office/drawing/2014/main" id="{00000000-0008-0000-0300-000004000000}"/>
            </a:ext>
          </a:extLst>
        </xdr:cNvPr>
        <xdr:cNvSpPr txBox="1"/>
      </xdr:nvSpPr>
      <xdr:spPr>
        <a:xfrm>
          <a:off x="7753350" y="12011025"/>
          <a:ext cx="11239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ECA48B1-8BF9-4E3F-A6B5-210EC18E48CC}" type="TxLink">
            <a:rPr lang="en-US" sz="1000" b="0" i="0" u="none" strike="noStrike">
              <a:solidFill>
                <a:srgbClr val="000000"/>
              </a:solidFill>
              <a:latin typeface="Arial"/>
              <a:cs typeface="Arial"/>
            </a:rPr>
            <a:pPr algn="ctr"/>
            <a:t>Premium = $166</a:t>
          </a:fld>
          <a:endParaRPr lang="en-CA" sz="600"/>
        </a:p>
      </xdr:txBody>
    </xdr:sp>
    <xdr:clientData/>
  </xdr:twoCellAnchor>
  <xdr:twoCellAnchor>
    <xdr:from>
      <xdr:col>7</xdr:col>
      <xdr:colOff>133350</xdr:colOff>
      <xdr:row>47</xdr:row>
      <xdr:rowOff>95250</xdr:rowOff>
    </xdr:from>
    <xdr:to>
      <xdr:col>8</xdr:col>
      <xdr:colOff>209550</xdr:colOff>
      <xdr:row>49</xdr:row>
      <xdr:rowOff>9525</xdr:rowOff>
    </xdr:to>
    <xdr:sp macro="" textlink="#REF!">
      <xdr:nvSpPr>
        <xdr:cNvPr id="5" name="TextBox 4">
          <a:extLst>
            <a:ext uri="{FF2B5EF4-FFF2-40B4-BE49-F238E27FC236}">
              <a16:creationId xmlns:a16="http://schemas.microsoft.com/office/drawing/2014/main" id="{00000000-0008-0000-0300-000005000000}"/>
            </a:ext>
          </a:extLst>
        </xdr:cNvPr>
        <xdr:cNvSpPr txBox="1"/>
      </xdr:nvSpPr>
      <xdr:spPr>
        <a:xfrm>
          <a:off x="7572375" y="10687050"/>
          <a:ext cx="11239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AFFFEC7-834E-4A0F-9126-CF5E5EAE324E}" type="TxLink">
            <a:rPr lang="en-US" sz="900" b="0" i="0" u="none" strike="noStrike">
              <a:solidFill>
                <a:srgbClr val="000000"/>
              </a:solidFill>
              <a:latin typeface="Arial"/>
              <a:cs typeface="Arial"/>
            </a:rPr>
            <a:pPr algn="ctr"/>
            <a:t>Premium = $483</a:t>
          </a:fld>
          <a:endParaRPr lang="en-CA" sz="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506730</xdr:colOff>
      <xdr:row>48</xdr:row>
      <xdr:rowOff>160020</xdr:rowOff>
    </xdr:from>
    <xdr:to>
      <xdr:col>8</xdr:col>
      <xdr:colOff>331470</xdr:colOff>
      <xdr:row>50</xdr:row>
      <xdr:rowOff>19068</xdr:rowOff>
    </xdr:to>
    <xdr:sp macro="" textlink="">
      <xdr:nvSpPr>
        <xdr:cNvPr id="3" name="TextBox 2">
          <a:hlinkClick xmlns:r="http://schemas.openxmlformats.org/officeDocument/2006/relationships" r:id="rId1" tooltip="Click here for Livestock Fence Cost Calculator"/>
          <a:extLst>
            <a:ext uri="{FF2B5EF4-FFF2-40B4-BE49-F238E27FC236}">
              <a16:creationId xmlns:a16="http://schemas.microsoft.com/office/drawing/2014/main" id="{00000000-0008-0000-0500-000003000000}"/>
            </a:ext>
          </a:extLst>
        </xdr:cNvPr>
        <xdr:cNvSpPr txBox="1"/>
      </xdr:nvSpPr>
      <xdr:spPr>
        <a:xfrm>
          <a:off x="2085975" y="21678900"/>
          <a:ext cx="3943350" cy="180975"/>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Manitoba Livestock Fence Cost Calculator</a:t>
          </a:r>
          <a:r>
            <a:rPr lang="en-CA" sz="1000" b="1" i="0" u="none" baseline="0">
              <a:solidFill>
                <a:sysClr val="windowText" lastClr="000000"/>
              </a:solidFill>
              <a:uFill>
                <a:solidFill>
                  <a:srgbClr val="0000FF"/>
                </a:solidFill>
              </a:uFill>
              <a:latin typeface="Arial" pitchFamily="34" charset="0"/>
              <a:cs typeface="Arial" pitchFamily="34" charset="0"/>
            </a:rPr>
            <a:t> </a:t>
          </a:r>
          <a:endParaRPr lang="en-CA" sz="1000" b="1" u="none" baseline="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3.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3.vml"/><Relationship Id="rId5" Type="http://schemas.openxmlformats.org/officeDocument/2006/relationships/drawing" Target="../drawings/drawing11.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1.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1.vml"/><Relationship Id="rId5" Type="http://schemas.openxmlformats.org/officeDocument/2006/relationships/drawing" Target="../drawings/drawing8.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3:J57"/>
  <sheetViews>
    <sheetView showGridLines="0" tabSelected="1" zoomScaleNormal="100" workbookViewId="0"/>
  </sheetViews>
  <sheetFormatPr defaultColWidth="11.453125" defaultRowHeight="15.5" x14ac:dyDescent="0.25"/>
  <cols>
    <col min="1" max="1" width="7.1796875" style="41" customWidth="1"/>
    <col min="2" max="2" width="13" style="41" customWidth="1"/>
    <col min="3" max="16384" width="11.453125" style="41"/>
  </cols>
  <sheetData>
    <row r="3" spans="1:10" s="43" customFormat="1" ht="27.5" x14ac:dyDescent="0.25">
      <c r="A3" s="42" t="s">
        <v>97</v>
      </c>
    </row>
    <row r="4" spans="1:10" s="43" customFormat="1" ht="15" customHeight="1" x14ac:dyDescent="0.25">
      <c r="A4" s="42"/>
    </row>
    <row r="5" spans="1:10" ht="20" x14ac:dyDescent="0.4">
      <c r="A5" s="302" t="s">
        <v>98</v>
      </c>
      <c r="B5" s="302"/>
      <c r="C5" s="302"/>
      <c r="D5" s="302"/>
      <c r="E5" s="302"/>
      <c r="F5" s="302"/>
      <c r="G5" s="302"/>
      <c r="H5" s="302"/>
      <c r="I5" s="302"/>
      <c r="J5" s="302"/>
    </row>
    <row r="6" spans="1:10" ht="25" x14ac:dyDescent="0.5">
      <c r="A6" s="301" t="s">
        <v>103</v>
      </c>
      <c r="B6" s="301"/>
      <c r="C6" s="301"/>
      <c r="D6" s="301"/>
      <c r="E6" s="301"/>
      <c r="F6" s="301"/>
      <c r="G6" s="301"/>
      <c r="H6" s="301"/>
      <c r="I6" s="301"/>
      <c r="J6" s="301"/>
    </row>
    <row r="7" spans="1:10" ht="25" x14ac:dyDescent="0.25">
      <c r="A7" s="303" t="str">
        <f>"Pasture Production Costs - "&amp;J13</f>
        <v>Pasture Production Costs - 2025</v>
      </c>
      <c r="B7" s="303"/>
      <c r="C7" s="303"/>
      <c r="D7" s="303"/>
      <c r="E7" s="303"/>
      <c r="F7" s="303"/>
      <c r="G7" s="303"/>
      <c r="H7" s="303"/>
      <c r="I7" s="303"/>
      <c r="J7" s="303"/>
    </row>
    <row r="13" spans="1:10" ht="18" x14ac:dyDescent="0.25">
      <c r="I13" s="44" t="s">
        <v>411</v>
      </c>
      <c r="J13" s="45">
        <v>2025</v>
      </c>
    </row>
    <row r="14" spans="1:10" ht="18" x14ac:dyDescent="0.25">
      <c r="B14" s="44"/>
    </row>
    <row r="15" spans="1:10" ht="18" x14ac:dyDescent="0.25">
      <c r="B15" s="44"/>
    </row>
    <row r="17" spans="2:10" ht="18" customHeight="1" x14ac:dyDescent="0.25">
      <c r="B17" s="304" t="s">
        <v>265</v>
      </c>
      <c r="C17" s="304"/>
      <c r="D17" s="304"/>
      <c r="E17" s="304"/>
      <c r="F17" s="304"/>
      <c r="G17" s="304"/>
      <c r="H17" s="304"/>
      <c r="I17" s="304"/>
      <c r="J17" s="304"/>
    </row>
    <row r="18" spans="2:10" ht="18" customHeight="1" x14ac:dyDescent="0.25">
      <c r="B18" s="304"/>
      <c r="C18" s="304"/>
      <c r="D18" s="304"/>
      <c r="E18" s="304"/>
      <c r="F18" s="304"/>
      <c r="G18" s="304"/>
      <c r="H18" s="304"/>
      <c r="I18" s="304"/>
      <c r="J18" s="304"/>
    </row>
    <row r="19" spans="2:10" ht="18" customHeight="1" x14ac:dyDescent="0.25">
      <c r="B19" s="304"/>
      <c r="C19" s="304"/>
      <c r="D19" s="304"/>
      <c r="E19" s="304"/>
      <c r="F19" s="304"/>
      <c r="G19" s="304"/>
      <c r="H19" s="304"/>
      <c r="I19" s="304"/>
      <c r="J19" s="304"/>
    </row>
    <row r="20" spans="2:10" ht="18" customHeight="1" x14ac:dyDescent="0.25">
      <c r="B20" s="304"/>
      <c r="C20" s="304"/>
      <c r="D20" s="304"/>
      <c r="E20" s="304"/>
      <c r="F20" s="304"/>
      <c r="G20" s="304"/>
      <c r="H20" s="304"/>
      <c r="I20" s="304"/>
      <c r="J20" s="304"/>
    </row>
    <row r="21" spans="2:10" ht="18" customHeight="1" x14ac:dyDescent="0.25">
      <c r="B21" s="304"/>
      <c r="C21" s="304"/>
      <c r="D21" s="304"/>
      <c r="E21" s="304"/>
      <c r="F21" s="304"/>
      <c r="G21" s="304"/>
      <c r="H21" s="304"/>
      <c r="I21" s="304"/>
      <c r="J21" s="304"/>
    </row>
    <row r="22" spans="2:10" ht="18" customHeight="1" x14ac:dyDescent="0.25">
      <c r="B22" s="304"/>
      <c r="C22" s="304"/>
      <c r="D22" s="304"/>
      <c r="E22" s="304"/>
      <c r="F22" s="304"/>
      <c r="G22" s="304"/>
      <c r="H22" s="304"/>
      <c r="I22" s="304"/>
      <c r="J22" s="304"/>
    </row>
    <row r="23" spans="2:10" ht="18" customHeight="1" x14ac:dyDescent="0.25">
      <c r="B23" s="304"/>
      <c r="C23" s="304"/>
      <c r="D23" s="304"/>
      <c r="E23" s="304"/>
      <c r="F23" s="304"/>
      <c r="G23" s="304"/>
      <c r="H23" s="304"/>
      <c r="I23" s="304"/>
      <c r="J23" s="304"/>
    </row>
    <row r="24" spans="2:10" ht="18" customHeight="1" x14ac:dyDescent="0.25">
      <c r="B24" s="304"/>
      <c r="C24" s="304"/>
      <c r="D24" s="304"/>
      <c r="E24" s="304"/>
      <c r="F24" s="304"/>
      <c r="G24" s="304"/>
      <c r="H24" s="304"/>
      <c r="I24" s="304"/>
      <c r="J24" s="304"/>
    </row>
    <row r="25" spans="2:10" ht="18" customHeight="1" x14ac:dyDescent="0.25">
      <c r="B25" s="47"/>
      <c r="C25" s="47"/>
      <c r="D25" s="47"/>
      <c r="E25" s="47"/>
      <c r="F25" s="47"/>
      <c r="G25" s="47"/>
      <c r="H25" s="47"/>
      <c r="I25" s="47"/>
      <c r="J25" s="47"/>
    </row>
    <row r="26" spans="2:10" ht="18" customHeight="1" x14ac:dyDescent="0.25">
      <c r="B26" s="48"/>
      <c r="C26" s="48"/>
      <c r="D26" s="48"/>
      <c r="E26" s="48"/>
      <c r="F26" s="48"/>
      <c r="G26" s="48"/>
      <c r="H26" s="48"/>
      <c r="I26" s="48"/>
    </row>
    <row r="27" spans="2:10" ht="18" customHeight="1" x14ac:dyDescent="0.25">
      <c r="B27" s="304" t="s">
        <v>70</v>
      </c>
      <c r="C27" s="304"/>
      <c r="D27" s="304"/>
      <c r="E27" s="304"/>
      <c r="F27" s="304"/>
      <c r="G27" s="304"/>
      <c r="H27" s="304"/>
      <c r="I27" s="304"/>
      <c r="J27" s="304"/>
    </row>
    <row r="28" spans="2:10" ht="18" customHeight="1" x14ac:dyDescent="0.25">
      <c r="B28" s="304"/>
      <c r="C28" s="304"/>
      <c r="D28" s="304"/>
      <c r="E28" s="304"/>
      <c r="F28" s="304"/>
      <c r="G28" s="304"/>
      <c r="H28" s="304"/>
      <c r="I28" s="304"/>
      <c r="J28" s="304"/>
    </row>
    <row r="29" spans="2:10" ht="18" customHeight="1" x14ac:dyDescent="0.25">
      <c r="B29" s="304"/>
      <c r="C29" s="304"/>
      <c r="D29" s="304"/>
      <c r="E29" s="304"/>
      <c r="F29" s="304"/>
      <c r="G29" s="304"/>
      <c r="H29" s="304"/>
      <c r="I29" s="304"/>
      <c r="J29" s="304"/>
    </row>
    <row r="30" spans="2:10" ht="18" customHeight="1" x14ac:dyDescent="0.25">
      <c r="B30" s="46"/>
      <c r="C30" s="46"/>
      <c r="D30" s="46"/>
      <c r="E30" s="46"/>
      <c r="F30" s="46"/>
      <c r="G30" s="46"/>
      <c r="H30" s="46"/>
      <c r="I30" s="46"/>
      <c r="J30" s="46"/>
    </row>
    <row r="31" spans="2:10" ht="17.5" x14ac:dyDescent="0.25">
      <c r="B31" s="46"/>
    </row>
    <row r="32" spans="2:10" ht="18" customHeight="1" x14ac:dyDescent="0.25">
      <c r="B32" s="304" t="s">
        <v>102</v>
      </c>
      <c r="C32" s="304"/>
      <c r="D32" s="304"/>
      <c r="E32" s="304"/>
      <c r="F32" s="304"/>
      <c r="G32" s="304"/>
      <c r="H32" s="304"/>
      <c r="I32" s="304"/>
      <c r="J32" s="304"/>
    </row>
    <row r="33" spans="2:10" ht="18" customHeight="1" x14ac:dyDescent="0.25">
      <c r="B33" s="304"/>
      <c r="C33" s="304"/>
      <c r="D33" s="304"/>
      <c r="E33" s="304"/>
      <c r="F33" s="304"/>
      <c r="G33" s="304"/>
      <c r="H33" s="304"/>
      <c r="I33" s="304"/>
      <c r="J33" s="304"/>
    </row>
    <row r="34" spans="2:10" ht="18" customHeight="1" x14ac:dyDescent="0.25">
      <c r="B34" s="304"/>
      <c r="C34" s="304"/>
      <c r="D34" s="304"/>
      <c r="E34" s="304"/>
      <c r="F34" s="304"/>
      <c r="G34" s="304"/>
      <c r="H34" s="304"/>
      <c r="I34" s="304"/>
      <c r="J34" s="304"/>
    </row>
    <row r="35" spans="2:10" ht="18" customHeight="1" x14ac:dyDescent="0.25">
      <c r="B35" s="304"/>
      <c r="C35" s="304"/>
      <c r="D35" s="304"/>
      <c r="E35" s="304"/>
      <c r="F35" s="304"/>
      <c r="G35" s="304"/>
      <c r="H35" s="304"/>
      <c r="I35" s="304"/>
      <c r="J35" s="304"/>
    </row>
    <row r="36" spans="2:10" ht="18" customHeight="1" x14ac:dyDescent="0.25">
      <c r="B36" s="46"/>
      <c r="C36" s="46"/>
      <c r="D36" s="46"/>
      <c r="E36" s="46"/>
      <c r="F36" s="46"/>
      <c r="G36" s="46"/>
      <c r="H36" s="46"/>
      <c r="I36" s="46"/>
      <c r="J36" s="46"/>
    </row>
    <row r="37" spans="2:10" ht="18" customHeight="1" x14ac:dyDescent="0.25">
      <c r="B37" s="49" t="s">
        <v>99</v>
      </c>
      <c r="C37" s="49"/>
      <c r="D37" s="49"/>
      <c r="E37" s="49"/>
      <c r="F37" s="49"/>
      <c r="G37" s="49"/>
      <c r="H37" s="49"/>
      <c r="I37" s="49"/>
      <c r="J37" s="49"/>
    </row>
    <row r="38" spans="2:10" ht="20.25" customHeight="1" x14ac:dyDescent="0.25">
      <c r="B38" s="50"/>
      <c r="C38" s="49"/>
      <c r="D38" s="49"/>
      <c r="E38" s="49"/>
      <c r="F38" s="49"/>
      <c r="G38" s="49"/>
      <c r="H38" s="49"/>
      <c r="I38" s="49"/>
      <c r="J38" s="49"/>
    </row>
    <row r="39" spans="2:10" ht="20.25" customHeight="1" x14ac:dyDescent="0.25">
      <c r="B39" s="50"/>
      <c r="C39" s="49"/>
      <c r="D39" s="49"/>
      <c r="E39" s="49"/>
      <c r="F39" s="49"/>
      <c r="G39" s="49"/>
      <c r="H39" s="49"/>
      <c r="I39" s="49"/>
      <c r="J39" s="49"/>
    </row>
    <row r="40" spans="2:10" ht="20.25" customHeight="1" x14ac:dyDescent="0.25">
      <c r="B40" s="50"/>
      <c r="C40" s="49"/>
      <c r="D40" s="49"/>
      <c r="E40" s="49"/>
      <c r="F40" s="49"/>
      <c r="G40" s="49"/>
      <c r="H40" s="49"/>
      <c r="I40" s="49"/>
      <c r="J40" s="49"/>
    </row>
    <row r="41" spans="2:10" ht="20.25" customHeight="1" x14ac:dyDescent="0.25">
      <c r="B41" s="50"/>
      <c r="C41" s="49"/>
      <c r="D41" s="49"/>
      <c r="E41" s="49"/>
      <c r="F41" s="49"/>
      <c r="G41" s="49"/>
      <c r="H41" s="49"/>
      <c r="I41" s="49"/>
      <c r="J41" s="49"/>
    </row>
    <row r="42" spans="2:10" ht="20.25" customHeight="1" x14ac:dyDescent="0.25">
      <c r="B42" s="50"/>
      <c r="C42" s="49"/>
      <c r="D42" s="49"/>
      <c r="E42" s="49"/>
      <c r="F42" s="49"/>
      <c r="G42" s="49"/>
      <c r="H42" s="49"/>
      <c r="I42" s="49"/>
      <c r="J42" s="49"/>
    </row>
    <row r="43" spans="2:10" ht="20.25" customHeight="1" x14ac:dyDescent="0.25">
      <c r="B43" s="50"/>
      <c r="C43" s="49"/>
      <c r="D43" s="49"/>
      <c r="E43" s="49"/>
      <c r="F43" s="49"/>
      <c r="G43" s="49"/>
      <c r="H43" s="49"/>
      <c r="I43" s="49"/>
      <c r="J43" s="49"/>
    </row>
    <row r="44" spans="2:10" ht="18" customHeight="1" x14ac:dyDescent="0.25">
      <c r="B44" s="49" t="s">
        <v>100</v>
      </c>
      <c r="C44" s="47"/>
      <c r="D44" s="47"/>
      <c r="E44" s="47"/>
      <c r="F44" s="47"/>
      <c r="I44" s="47"/>
      <c r="J44" s="47"/>
    </row>
    <row r="45" spans="2:10" ht="18" customHeight="1" x14ac:dyDescent="0.25">
      <c r="B45" s="49" t="s">
        <v>101</v>
      </c>
      <c r="C45" s="51"/>
      <c r="D45" s="51"/>
      <c r="E45" s="51"/>
      <c r="F45" s="51"/>
      <c r="G45" s="51"/>
      <c r="H45" s="51"/>
      <c r="I45" s="51"/>
    </row>
    <row r="46" spans="2:10" ht="18" customHeight="1" x14ac:dyDescent="0.25">
      <c r="B46" s="49"/>
      <c r="C46" s="51"/>
      <c r="D46" s="51"/>
      <c r="E46" s="51"/>
      <c r="F46" s="51"/>
      <c r="G46" s="51"/>
      <c r="H46" s="51"/>
      <c r="I46" s="51"/>
    </row>
    <row r="47" spans="2:10" ht="18" customHeight="1" x14ac:dyDescent="0.25">
      <c r="B47" s="49"/>
      <c r="C47" s="51"/>
      <c r="D47" s="51"/>
      <c r="E47" s="51"/>
      <c r="F47" s="51"/>
      <c r="G47" s="51"/>
      <c r="H47" s="51"/>
      <c r="I47" s="51"/>
    </row>
    <row r="48" spans="2:10" ht="18" customHeight="1" x14ac:dyDescent="0.25">
      <c r="B48" s="49"/>
      <c r="C48" s="51"/>
      <c r="D48" s="51"/>
      <c r="E48" s="51"/>
      <c r="F48" s="51"/>
      <c r="G48" s="51"/>
      <c r="H48" s="51"/>
      <c r="I48" s="51"/>
    </row>
    <row r="49" spans="2:10" ht="18" customHeight="1" x14ac:dyDescent="0.25">
      <c r="B49" s="49"/>
      <c r="C49" s="51"/>
      <c r="D49" s="51"/>
      <c r="E49" s="51"/>
      <c r="F49" s="51"/>
      <c r="G49" s="51"/>
      <c r="H49" s="51"/>
      <c r="I49" s="51"/>
    </row>
    <row r="50" spans="2:10" ht="18" customHeight="1" x14ac:dyDescent="0.25">
      <c r="B50" s="49"/>
      <c r="C50" s="51"/>
      <c r="D50" s="51"/>
      <c r="E50" s="51"/>
      <c r="F50" s="51"/>
      <c r="G50" s="51"/>
      <c r="H50" s="51"/>
      <c r="I50" s="51"/>
    </row>
    <row r="51" spans="2:10" ht="18" customHeight="1" x14ac:dyDescent="0.25">
      <c r="B51" s="49"/>
      <c r="C51" s="51"/>
      <c r="D51" s="51"/>
      <c r="E51" s="51"/>
      <c r="F51" s="51"/>
      <c r="G51" s="51"/>
      <c r="H51" s="51"/>
      <c r="I51" s="51"/>
    </row>
    <row r="52" spans="2:10" ht="18" customHeight="1" x14ac:dyDescent="0.25">
      <c r="B52" s="300" t="s">
        <v>304</v>
      </c>
      <c r="C52" s="300"/>
      <c r="D52" s="300"/>
      <c r="E52" s="300"/>
      <c r="F52" s="300"/>
      <c r="G52" s="300"/>
      <c r="H52" s="300"/>
      <c r="I52" s="300"/>
      <c r="J52" s="300"/>
    </row>
    <row r="53" spans="2:10" ht="15" customHeight="1" x14ac:dyDescent="0.25">
      <c r="B53" s="300"/>
      <c r="C53" s="300"/>
      <c r="D53" s="300"/>
      <c r="E53" s="300"/>
      <c r="F53" s="300"/>
      <c r="G53" s="300"/>
      <c r="H53" s="300"/>
      <c r="I53" s="300"/>
      <c r="J53" s="300"/>
    </row>
    <row r="54" spans="2:10" ht="15" customHeight="1" x14ac:dyDescent="0.25">
      <c r="B54" s="300"/>
      <c r="C54" s="300"/>
      <c r="D54" s="300"/>
      <c r="E54" s="300"/>
      <c r="F54" s="300"/>
      <c r="G54" s="300"/>
      <c r="H54" s="300"/>
      <c r="I54" s="300"/>
      <c r="J54" s="300"/>
    </row>
    <row r="55" spans="2:10" ht="15" customHeight="1" x14ac:dyDescent="0.25">
      <c r="B55" s="52"/>
      <c r="C55" s="52"/>
      <c r="D55" s="52"/>
      <c r="E55" s="52"/>
      <c r="F55" s="52"/>
      <c r="G55" s="52"/>
      <c r="H55" s="52"/>
      <c r="I55" s="52"/>
      <c r="J55" s="52"/>
    </row>
    <row r="56" spans="2:10" ht="15" customHeight="1" x14ac:dyDescent="0.25">
      <c r="B56" s="52"/>
      <c r="C56" s="52"/>
      <c r="D56" s="52"/>
      <c r="E56" s="52"/>
      <c r="F56" s="52"/>
      <c r="G56" s="52"/>
      <c r="H56" s="52"/>
      <c r="I56" s="52"/>
      <c r="J56" s="52"/>
    </row>
    <row r="57" spans="2:10" ht="15" customHeight="1" x14ac:dyDescent="0.25">
      <c r="B57" s="47"/>
      <c r="C57" s="47"/>
      <c r="D57" s="47"/>
      <c r="E57" s="47"/>
      <c r="F57" s="47"/>
      <c r="G57" s="47"/>
      <c r="H57" s="47"/>
      <c r="I57" s="47"/>
      <c r="J57" s="47"/>
    </row>
  </sheetData>
  <sheetProtection algorithmName="SHA-512" hashValue="x3A7BAAyNeXpSVzXtuUeOzNlSSe/Jm0Von+A64FXCZ3wHv8wJPlUbxsJyrQG1ahdT6j4eZZk2ijp8/ExxSJSPQ==" saltValue="HsDSFB+Fpcuc2BDY6aXM8A==" spinCount="100000" sheet="1" objects="1" scenarios="1"/>
  <mergeCells count="7">
    <mergeCell ref="B52:J54"/>
    <mergeCell ref="A6:J6"/>
    <mergeCell ref="A5:J5"/>
    <mergeCell ref="A7:J7"/>
    <mergeCell ref="B17:J24"/>
    <mergeCell ref="B27:J29"/>
    <mergeCell ref="B32:J35"/>
  </mergeCells>
  <pageMargins left="0.55118110236220474" right="0.55118110236220474" top="0.6692913385826772" bottom="0.78740157480314965" header="0.51181102362204722" footer="0.51181102362204722"/>
  <pageSetup scale="66" orientation="portrait" horizont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37"/>
  <sheetViews>
    <sheetView zoomScaleNormal="100" workbookViewId="0"/>
  </sheetViews>
  <sheetFormatPr defaultRowHeight="12.5" x14ac:dyDescent="0.25"/>
  <cols>
    <col min="1" max="1" width="3" customWidth="1"/>
    <col min="2" max="2" width="23.1796875" customWidth="1"/>
    <col min="3" max="3" width="47.54296875" customWidth="1"/>
    <col min="4" max="4" width="3.81640625" customWidth="1"/>
    <col min="5" max="5" width="18.54296875" bestFit="1" customWidth="1"/>
    <col min="7" max="8" width="9.1796875" bestFit="1" customWidth="1"/>
    <col min="9" max="9" width="16.81640625" customWidth="1"/>
    <col min="10" max="10" width="16.453125" customWidth="1"/>
    <col min="13" max="13" width="68.54296875" customWidth="1"/>
    <col min="14" max="14" width="9.1796875" customWidth="1"/>
  </cols>
  <sheetData>
    <row r="1" spans="1:10" s="222" customFormat="1" ht="28.5" customHeight="1" x14ac:dyDescent="0.25">
      <c r="A1" s="221"/>
      <c r="B1" s="221"/>
      <c r="C1" s="221"/>
      <c r="D1" s="221"/>
      <c r="E1" s="221"/>
      <c r="F1" s="221"/>
      <c r="G1" s="221"/>
      <c r="H1" s="221"/>
      <c r="I1" s="221"/>
    </row>
    <row r="2" spans="1:10" s="222" customFormat="1" ht="25.5" customHeight="1" x14ac:dyDescent="0.25">
      <c r="A2" s="223" t="s">
        <v>341</v>
      </c>
      <c r="G2" s="224"/>
    </row>
    <row r="3" spans="1:10" ht="18" x14ac:dyDescent="0.4">
      <c r="A3" s="225" t="s">
        <v>342</v>
      </c>
      <c r="B3" s="226"/>
      <c r="C3" s="226"/>
      <c r="D3" s="227"/>
      <c r="E3" s="228"/>
      <c r="G3" s="228"/>
      <c r="I3" s="227" t="s">
        <v>339</v>
      </c>
      <c r="J3" s="228">
        <f ca="1">TODAY()</f>
        <v>45772</v>
      </c>
    </row>
    <row r="4" spans="1:10" ht="9" customHeight="1" x14ac:dyDescent="0.4">
      <c r="A4" s="225"/>
      <c r="B4" s="226"/>
      <c r="C4" s="226"/>
      <c r="D4" s="226"/>
      <c r="E4" s="227"/>
      <c r="F4" s="228"/>
      <c r="G4" s="228"/>
      <c r="I4" s="227"/>
      <c r="J4" s="229"/>
    </row>
    <row r="5" spans="1:10" ht="15" customHeight="1" x14ac:dyDescent="0.45">
      <c r="A5" s="230" t="s">
        <v>340</v>
      </c>
      <c r="B5" s="222"/>
      <c r="C5" s="222"/>
      <c r="E5" s="231"/>
    </row>
    <row r="6" spans="1:10" ht="9" customHeight="1" x14ac:dyDescent="0.25"/>
    <row r="7" spans="1:10" s="1" customFormat="1" ht="15.5" x14ac:dyDescent="0.35">
      <c r="A7" s="12" t="s">
        <v>312</v>
      </c>
      <c r="E7" s="202"/>
      <c r="H7" s="202"/>
    </row>
    <row r="8" spans="1:10" s="1" customFormat="1" ht="15.5" x14ac:dyDescent="0.35">
      <c r="B8" s="1" t="s">
        <v>314</v>
      </c>
      <c r="E8" s="235">
        <v>134</v>
      </c>
      <c r="F8" s="1" t="s">
        <v>313</v>
      </c>
      <c r="G8" s="28" t="s">
        <v>335</v>
      </c>
      <c r="H8" s="3">
        <f>ROUND(E8/30,2)</f>
        <v>4.47</v>
      </c>
      <c r="I8" s="1" t="s">
        <v>334</v>
      </c>
    </row>
    <row r="9" spans="1:10" s="1" customFormat="1" ht="15.5" x14ac:dyDescent="0.35">
      <c r="B9" s="1" t="s">
        <v>315</v>
      </c>
      <c r="E9" s="247">
        <v>0.9</v>
      </c>
      <c r="H9" s="202"/>
    </row>
    <row r="10" spans="1:10" s="1" customFormat="1" ht="15.5" x14ac:dyDescent="0.35">
      <c r="B10" s="1" t="s">
        <v>346</v>
      </c>
      <c r="E10" s="237">
        <v>44702</v>
      </c>
      <c r="H10" s="171" t="s">
        <v>338</v>
      </c>
      <c r="I10" s="220">
        <f>E10+ROUND(E8*E9,0)</f>
        <v>44823</v>
      </c>
      <c r="J10" s="1" t="str">
        <f>", or "&amp;ROUND(E30/G26,0)&amp;" days)"</f>
        <v>, or 121 days)</v>
      </c>
    </row>
    <row r="11" spans="1:10" s="1" customFormat="1" ht="15.5" x14ac:dyDescent="0.35">
      <c r="B11" s="139" t="str">
        <f>"Historical grazing period end date ("&amp;E8&amp;" days)"</f>
        <v>Historical grazing period end date (134 days)</v>
      </c>
      <c r="C11" s="139"/>
      <c r="E11" s="249">
        <f>E10+E8</f>
        <v>44836</v>
      </c>
    </row>
    <row r="12" spans="1:10" s="1" customFormat="1" ht="15.5" x14ac:dyDescent="0.35">
      <c r="B12" s="1" t="s">
        <v>316</v>
      </c>
      <c r="E12" s="240">
        <v>2</v>
      </c>
      <c r="H12" s="202"/>
    </row>
    <row r="13" spans="1:10" s="1" customFormat="1" ht="15.5" x14ac:dyDescent="0.35">
      <c r="B13" s="1" t="s">
        <v>323</v>
      </c>
      <c r="E13" s="241">
        <v>4.1000000000000002E-2</v>
      </c>
      <c r="H13" s="202"/>
    </row>
    <row r="14" spans="1:10" s="1" customFormat="1" ht="15.5" x14ac:dyDescent="0.35">
      <c r="B14" s="1" t="s">
        <v>324</v>
      </c>
      <c r="E14" s="242">
        <v>0.4</v>
      </c>
      <c r="H14" s="202"/>
    </row>
    <row r="15" spans="1:10" s="1" customFormat="1" ht="7.5" customHeight="1" x14ac:dyDescent="0.35"/>
    <row r="16" spans="1:10" s="1" customFormat="1" ht="15.5" x14ac:dyDescent="0.35">
      <c r="A16" s="12" t="s">
        <v>305</v>
      </c>
      <c r="E16" s="238">
        <v>800</v>
      </c>
      <c r="F16" s="1" t="s">
        <v>20</v>
      </c>
    </row>
    <row r="17" spans="1:15" s="1" customFormat="1" ht="7.5" customHeight="1" x14ac:dyDescent="0.35">
      <c r="A17" s="12"/>
      <c r="E17" s="238"/>
    </row>
    <row r="18" spans="1:15" s="1" customFormat="1" ht="15.5" x14ac:dyDescent="0.35">
      <c r="A18" s="12" t="s">
        <v>317</v>
      </c>
      <c r="E18" s="210"/>
    </row>
    <row r="19" spans="1:15" s="1" customFormat="1" ht="16" thickBot="1" x14ac:dyDescent="0.4">
      <c r="A19" s="12"/>
      <c r="B19" s="75" t="s">
        <v>403</v>
      </c>
      <c r="C19" s="75" t="s">
        <v>404</v>
      </c>
      <c r="E19" s="17" t="s">
        <v>310</v>
      </c>
      <c r="G19" s="3" t="s">
        <v>311</v>
      </c>
    </row>
    <row r="20" spans="1:15" s="1" customFormat="1" ht="16" thickBot="1" x14ac:dyDescent="0.4">
      <c r="B20" s="261" t="s">
        <v>377</v>
      </c>
      <c r="C20" s="261" t="s">
        <v>398</v>
      </c>
      <c r="E20" s="235">
        <v>146</v>
      </c>
      <c r="G20" s="211">
        <f>IF(C20="",0,ROUND(VLOOKUP(C20,$C$211:$D$237,2,FALSE)*E20,0))</f>
        <v>190</v>
      </c>
      <c r="O20" s="219"/>
    </row>
    <row r="21" spans="1:15" s="1" customFormat="1" ht="16" thickBot="1" x14ac:dyDescent="0.4">
      <c r="B21" s="261" t="s">
        <v>309</v>
      </c>
      <c r="C21" s="261"/>
      <c r="E21" s="235">
        <v>0</v>
      </c>
      <c r="G21" s="211">
        <f t="shared" ref="G21:G25" si="0">IF(C21="",0,ROUND(VLOOKUP(C21,$C$211:$D$237,2,FALSE)*E21,0))</f>
        <v>0</v>
      </c>
      <c r="O21" s="219"/>
    </row>
    <row r="22" spans="1:15" s="1" customFormat="1" ht="16" thickBot="1" x14ac:dyDescent="0.4">
      <c r="B22" s="261" t="s">
        <v>309</v>
      </c>
      <c r="C22" s="261"/>
      <c r="E22" s="235">
        <v>0</v>
      </c>
      <c r="G22" s="211">
        <f t="shared" si="0"/>
        <v>0</v>
      </c>
      <c r="O22" s="219"/>
    </row>
    <row r="23" spans="1:15" s="1" customFormat="1" ht="16" thickBot="1" x14ac:dyDescent="0.4">
      <c r="B23" s="261" t="s">
        <v>309</v>
      </c>
      <c r="C23" s="261"/>
      <c r="E23" s="235">
        <v>0</v>
      </c>
      <c r="G23" s="211">
        <f t="shared" si="0"/>
        <v>0</v>
      </c>
      <c r="O23" s="219"/>
    </row>
    <row r="24" spans="1:15" s="1" customFormat="1" ht="16" thickBot="1" x14ac:dyDescent="0.4">
      <c r="B24" s="261" t="s">
        <v>309</v>
      </c>
      <c r="C24" s="261"/>
      <c r="E24" s="235">
        <v>0</v>
      </c>
      <c r="G24" s="211">
        <f t="shared" si="0"/>
        <v>0</v>
      </c>
    </row>
    <row r="25" spans="1:15" s="1" customFormat="1" ht="16" thickBot="1" x14ac:dyDescent="0.4">
      <c r="B25" s="261" t="s">
        <v>309</v>
      </c>
      <c r="C25" s="261"/>
      <c r="E25" s="239">
        <v>0</v>
      </c>
      <c r="G25" s="212">
        <f t="shared" si="0"/>
        <v>0</v>
      </c>
    </row>
    <row r="26" spans="1:15" s="1" customFormat="1" ht="15.5" x14ac:dyDescent="0.35">
      <c r="B26" s="107" t="s">
        <v>7</v>
      </c>
      <c r="C26" s="107"/>
      <c r="E26" s="99">
        <f>SUM(E20:E25)</f>
        <v>146</v>
      </c>
      <c r="G26" s="99">
        <f>IF(SUM(G20:G25)&lt;30,0,SUM(G20:G25))</f>
        <v>190</v>
      </c>
    </row>
    <row r="27" spans="1:15" s="1" customFormat="1" ht="15.5" x14ac:dyDescent="0.35"/>
    <row r="28" spans="1:15" s="1" customFormat="1" ht="15.5" x14ac:dyDescent="0.35">
      <c r="A28" s="12" t="s">
        <v>318</v>
      </c>
      <c r="E28" s="202"/>
      <c r="H28" s="202"/>
    </row>
    <row r="29" spans="1:15" s="1" customFormat="1" ht="15.5" x14ac:dyDescent="0.35">
      <c r="B29" s="1" t="str">
        <f>"Animal Unit Days ("&amp;G26&amp;" AU x "&amp;E8&amp;" days)"</f>
        <v>Animal Unit Days (190 AU x 134 days)</v>
      </c>
      <c r="E29" s="99">
        <f>G26*E8</f>
        <v>25460</v>
      </c>
      <c r="F29" s="1" t="s">
        <v>319</v>
      </c>
      <c r="H29" s="202"/>
    </row>
    <row r="30" spans="1:15" s="1" customFormat="1" ht="15.5" x14ac:dyDescent="0.35">
      <c r="B30" s="1" t="str">
        <f>"Pasture Guarantee ("&amp;TEXT(E29,"#,###")&amp;" x "&amp;E9*100&amp;"% or "&amp;ROUND(E30/G26,0)&amp;" days)"</f>
        <v>Pasture Guarantee (25,460 x 90% or 121 days)</v>
      </c>
      <c r="E30" s="99">
        <f>E29*E9</f>
        <v>22914</v>
      </c>
      <c r="F30" s="1" t="s">
        <v>319</v>
      </c>
      <c r="H30" s="202"/>
    </row>
    <row r="31" spans="1:15" s="1" customFormat="1" ht="15.5" x14ac:dyDescent="0.35">
      <c r="B31" s="1" t="str">
        <f>"Estimated Dollar Coverage ("&amp;TEXT(E30,"#,###")&amp;" AU Days x $"&amp;E12&amp;" per AU)"</f>
        <v>Estimated Dollar Coverage (22,914 AU Days x $2 per AU)</v>
      </c>
      <c r="E31" s="11">
        <f>E30*E12</f>
        <v>45828</v>
      </c>
      <c r="H31" s="202"/>
    </row>
    <row r="32" spans="1:15" s="1" customFormat="1" ht="15.5" x14ac:dyDescent="0.35">
      <c r="B32" s="1" t="str">
        <f>"Est. Avg. Coverage ($/head/season) = ($"&amp;TEXT(E31,"#,###")&amp;" ÷ "&amp;E26&amp;" head)"</f>
        <v>Est. Avg. Coverage ($/head/season) = ($45,828 ÷ 146 head)</v>
      </c>
      <c r="E32" s="11">
        <f>E31/E26</f>
        <v>313.89041095890411</v>
      </c>
      <c r="H32" s="202"/>
    </row>
    <row r="33" spans="1:11" s="1" customFormat="1" ht="15.5" x14ac:dyDescent="0.35">
      <c r="B33" s="1" t="str">
        <f>"Est. Avg. Coverage ($/head/day) = ($"&amp;TEXT(E32,"#,###.##")&amp;" ÷ "&amp;E8&amp;" days)"</f>
        <v>Est. Avg. Coverage ($/head/day) = ($313.89 ÷ 134 days)</v>
      </c>
      <c r="E33" s="11">
        <f>E32/E8</f>
        <v>2.3424657534246576</v>
      </c>
      <c r="H33" s="202"/>
    </row>
    <row r="34" spans="1:11" s="1" customFormat="1" ht="15.5" x14ac:dyDescent="0.35">
      <c r="E34" s="11"/>
      <c r="H34" s="202"/>
    </row>
    <row r="35" spans="1:11" s="1" customFormat="1" ht="15.5" x14ac:dyDescent="0.35">
      <c r="A35" s="12" t="s">
        <v>321</v>
      </c>
      <c r="E35" s="202"/>
      <c r="H35" s="202"/>
    </row>
    <row r="36" spans="1:11" s="1" customFormat="1" ht="15.5" x14ac:dyDescent="0.35">
      <c r="B36" s="1" t="s">
        <v>325</v>
      </c>
      <c r="E36" s="202"/>
      <c r="H36" s="202"/>
    </row>
    <row r="37" spans="1:11" s="1" customFormat="1" ht="15.5" x14ac:dyDescent="0.35">
      <c r="B37" s="1" t="str">
        <f>"Premium = ("&amp;E8&amp;" x "&amp;G26&amp;" X "&amp;E9*100&amp;"% x $"&amp;E12&amp;" x "&amp;E13*100&amp;"%)"</f>
        <v>Premium = (134 x 190 X 90% x $2 x 4.1%)</v>
      </c>
      <c r="E37" s="11">
        <f>E8*G26*E9*E12*E13</f>
        <v>1878.9480000000001</v>
      </c>
      <c r="H37" s="202"/>
    </row>
    <row r="38" spans="1:11" s="1" customFormat="1" ht="15.5" x14ac:dyDescent="0.35">
      <c r="B38" s="1" t="str">
        <f>"Estimated Producer Premium = ($"&amp;TEXT(E37,"#,###.##")&amp;" x "&amp;E14*100&amp;"%)"</f>
        <v>Estimated Producer Premium = ($1,878.95 x 40%)</v>
      </c>
      <c r="E38" s="11">
        <f>E37*E14</f>
        <v>751.57920000000013</v>
      </c>
      <c r="F38" s="243" t="str">
        <f>" ("&amp;(E38/E31)*100&amp;" % of insured)"</f>
        <v xml:space="preserve"> (1.64 % of insured)</v>
      </c>
      <c r="H38" s="202"/>
    </row>
    <row r="39" spans="1:11" s="1" customFormat="1" ht="15.5" x14ac:dyDescent="0.35">
      <c r="B39" s="1" t="str">
        <f>"Est. Premium ($/Acre) = ($"&amp;TEXT(E38,"#,###.##")&amp;" ÷ "&amp;E16&amp;" acres)"</f>
        <v>Est. Premium ($/Acre) = ($751.58 ÷ 800 acres)</v>
      </c>
      <c r="E39" s="11">
        <f>E38/E16</f>
        <v>0.93947400000000014</v>
      </c>
      <c r="F39" s="60"/>
      <c r="H39" s="202"/>
      <c r="I39" s="202"/>
      <c r="J39" s="202"/>
      <c r="K39" s="218"/>
    </row>
    <row r="40" spans="1:11" s="1" customFormat="1" ht="15.5" x14ac:dyDescent="0.35">
      <c r="B40" s="1" t="str">
        <f>"Est. Premium ($/head/season) = ($"&amp;TEXT(E38,"#,###.##")&amp;" ÷ "&amp;E26&amp;" head)"</f>
        <v>Est. Premium ($/head/season) = ($751.58 ÷ 146 head)</v>
      </c>
      <c r="E40" s="11">
        <f>E38/E26</f>
        <v>5.1478027397260284</v>
      </c>
      <c r="F40" s="60"/>
      <c r="H40" s="202"/>
      <c r="J40" s="202"/>
    </row>
    <row r="41" spans="1:11" s="1" customFormat="1" ht="15.5" x14ac:dyDescent="0.35">
      <c r="B41" s="1" t="str">
        <f>"Est. Premium ($/head/day) = ($"&amp;TEXT(E40,"#,###.##")&amp;" ÷ "&amp;E8&amp;" days)"</f>
        <v>Est. Premium ($/head/day) = ($5.15 ÷ 134 days)</v>
      </c>
      <c r="E41" s="217">
        <f>E40/E8</f>
        <v>3.8416438356164394E-2</v>
      </c>
      <c r="F41" s="60"/>
      <c r="H41" s="202"/>
      <c r="I41" s="202"/>
      <c r="J41" s="202"/>
    </row>
    <row r="42" spans="1:11" s="1" customFormat="1" ht="15.5" x14ac:dyDescent="0.35">
      <c r="E42" s="202"/>
      <c r="H42" s="202"/>
    </row>
    <row r="43" spans="1:11" s="1" customFormat="1" ht="15.5" x14ac:dyDescent="0.35">
      <c r="A43" s="12" t="s">
        <v>336</v>
      </c>
      <c r="E43" s="202"/>
      <c r="H43" s="202"/>
      <c r="J43" s="248"/>
    </row>
    <row r="44" spans="1:11" s="1" customFormat="1" ht="15.5" x14ac:dyDescent="0.35">
      <c r="B44" s="1" t="s">
        <v>347</v>
      </c>
      <c r="E44" s="237">
        <v>44803</v>
      </c>
      <c r="G44" s="3"/>
      <c r="H44" s="171"/>
      <c r="I44" s="220"/>
      <c r="J44" s="220"/>
    </row>
    <row r="45" spans="1:11" s="1" customFormat="1" ht="15.5" x14ac:dyDescent="0.35">
      <c r="B45" s="1" t="s">
        <v>348</v>
      </c>
      <c r="E45" s="250">
        <f>E44-E10</f>
        <v>101</v>
      </c>
      <c r="F45" s="1" t="s">
        <v>313</v>
      </c>
      <c r="G45" s="220" t="str">
        <f>"("&amp;IF(ROUND(E8*E9,0)-E45&lt;0,0,ROUND(E8*E9,0)-E45)&amp;" days of pasture coverage)"</f>
        <v>(20 days of pasture coverage)</v>
      </c>
      <c r="H45" s="171"/>
    </row>
    <row r="46" spans="1:11" s="1" customFormat="1" ht="15.5" x14ac:dyDescent="0.35">
      <c r="B46" s="1" t="str">
        <f>"Actual Animal Unit Days ("&amp;G26&amp;" AU x "&amp;E45&amp;" days)"</f>
        <v>Actual Animal Unit Days (190 AU x 101 days)</v>
      </c>
      <c r="E46" s="99">
        <f>G26*E45</f>
        <v>19190</v>
      </c>
      <c r="F46" s="1" t="s">
        <v>319</v>
      </c>
      <c r="H46" s="202"/>
    </row>
    <row r="47" spans="1:11" s="1" customFormat="1" ht="15.5" x14ac:dyDescent="0.35">
      <c r="B47" s="1" t="str">
        <f>"Pasture Shortfall ("&amp;TEXT(E30,"#,###")&amp;" - "&amp;TEXT(E46,"#,###")&amp;")"</f>
        <v>Pasture Shortfall (22,914 - 19,190)</v>
      </c>
      <c r="E47" s="99">
        <f>IF(E30-E46&lt;0,0,E30-E46)</f>
        <v>3724</v>
      </c>
      <c r="F47" s="1" t="s">
        <v>319</v>
      </c>
      <c r="G47" s="202"/>
      <c r="H47" s="202"/>
      <c r="K47" s="202"/>
    </row>
    <row r="48" spans="1:11" s="1" customFormat="1" ht="15.5" x14ac:dyDescent="0.35">
      <c r="B48" s="1" t="str">
        <f>"Estimated Indemnity ("&amp;TEXT(E47,"#,###")&amp;" AU Days x $"&amp;E12&amp;")"</f>
        <v>Estimated Indemnity (3,724 AU Days x $2)</v>
      </c>
      <c r="E48" s="11">
        <f>E47*E12</f>
        <v>7448</v>
      </c>
      <c r="F48" s="202"/>
      <c r="K48" s="202"/>
    </row>
    <row r="49" spans="1:11" s="1" customFormat="1" ht="15.5" x14ac:dyDescent="0.35">
      <c r="B49" s="1" t="str">
        <f>"Est. Indemnity ($/Acre) = ($"&amp;TEXT(E48,"#,###")&amp;" ÷ "&amp;E16&amp;" acres)"</f>
        <v>Est. Indemnity ($/Acre) = ($7,448 ÷ 800 acres)</v>
      </c>
      <c r="E49" s="11">
        <f>E48/E16</f>
        <v>9.31</v>
      </c>
      <c r="K49" s="202"/>
    </row>
    <row r="50" spans="1:11" s="1" customFormat="1" ht="15.5" x14ac:dyDescent="0.35">
      <c r="B50" s="1" t="str">
        <f>"Est. Indemnity ($/head/season) = ($"&amp;TEXT(E48,"#,###")&amp;" ÷ "&amp;E26&amp;" head)"</f>
        <v>Est. Indemnity ($/head/season) = ($7,448 ÷ 146 head)</v>
      </c>
      <c r="E50" s="11">
        <f>E48/E26</f>
        <v>51.013698630136986</v>
      </c>
    </row>
    <row r="51" spans="1:11" s="1" customFormat="1" ht="15.5" x14ac:dyDescent="0.35">
      <c r="B51" s="1" t="str">
        <f>"Est. Indemnity ($/head/day) = ($"&amp;TEXT(E50,"#,###.##")&amp;" ÷ "&amp;(ROUND(E8*E9,0)-E45)&amp;" days)"</f>
        <v>Est. Indemnity ($/head/day) = ($51.01 ÷ 20 days)</v>
      </c>
      <c r="E51" s="11">
        <f>IF((ROUND(E8*E9,0)-E45)=0,0,E50/(ROUND(E8*E9,0)-E45))</f>
        <v>2.5506849315068494</v>
      </c>
      <c r="F51" s="202"/>
    </row>
    <row r="52" spans="1:11" s="1" customFormat="1" ht="16" thickBot="1" x14ac:dyDescent="0.4">
      <c r="E52" s="11"/>
      <c r="F52" s="202"/>
    </row>
    <row r="53" spans="1:11" s="1" customFormat="1" ht="18.5" thickBot="1" x14ac:dyDescent="0.45">
      <c r="A53" s="355" t="str">
        <f>"Pasture Insurance Indemnity (based on "&amp;E26&amp;" Head and "&amp;E16&amp;" Acres @ "&amp;E8&amp;" days historic grazing period)"</f>
        <v>Pasture Insurance Indemnity (based on 146 Head and 800 Acres @ 134 days historic grazing period)</v>
      </c>
      <c r="B53" s="356"/>
      <c r="C53" s="356"/>
      <c r="D53" s="356"/>
      <c r="E53" s="356"/>
      <c r="F53" s="356"/>
      <c r="G53" s="356"/>
      <c r="H53" s="356"/>
      <c r="I53" s="356"/>
      <c r="J53" s="357"/>
    </row>
    <row r="54" spans="1:11" s="1" customFormat="1" ht="15.5" x14ac:dyDescent="0.35">
      <c r="E54" s="11"/>
      <c r="F54" s="202"/>
    </row>
    <row r="55" spans="1:11" s="1" customFormat="1" ht="15.5" x14ac:dyDescent="0.35">
      <c r="E55" s="11"/>
      <c r="F55" s="202"/>
    </row>
    <row r="56" spans="1:11" s="1" customFormat="1" ht="15.5" x14ac:dyDescent="0.35">
      <c r="E56" s="11"/>
      <c r="F56" s="202"/>
    </row>
    <row r="57" spans="1:11" s="1" customFormat="1" ht="15.5" x14ac:dyDescent="0.35">
      <c r="E57" s="11"/>
      <c r="F57" s="202"/>
    </row>
    <row r="58" spans="1:11" s="1" customFormat="1" ht="15.5" x14ac:dyDescent="0.35">
      <c r="E58" s="11"/>
      <c r="F58" s="202"/>
    </row>
    <row r="59" spans="1:11" s="1" customFormat="1" ht="15.5" x14ac:dyDescent="0.35">
      <c r="E59" s="11"/>
      <c r="F59" s="202"/>
    </row>
    <row r="60" spans="1:11" s="1" customFormat="1" ht="15.5" x14ac:dyDescent="0.35">
      <c r="E60" s="11"/>
      <c r="F60" s="202"/>
    </row>
    <row r="61" spans="1:11" s="1" customFormat="1" ht="15.5" x14ac:dyDescent="0.35">
      <c r="E61" s="11"/>
      <c r="F61" s="202"/>
    </row>
    <row r="62" spans="1:11" s="1" customFormat="1" ht="15.5" x14ac:dyDescent="0.35">
      <c r="E62" s="11"/>
      <c r="F62" s="202"/>
    </row>
    <row r="63" spans="1:11" s="1" customFormat="1" ht="15.5" x14ac:dyDescent="0.35">
      <c r="E63" s="11"/>
      <c r="F63" s="202"/>
    </row>
    <row r="64" spans="1:11" s="1" customFormat="1" ht="15.5" x14ac:dyDescent="0.35">
      <c r="E64" s="11"/>
      <c r="F64" s="202"/>
    </row>
    <row r="65" spans="1:12" s="1" customFormat="1" ht="15.5" x14ac:dyDescent="0.35">
      <c r="E65" s="11"/>
      <c r="F65" s="202"/>
    </row>
    <row r="66" spans="1:12" s="1" customFormat="1" ht="15.5" x14ac:dyDescent="0.35">
      <c r="E66" s="11"/>
      <c r="F66" s="202"/>
    </row>
    <row r="67" spans="1:12" s="1" customFormat="1" ht="15.5" x14ac:dyDescent="0.35">
      <c r="E67" s="11"/>
      <c r="F67" s="202"/>
    </row>
    <row r="68" spans="1:12" s="1" customFormat="1" ht="15.5" x14ac:dyDescent="0.35">
      <c r="E68" s="11"/>
      <c r="F68" s="202"/>
    </row>
    <row r="69" spans="1:12" s="1" customFormat="1" ht="15.5" x14ac:dyDescent="0.35">
      <c r="E69" s="11"/>
      <c r="F69" s="202"/>
    </row>
    <row r="70" spans="1:12" s="1" customFormat="1" ht="15.5" x14ac:dyDescent="0.35">
      <c r="A70" s="12" t="s">
        <v>350</v>
      </c>
      <c r="E70" s="202"/>
    </row>
    <row r="71" spans="1:12" s="1" customFormat="1" ht="15.5" x14ac:dyDescent="0.35">
      <c r="A71" s="12"/>
      <c r="B71" s="1" t="str">
        <f>"Est. Breakeven removal date from pasture ("&amp;E71-E10&amp;" days)"</f>
        <v>Est. Breakeven removal date from pasture (119 days)</v>
      </c>
      <c r="E71" s="249">
        <f>I10-ROUND((E38/E12)/G26,0)</f>
        <v>44821</v>
      </c>
      <c r="H71" s="171"/>
      <c r="I71" s="220"/>
    </row>
    <row r="72" spans="1:12" s="1" customFormat="1" ht="15.5" x14ac:dyDescent="0.35">
      <c r="A72" s="12"/>
      <c r="B72" s="1" t="str">
        <f>"  (Removal Date Est. Indemnity = $"&amp;ROUND(E38,2)&amp;" Est. Producer Premium)"</f>
        <v xml:space="preserve">  (Removal Date Est. Indemnity = $751.58 Est. Producer Premium)</v>
      </c>
      <c r="E72" s="220"/>
    </row>
    <row r="73" spans="1:12" s="1" customFormat="1" ht="15.5" x14ac:dyDescent="0.35">
      <c r="A73" s="12"/>
      <c r="E73" s="220"/>
    </row>
    <row r="74" spans="1:12" ht="15.5" x14ac:dyDescent="0.35">
      <c r="A74" s="12" t="s">
        <v>240</v>
      </c>
      <c r="D74" s="28"/>
      <c r="E74" s="2"/>
      <c r="F74" s="3"/>
      <c r="G74" s="1"/>
      <c r="I74" s="3"/>
    </row>
    <row r="75" spans="1:12" ht="15.5" x14ac:dyDescent="0.35">
      <c r="A75" s="1" t="s">
        <v>227</v>
      </c>
      <c r="E75" s="158">
        <f>ROUND(G26*$H$8,0)</f>
        <v>849</v>
      </c>
      <c r="I75" s="158"/>
    </row>
    <row r="76" spans="1:12" ht="15.5" x14ac:dyDescent="0.35">
      <c r="A76" s="1" t="s">
        <v>236</v>
      </c>
      <c r="E76" s="138">
        <f>ROUND(E75/E16,2)</f>
        <v>1.06</v>
      </c>
      <c r="I76" s="138"/>
    </row>
    <row r="78" spans="1:12" s="233" customFormat="1" ht="14.25" customHeight="1" x14ac:dyDescent="0.35">
      <c r="A78" s="354" t="s">
        <v>343</v>
      </c>
      <c r="B78" s="354"/>
      <c r="C78" s="354"/>
      <c r="D78" s="354"/>
      <c r="E78" s="354"/>
      <c r="F78" s="354"/>
      <c r="G78" s="354"/>
      <c r="H78" s="354"/>
      <c r="I78" s="354"/>
      <c r="J78" s="232"/>
      <c r="K78" s="232"/>
      <c r="L78" s="232"/>
    </row>
    <row r="79" spans="1:12" s="233" customFormat="1" ht="14.25" customHeight="1" x14ac:dyDescent="0.35">
      <c r="A79" s="354"/>
      <c r="B79" s="354"/>
      <c r="C79" s="354"/>
      <c r="D79" s="354"/>
      <c r="E79" s="354"/>
      <c r="F79" s="354"/>
      <c r="G79" s="354"/>
      <c r="H79" s="354"/>
      <c r="I79" s="354"/>
      <c r="J79" s="232"/>
      <c r="K79" s="232"/>
      <c r="L79" s="232"/>
    </row>
    <row r="80" spans="1:12" ht="12.75" customHeight="1" x14ac:dyDescent="0.3">
      <c r="A80" s="79"/>
      <c r="B80" s="79"/>
      <c r="C80" s="79"/>
      <c r="D80" s="79"/>
      <c r="E80" s="79"/>
      <c r="F80" s="79"/>
      <c r="G80" s="79"/>
      <c r="H80" s="79"/>
      <c r="I80" s="79"/>
      <c r="J80" s="234" t="s">
        <v>349</v>
      </c>
    </row>
    <row r="81" spans="2:10" s="222" customFormat="1" x14ac:dyDescent="0.25"/>
    <row r="82" spans="2:10" s="222" customFormat="1" x14ac:dyDescent="0.25">
      <c r="G82" s="262" t="s">
        <v>358</v>
      </c>
      <c r="H82" s="318" t="s">
        <v>364</v>
      </c>
      <c r="I82" s="318"/>
      <c r="J82" s="318"/>
    </row>
    <row r="83" spans="2:10" s="222" customFormat="1" x14ac:dyDescent="0.25">
      <c r="H83" s="318" t="s">
        <v>405</v>
      </c>
      <c r="I83" s="318"/>
      <c r="J83" s="318"/>
    </row>
    <row r="84" spans="2:10" s="222" customFormat="1" x14ac:dyDescent="0.25"/>
    <row r="85" spans="2:10" s="222" customFormat="1" x14ac:dyDescent="0.25"/>
    <row r="86" spans="2:10" s="222" customFormat="1" x14ac:dyDescent="0.25"/>
    <row r="87" spans="2:10" s="222" customFormat="1" x14ac:dyDescent="0.25"/>
    <row r="88" spans="2:10" s="222" customFormat="1" x14ac:dyDescent="0.25">
      <c r="D88" s="222" t="str">
        <f>"Pasture Insurance Indemnity (based on "&amp;E26&amp;" Head @ "&amp;E8&amp;" days historic grazing period)"</f>
        <v>Pasture Insurance Indemnity (based on 146 Head @ 134 days historic grazing period)</v>
      </c>
    </row>
    <row r="89" spans="2:10" s="222" customFormat="1" x14ac:dyDescent="0.25">
      <c r="B89"/>
      <c r="C89"/>
      <c r="D89" s="251"/>
      <c r="E89" s="252"/>
    </row>
    <row r="90" spans="2:10" s="222" customFormat="1" x14ac:dyDescent="0.25">
      <c r="B90"/>
      <c r="C90"/>
      <c r="D90" s="251" t="s">
        <v>351</v>
      </c>
      <c r="E90" s="252"/>
      <c r="F90" s="222" t="s">
        <v>352</v>
      </c>
    </row>
    <row r="91" spans="2:10" s="222" customFormat="1" x14ac:dyDescent="0.25">
      <c r="B91">
        <f t="shared" ref="B91:B106" si="1">B92-1</f>
        <v>40</v>
      </c>
      <c r="C91"/>
      <c r="D91" s="251">
        <f t="shared" ref="D91:D122" si="2">IF(($E$30-(B91*$G$26))*$E$12&lt;0,0,($E$30-(B91*$G$26))*$E$12)</f>
        <v>30628</v>
      </c>
      <c r="E91" s="252">
        <f t="shared" ref="E91:E106" si="3">B91+$E$10</f>
        <v>44742</v>
      </c>
      <c r="F91" s="253">
        <f>$E$38</f>
        <v>751.57920000000013</v>
      </c>
      <c r="G91" s="222">
        <f>ROUND(E30/G26,0)</f>
        <v>121</v>
      </c>
      <c r="H91" s="253">
        <f t="shared" ref="H91:H122" si="4">IF(($E$30-(G91*$G$26))*$E$12&lt;0,0,($E$30-(G91*$G$26))*$E$12)</f>
        <v>0</v>
      </c>
    </row>
    <row r="92" spans="2:10" s="222" customFormat="1" x14ac:dyDescent="0.25">
      <c r="B92">
        <f t="shared" si="1"/>
        <v>41</v>
      </c>
      <c r="C92"/>
      <c r="D92" s="251">
        <f t="shared" si="2"/>
        <v>30248</v>
      </c>
      <c r="E92" s="252">
        <f t="shared" si="3"/>
        <v>44743</v>
      </c>
      <c r="F92" s="253">
        <f t="shared" ref="F92:F155" si="5">$E$38</f>
        <v>751.57920000000013</v>
      </c>
      <c r="G92" s="222">
        <f>G91-1</f>
        <v>120</v>
      </c>
      <c r="H92" s="253">
        <f t="shared" si="4"/>
        <v>228</v>
      </c>
    </row>
    <row r="93" spans="2:10" s="222" customFormat="1" x14ac:dyDescent="0.25">
      <c r="B93">
        <f t="shared" si="1"/>
        <v>42</v>
      </c>
      <c r="C93"/>
      <c r="D93" s="251">
        <f t="shared" si="2"/>
        <v>29868</v>
      </c>
      <c r="E93" s="252">
        <f t="shared" si="3"/>
        <v>44744</v>
      </c>
      <c r="F93" s="253">
        <f t="shared" si="5"/>
        <v>751.57920000000013</v>
      </c>
      <c r="G93" s="222">
        <f t="shared" ref="G93:G156" si="6">G92-1</f>
        <v>119</v>
      </c>
      <c r="H93" s="253">
        <f t="shared" si="4"/>
        <v>608</v>
      </c>
    </row>
    <row r="94" spans="2:10" s="222" customFormat="1" x14ac:dyDescent="0.25">
      <c r="B94">
        <f t="shared" si="1"/>
        <v>43</v>
      </c>
      <c r="C94"/>
      <c r="D94" s="251">
        <f t="shared" si="2"/>
        <v>29488</v>
      </c>
      <c r="E94" s="252">
        <f t="shared" si="3"/>
        <v>44745</v>
      </c>
      <c r="F94" s="253">
        <f t="shared" si="5"/>
        <v>751.57920000000013</v>
      </c>
      <c r="G94" s="222">
        <f t="shared" si="6"/>
        <v>118</v>
      </c>
      <c r="H94" s="253">
        <f t="shared" si="4"/>
        <v>988</v>
      </c>
    </row>
    <row r="95" spans="2:10" s="222" customFormat="1" x14ac:dyDescent="0.25">
      <c r="B95">
        <f t="shared" si="1"/>
        <v>44</v>
      </c>
      <c r="C95"/>
      <c r="D95" s="251">
        <f t="shared" si="2"/>
        <v>29108</v>
      </c>
      <c r="E95" s="252">
        <f t="shared" si="3"/>
        <v>44746</v>
      </c>
      <c r="F95" s="253">
        <f t="shared" si="5"/>
        <v>751.57920000000013</v>
      </c>
      <c r="G95" s="222">
        <f t="shared" si="6"/>
        <v>117</v>
      </c>
      <c r="H95" s="253">
        <f t="shared" si="4"/>
        <v>1368</v>
      </c>
    </row>
    <row r="96" spans="2:10" s="222" customFormat="1" x14ac:dyDescent="0.25">
      <c r="B96">
        <f t="shared" si="1"/>
        <v>45</v>
      </c>
      <c r="C96"/>
      <c r="D96" s="251">
        <f t="shared" si="2"/>
        <v>28728</v>
      </c>
      <c r="E96" s="252">
        <f t="shared" si="3"/>
        <v>44747</v>
      </c>
      <c r="F96" s="253">
        <f t="shared" si="5"/>
        <v>751.57920000000013</v>
      </c>
      <c r="G96" s="222">
        <f t="shared" si="6"/>
        <v>116</v>
      </c>
      <c r="H96" s="253">
        <f t="shared" si="4"/>
        <v>1748</v>
      </c>
    </row>
    <row r="97" spans="2:8" s="222" customFormat="1" x14ac:dyDescent="0.25">
      <c r="B97">
        <f t="shared" si="1"/>
        <v>46</v>
      </c>
      <c r="C97"/>
      <c r="D97" s="251">
        <f t="shared" si="2"/>
        <v>28348</v>
      </c>
      <c r="E97" s="252">
        <f t="shared" si="3"/>
        <v>44748</v>
      </c>
      <c r="F97" s="253">
        <f t="shared" si="5"/>
        <v>751.57920000000013</v>
      </c>
      <c r="G97" s="222">
        <f t="shared" si="6"/>
        <v>115</v>
      </c>
      <c r="H97" s="253">
        <f t="shared" si="4"/>
        <v>2128</v>
      </c>
    </row>
    <row r="98" spans="2:8" s="222" customFormat="1" x14ac:dyDescent="0.25">
      <c r="B98">
        <f t="shared" si="1"/>
        <v>47</v>
      </c>
      <c r="C98"/>
      <c r="D98" s="251">
        <f t="shared" si="2"/>
        <v>27968</v>
      </c>
      <c r="E98" s="252">
        <f t="shared" si="3"/>
        <v>44749</v>
      </c>
      <c r="F98" s="253">
        <f t="shared" si="5"/>
        <v>751.57920000000013</v>
      </c>
      <c r="G98" s="222">
        <f t="shared" si="6"/>
        <v>114</v>
      </c>
      <c r="H98" s="253">
        <f t="shared" si="4"/>
        <v>2508</v>
      </c>
    </row>
    <row r="99" spans="2:8" s="222" customFormat="1" x14ac:dyDescent="0.25">
      <c r="B99">
        <f t="shared" si="1"/>
        <v>48</v>
      </c>
      <c r="C99"/>
      <c r="D99" s="251">
        <f t="shared" si="2"/>
        <v>27588</v>
      </c>
      <c r="E99" s="252">
        <f t="shared" si="3"/>
        <v>44750</v>
      </c>
      <c r="F99" s="253">
        <f t="shared" si="5"/>
        <v>751.57920000000013</v>
      </c>
      <c r="G99" s="222">
        <f t="shared" si="6"/>
        <v>113</v>
      </c>
      <c r="H99" s="253">
        <f t="shared" si="4"/>
        <v>2888</v>
      </c>
    </row>
    <row r="100" spans="2:8" s="222" customFormat="1" x14ac:dyDescent="0.25">
      <c r="B100">
        <f t="shared" si="1"/>
        <v>49</v>
      </c>
      <c r="C100"/>
      <c r="D100" s="251">
        <f t="shared" si="2"/>
        <v>27208</v>
      </c>
      <c r="E100" s="252">
        <f t="shared" si="3"/>
        <v>44751</v>
      </c>
      <c r="F100" s="253">
        <f t="shared" si="5"/>
        <v>751.57920000000013</v>
      </c>
      <c r="G100" s="222">
        <f t="shared" si="6"/>
        <v>112</v>
      </c>
      <c r="H100" s="253">
        <f t="shared" si="4"/>
        <v>3268</v>
      </c>
    </row>
    <row r="101" spans="2:8" s="222" customFormat="1" x14ac:dyDescent="0.25">
      <c r="B101">
        <f t="shared" si="1"/>
        <v>50</v>
      </c>
      <c r="C101"/>
      <c r="D101" s="251">
        <f t="shared" si="2"/>
        <v>26828</v>
      </c>
      <c r="E101" s="252">
        <f t="shared" si="3"/>
        <v>44752</v>
      </c>
      <c r="F101" s="253">
        <f t="shared" si="5"/>
        <v>751.57920000000013</v>
      </c>
      <c r="G101" s="222">
        <f t="shared" si="6"/>
        <v>111</v>
      </c>
      <c r="H101" s="253">
        <f t="shared" si="4"/>
        <v>3648</v>
      </c>
    </row>
    <row r="102" spans="2:8" s="222" customFormat="1" x14ac:dyDescent="0.25">
      <c r="B102">
        <f t="shared" si="1"/>
        <v>51</v>
      </c>
      <c r="C102"/>
      <c r="D102" s="251">
        <f t="shared" si="2"/>
        <v>26448</v>
      </c>
      <c r="E102" s="252">
        <f t="shared" si="3"/>
        <v>44753</v>
      </c>
      <c r="F102" s="253">
        <f t="shared" si="5"/>
        <v>751.57920000000013</v>
      </c>
      <c r="G102" s="222">
        <f t="shared" si="6"/>
        <v>110</v>
      </c>
      <c r="H102" s="253">
        <f t="shared" si="4"/>
        <v>4028</v>
      </c>
    </row>
    <row r="103" spans="2:8" s="222" customFormat="1" x14ac:dyDescent="0.25">
      <c r="B103">
        <f t="shared" si="1"/>
        <v>52</v>
      </c>
      <c r="C103"/>
      <c r="D103" s="251">
        <f t="shared" si="2"/>
        <v>26068</v>
      </c>
      <c r="E103" s="252">
        <f t="shared" si="3"/>
        <v>44754</v>
      </c>
      <c r="F103" s="253">
        <f t="shared" si="5"/>
        <v>751.57920000000013</v>
      </c>
      <c r="G103" s="222">
        <f t="shared" si="6"/>
        <v>109</v>
      </c>
      <c r="H103" s="253">
        <f t="shared" si="4"/>
        <v>4408</v>
      </c>
    </row>
    <row r="104" spans="2:8" s="222" customFormat="1" x14ac:dyDescent="0.25">
      <c r="B104">
        <f t="shared" si="1"/>
        <v>53</v>
      </c>
      <c r="C104"/>
      <c r="D104" s="251">
        <f t="shared" si="2"/>
        <v>25688</v>
      </c>
      <c r="E104" s="252">
        <f t="shared" si="3"/>
        <v>44755</v>
      </c>
      <c r="F104" s="253">
        <f t="shared" si="5"/>
        <v>751.57920000000013</v>
      </c>
      <c r="G104" s="222">
        <f t="shared" si="6"/>
        <v>108</v>
      </c>
      <c r="H104" s="253">
        <f t="shared" si="4"/>
        <v>4788</v>
      </c>
    </row>
    <row r="105" spans="2:8" s="222" customFormat="1" x14ac:dyDescent="0.25">
      <c r="B105">
        <f t="shared" si="1"/>
        <v>54</v>
      </c>
      <c r="C105"/>
      <c r="D105" s="251">
        <f t="shared" si="2"/>
        <v>25308</v>
      </c>
      <c r="E105" s="252">
        <f t="shared" si="3"/>
        <v>44756</v>
      </c>
      <c r="F105" s="253">
        <f t="shared" si="5"/>
        <v>751.57920000000013</v>
      </c>
      <c r="G105" s="222">
        <f t="shared" si="6"/>
        <v>107</v>
      </c>
      <c r="H105" s="253">
        <f t="shared" si="4"/>
        <v>5168</v>
      </c>
    </row>
    <row r="106" spans="2:8" s="222" customFormat="1" x14ac:dyDescent="0.25">
      <c r="B106">
        <f t="shared" si="1"/>
        <v>55</v>
      </c>
      <c r="C106"/>
      <c r="D106" s="251">
        <f t="shared" si="2"/>
        <v>24928</v>
      </c>
      <c r="E106" s="252">
        <f t="shared" si="3"/>
        <v>44757</v>
      </c>
      <c r="F106" s="253">
        <f t="shared" si="5"/>
        <v>751.57920000000013</v>
      </c>
      <c r="G106" s="222">
        <f t="shared" si="6"/>
        <v>106</v>
      </c>
      <c r="H106" s="253">
        <f t="shared" si="4"/>
        <v>5548</v>
      </c>
    </row>
    <row r="107" spans="2:8" s="222" customFormat="1" x14ac:dyDescent="0.25">
      <c r="B107">
        <f t="shared" ref="B107:B132" si="7">B108-1</f>
        <v>56</v>
      </c>
      <c r="C107"/>
      <c r="D107" s="251">
        <f t="shared" si="2"/>
        <v>24548</v>
      </c>
      <c r="E107" s="252">
        <f t="shared" ref="E107:E132" si="8">B107+$E$10</f>
        <v>44758</v>
      </c>
      <c r="F107" s="253">
        <f t="shared" si="5"/>
        <v>751.57920000000013</v>
      </c>
      <c r="G107" s="222">
        <f t="shared" si="6"/>
        <v>105</v>
      </c>
      <c r="H107" s="253">
        <f t="shared" si="4"/>
        <v>5928</v>
      </c>
    </row>
    <row r="108" spans="2:8" s="222" customFormat="1" x14ac:dyDescent="0.25">
      <c r="B108">
        <f t="shared" si="7"/>
        <v>57</v>
      </c>
      <c r="C108"/>
      <c r="D108" s="251">
        <f t="shared" si="2"/>
        <v>24168</v>
      </c>
      <c r="E108" s="252">
        <f t="shared" si="8"/>
        <v>44759</v>
      </c>
      <c r="F108" s="253">
        <f t="shared" si="5"/>
        <v>751.57920000000013</v>
      </c>
      <c r="G108" s="222">
        <f t="shared" si="6"/>
        <v>104</v>
      </c>
      <c r="H108" s="253">
        <f t="shared" si="4"/>
        <v>6308</v>
      </c>
    </row>
    <row r="109" spans="2:8" s="222" customFormat="1" x14ac:dyDescent="0.25">
      <c r="B109">
        <f t="shared" si="7"/>
        <v>58</v>
      </c>
      <c r="C109"/>
      <c r="D109" s="251">
        <f t="shared" si="2"/>
        <v>23788</v>
      </c>
      <c r="E109" s="252">
        <f t="shared" si="8"/>
        <v>44760</v>
      </c>
      <c r="F109" s="253">
        <f t="shared" si="5"/>
        <v>751.57920000000013</v>
      </c>
      <c r="G109" s="222">
        <f t="shared" si="6"/>
        <v>103</v>
      </c>
      <c r="H109" s="253">
        <f t="shared" si="4"/>
        <v>6688</v>
      </c>
    </row>
    <row r="110" spans="2:8" s="222" customFormat="1" x14ac:dyDescent="0.25">
      <c r="B110">
        <f t="shared" si="7"/>
        <v>59</v>
      </c>
      <c r="C110"/>
      <c r="D110" s="251">
        <f t="shared" si="2"/>
        <v>23408</v>
      </c>
      <c r="E110" s="252">
        <f t="shared" si="8"/>
        <v>44761</v>
      </c>
      <c r="F110" s="253">
        <f t="shared" si="5"/>
        <v>751.57920000000013</v>
      </c>
      <c r="G110" s="222">
        <f t="shared" si="6"/>
        <v>102</v>
      </c>
      <c r="H110" s="253">
        <f t="shared" si="4"/>
        <v>7068</v>
      </c>
    </row>
    <row r="111" spans="2:8" s="222" customFormat="1" x14ac:dyDescent="0.25">
      <c r="B111">
        <f t="shared" si="7"/>
        <v>60</v>
      </c>
      <c r="C111"/>
      <c r="D111" s="251">
        <f t="shared" si="2"/>
        <v>23028</v>
      </c>
      <c r="E111" s="252">
        <f t="shared" si="8"/>
        <v>44762</v>
      </c>
      <c r="F111" s="253">
        <f t="shared" si="5"/>
        <v>751.57920000000013</v>
      </c>
      <c r="G111" s="222">
        <f t="shared" si="6"/>
        <v>101</v>
      </c>
      <c r="H111" s="253">
        <f t="shared" si="4"/>
        <v>7448</v>
      </c>
    </row>
    <row r="112" spans="2:8" s="222" customFormat="1" x14ac:dyDescent="0.25">
      <c r="B112">
        <f t="shared" si="7"/>
        <v>61</v>
      </c>
      <c r="C112"/>
      <c r="D112" s="251">
        <f t="shared" si="2"/>
        <v>22648</v>
      </c>
      <c r="E112" s="252">
        <f t="shared" si="8"/>
        <v>44763</v>
      </c>
      <c r="F112" s="253">
        <f t="shared" si="5"/>
        <v>751.57920000000013</v>
      </c>
      <c r="G112" s="222">
        <f t="shared" si="6"/>
        <v>100</v>
      </c>
      <c r="H112" s="253">
        <f t="shared" si="4"/>
        <v>7828</v>
      </c>
    </row>
    <row r="113" spans="2:8" s="222" customFormat="1" x14ac:dyDescent="0.25">
      <c r="B113">
        <f t="shared" si="7"/>
        <v>62</v>
      </c>
      <c r="C113"/>
      <c r="D113" s="251">
        <f t="shared" si="2"/>
        <v>22268</v>
      </c>
      <c r="E113" s="252">
        <f t="shared" si="8"/>
        <v>44764</v>
      </c>
      <c r="F113" s="253">
        <f t="shared" si="5"/>
        <v>751.57920000000013</v>
      </c>
      <c r="G113" s="222">
        <f t="shared" si="6"/>
        <v>99</v>
      </c>
      <c r="H113" s="253">
        <f t="shared" si="4"/>
        <v>8208</v>
      </c>
    </row>
    <row r="114" spans="2:8" s="222" customFormat="1" x14ac:dyDescent="0.25">
      <c r="B114">
        <f t="shared" si="7"/>
        <v>63</v>
      </c>
      <c r="C114"/>
      <c r="D114" s="251">
        <f t="shared" si="2"/>
        <v>21888</v>
      </c>
      <c r="E114" s="252">
        <f t="shared" si="8"/>
        <v>44765</v>
      </c>
      <c r="F114" s="253">
        <f t="shared" si="5"/>
        <v>751.57920000000013</v>
      </c>
      <c r="G114" s="222">
        <f t="shared" si="6"/>
        <v>98</v>
      </c>
      <c r="H114" s="253">
        <f t="shared" si="4"/>
        <v>8588</v>
      </c>
    </row>
    <row r="115" spans="2:8" s="222" customFormat="1" x14ac:dyDescent="0.25">
      <c r="B115">
        <f t="shared" si="7"/>
        <v>64</v>
      </c>
      <c r="C115"/>
      <c r="D115" s="251">
        <f t="shared" si="2"/>
        <v>21508</v>
      </c>
      <c r="E115" s="252">
        <f t="shared" si="8"/>
        <v>44766</v>
      </c>
      <c r="F115" s="253">
        <f t="shared" si="5"/>
        <v>751.57920000000013</v>
      </c>
      <c r="G115" s="222">
        <f t="shared" si="6"/>
        <v>97</v>
      </c>
      <c r="H115" s="253">
        <f t="shared" si="4"/>
        <v>8968</v>
      </c>
    </row>
    <row r="116" spans="2:8" s="222" customFormat="1" x14ac:dyDescent="0.25">
      <c r="B116">
        <f t="shared" si="7"/>
        <v>65</v>
      </c>
      <c r="C116"/>
      <c r="D116" s="251">
        <f t="shared" si="2"/>
        <v>21128</v>
      </c>
      <c r="E116" s="252">
        <f t="shared" si="8"/>
        <v>44767</v>
      </c>
      <c r="F116" s="253">
        <f t="shared" si="5"/>
        <v>751.57920000000013</v>
      </c>
      <c r="G116" s="222">
        <f t="shared" si="6"/>
        <v>96</v>
      </c>
      <c r="H116" s="253">
        <f t="shared" si="4"/>
        <v>9348</v>
      </c>
    </row>
    <row r="117" spans="2:8" s="222" customFormat="1" x14ac:dyDescent="0.25">
      <c r="B117">
        <f t="shared" si="7"/>
        <v>66</v>
      </c>
      <c r="C117"/>
      <c r="D117" s="251">
        <f t="shared" si="2"/>
        <v>20748</v>
      </c>
      <c r="E117" s="252">
        <f t="shared" si="8"/>
        <v>44768</v>
      </c>
      <c r="F117" s="253">
        <f t="shared" si="5"/>
        <v>751.57920000000013</v>
      </c>
      <c r="G117" s="222">
        <f t="shared" si="6"/>
        <v>95</v>
      </c>
      <c r="H117" s="253">
        <f t="shared" si="4"/>
        <v>9728</v>
      </c>
    </row>
    <row r="118" spans="2:8" s="222" customFormat="1" x14ac:dyDescent="0.25">
      <c r="B118">
        <f t="shared" si="7"/>
        <v>67</v>
      </c>
      <c r="C118"/>
      <c r="D118" s="251">
        <f t="shared" si="2"/>
        <v>20368</v>
      </c>
      <c r="E118" s="252">
        <f t="shared" si="8"/>
        <v>44769</v>
      </c>
      <c r="F118" s="253">
        <f t="shared" si="5"/>
        <v>751.57920000000013</v>
      </c>
      <c r="G118" s="222">
        <f t="shared" si="6"/>
        <v>94</v>
      </c>
      <c r="H118" s="253">
        <f t="shared" si="4"/>
        <v>10108</v>
      </c>
    </row>
    <row r="119" spans="2:8" s="222" customFormat="1" x14ac:dyDescent="0.25">
      <c r="B119">
        <f t="shared" si="7"/>
        <v>68</v>
      </c>
      <c r="C119"/>
      <c r="D119" s="251">
        <f t="shared" si="2"/>
        <v>19988</v>
      </c>
      <c r="E119" s="252">
        <f t="shared" si="8"/>
        <v>44770</v>
      </c>
      <c r="F119" s="253">
        <f t="shared" si="5"/>
        <v>751.57920000000013</v>
      </c>
      <c r="G119" s="222">
        <f t="shared" si="6"/>
        <v>93</v>
      </c>
      <c r="H119" s="253">
        <f t="shared" si="4"/>
        <v>10488</v>
      </c>
    </row>
    <row r="120" spans="2:8" s="222" customFormat="1" x14ac:dyDescent="0.25">
      <c r="B120">
        <f t="shared" si="7"/>
        <v>69</v>
      </c>
      <c r="C120"/>
      <c r="D120" s="251">
        <f t="shared" si="2"/>
        <v>19608</v>
      </c>
      <c r="E120" s="252">
        <f t="shared" si="8"/>
        <v>44771</v>
      </c>
      <c r="F120" s="253">
        <f t="shared" si="5"/>
        <v>751.57920000000013</v>
      </c>
      <c r="G120" s="222">
        <f t="shared" si="6"/>
        <v>92</v>
      </c>
      <c r="H120" s="253">
        <f t="shared" si="4"/>
        <v>10868</v>
      </c>
    </row>
    <row r="121" spans="2:8" s="222" customFormat="1" x14ac:dyDescent="0.25">
      <c r="B121">
        <f t="shared" si="7"/>
        <v>70</v>
      </c>
      <c r="C121"/>
      <c r="D121" s="251">
        <f t="shared" si="2"/>
        <v>19228</v>
      </c>
      <c r="E121" s="252">
        <f t="shared" si="8"/>
        <v>44772</v>
      </c>
      <c r="F121" s="253">
        <f t="shared" si="5"/>
        <v>751.57920000000013</v>
      </c>
      <c r="G121" s="222">
        <f t="shared" si="6"/>
        <v>91</v>
      </c>
      <c r="H121" s="253">
        <f t="shared" si="4"/>
        <v>11248</v>
      </c>
    </row>
    <row r="122" spans="2:8" s="222" customFormat="1" x14ac:dyDescent="0.25">
      <c r="B122">
        <f t="shared" si="7"/>
        <v>71</v>
      </c>
      <c r="C122"/>
      <c r="D122" s="251">
        <f t="shared" si="2"/>
        <v>18848</v>
      </c>
      <c r="E122" s="252">
        <f t="shared" si="8"/>
        <v>44773</v>
      </c>
      <c r="F122" s="253">
        <f t="shared" si="5"/>
        <v>751.57920000000013</v>
      </c>
      <c r="G122" s="222">
        <f t="shared" si="6"/>
        <v>90</v>
      </c>
      <c r="H122" s="253">
        <f t="shared" si="4"/>
        <v>11628</v>
      </c>
    </row>
    <row r="123" spans="2:8" s="222" customFormat="1" x14ac:dyDescent="0.25">
      <c r="B123">
        <f t="shared" si="7"/>
        <v>72</v>
      </c>
      <c r="C123"/>
      <c r="D123" s="251">
        <f t="shared" ref="D123:D154" si="9">IF(($E$30-(B123*$G$26))*$E$12&lt;0,0,($E$30-(B123*$G$26))*$E$12)</f>
        <v>18468</v>
      </c>
      <c r="E123" s="252">
        <f t="shared" si="8"/>
        <v>44774</v>
      </c>
      <c r="F123" s="253">
        <f t="shared" si="5"/>
        <v>751.57920000000013</v>
      </c>
      <c r="G123" s="222">
        <f t="shared" si="6"/>
        <v>89</v>
      </c>
      <c r="H123" s="253">
        <f t="shared" ref="H123:H154" si="10">IF(($E$30-(G123*$G$26))*$E$12&lt;0,0,($E$30-(G123*$G$26))*$E$12)</f>
        <v>12008</v>
      </c>
    </row>
    <row r="124" spans="2:8" s="222" customFormat="1" x14ac:dyDescent="0.25">
      <c r="B124">
        <f t="shared" si="7"/>
        <v>73</v>
      </c>
      <c r="C124"/>
      <c r="D124" s="251">
        <f t="shared" si="9"/>
        <v>18088</v>
      </c>
      <c r="E124" s="252">
        <f t="shared" si="8"/>
        <v>44775</v>
      </c>
      <c r="F124" s="253">
        <f t="shared" si="5"/>
        <v>751.57920000000013</v>
      </c>
      <c r="G124" s="222">
        <f t="shared" si="6"/>
        <v>88</v>
      </c>
      <c r="H124" s="253">
        <f t="shared" si="10"/>
        <v>12388</v>
      </c>
    </row>
    <row r="125" spans="2:8" s="222" customFormat="1" x14ac:dyDescent="0.25">
      <c r="B125">
        <f t="shared" si="7"/>
        <v>74</v>
      </c>
      <c r="C125"/>
      <c r="D125" s="251">
        <f t="shared" si="9"/>
        <v>17708</v>
      </c>
      <c r="E125" s="252">
        <f t="shared" si="8"/>
        <v>44776</v>
      </c>
      <c r="F125" s="253">
        <f t="shared" si="5"/>
        <v>751.57920000000013</v>
      </c>
      <c r="G125" s="222">
        <f t="shared" si="6"/>
        <v>87</v>
      </c>
      <c r="H125" s="253">
        <f t="shared" si="10"/>
        <v>12768</v>
      </c>
    </row>
    <row r="126" spans="2:8" s="222" customFormat="1" x14ac:dyDescent="0.25">
      <c r="B126">
        <f t="shared" si="7"/>
        <v>75</v>
      </c>
      <c r="C126"/>
      <c r="D126" s="251">
        <f t="shared" si="9"/>
        <v>17328</v>
      </c>
      <c r="E126" s="252">
        <f t="shared" si="8"/>
        <v>44777</v>
      </c>
      <c r="F126" s="253">
        <f t="shared" si="5"/>
        <v>751.57920000000013</v>
      </c>
      <c r="G126" s="222">
        <f t="shared" si="6"/>
        <v>86</v>
      </c>
      <c r="H126" s="253">
        <f t="shared" si="10"/>
        <v>13148</v>
      </c>
    </row>
    <row r="127" spans="2:8" s="222" customFormat="1" x14ac:dyDescent="0.25">
      <c r="B127">
        <f t="shared" si="7"/>
        <v>76</v>
      </c>
      <c r="C127"/>
      <c r="D127" s="251">
        <f t="shared" si="9"/>
        <v>16948</v>
      </c>
      <c r="E127" s="252">
        <f t="shared" si="8"/>
        <v>44778</v>
      </c>
      <c r="F127" s="253">
        <f t="shared" si="5"/>
        <v>751.57920000000013</v>
      </c>
      <c r="G127" s="222">
        <f t="shared" si="6"/>
        <v>85</v>
      </c>
      <c r="H127" s="253">
        <f t="shared" si="10"/>
        <v>13528</v>
      </c>
    </row>
    <row r="128" spans="2:8" s="222" customFormat="1" x14ac:dyDescent="0.25">
      <c r="B128">
        <f t="shared" si="7"/>
        <v>77</v>
      </c>
      <c r="C128"/>
      <c r="D128" s="251">
        <f t="shared" si="9"/>
        <v>16568</v>
      </c>
      <c r="E128" s="252">
        <f t="shared" si="8"/>
        <v>44779</v>
      </c>
      <c r="F128" s="253">
        <f t="shared" si="5"/>
        <v>751.57920000000013</v>
      </c>
      <c r="G128" s="222">
        <f t="shared" si="6"/>
        <v>84</v>
      </c>
      <c r="H128" s="253">
        <f t="shared" si="10"/>
        <v>13908</v>
      </c>
    </row>
    <row r="129" spans="2:8" s="222" customFormat="1" x14ac:dyDescent="0.25">
      <c r="B129">
        <f t="shared" si="7"/>
        <v>78</v>
      </c>
      <c r="C129"/>
      <c r="D129" s="251">
        <f t="shared" si="9"/>
        <v>16188</v>
      </c>
      <c r="E129" s="252">
        <f t="shared" si="8"/>
        <v>44780</v>
      </c>
      <c r="F129" s="253">
        <f t="shared" si="5"/>
        <v>751.57920000000013</v>
      </c>
      <c r="G129" s="222">
        <f t="shared" si="6"/>
        <v>83</v>
      </c>
      <c r="H129" s="253">
        <f t="shared" si="10"/>
        <v>14288</v>
      </c>
    </row>
    <row r="130" spans="2:8" s="222" customFormat="1" x14ac:dyDescent="0.25">
      <c r="B130">
        <f t="shared" si="7"/>
        <v>79</v>
      </c>
      <c r="C130"/>
      <c r="D130" s="251">
        <f t="shared" si="9"/>
        <v>15808</v>
      </c>
      <c r="E130" s="252">
        <f t="shared" si="8"/>
        <v>44781</v>
      </c>
      <c r="F130" s="253">
        <f t="shared" si="5"/>
        <v>751.57920000000013</v>
      </c>
      <c r="G130" s="222">
        <f t="shared" si="6"/>
        <v>82</v>
      </c>
      <c r="H130" s="253">
        <f t="shared" si="10"/>
        <v>14668</v>
      </c>
    </row>
    <row r="131" spans="2:8" x14ac:dyDescent="0.25">
      <c r="B131">
        <f t="shared" si="7"/>
        <v>80</v>
      </c>
      <c r="D131" s="251">
        <f t="shared" si="9"/>
        <v>15428</v>
      </c>
      <c r="E131" s="252">
        <f t="shared" si="8"/>
        <v>44782</v>
      </c>
      <c r="F131" s="253">
        <f t="shared" si="5"/>
        <v>751.57920000000013</v>
      </c>
      <c r="G131" s="222">
        <f t="shared" si="6"/>
        <v>81</v>
      </c>
      <c r="H131" s="253">
        <f t="shared" si="10"/>
        <v>15048</v>
      </c>
    </row>
    <row r="132" spans="2:8" x14ac:dyDescent="0.25">
      <c r="B132">
        <f t="shared" si="7"/>
        <v>81</v>
      </c>
      <c r="D132" s="251">
        <f t="shared" si="9"/>
        <v>15048</v>
      </c>
      <c r="E132" s="252">
        <f t="shared" si="8"/>
        <v>44783</v>
      </c>
      <c r="F132" s="253">
        <f t="shared" si="5"/>
        <v>751.57920000000013</v>
      </c>
      <c r="G132" s="222">
        <f t="shared" si="6"/>
        <v>80</v>
      </c>
      <c r="H132" s="253">
        <f t="shared" si="10"/>
        <v>15428</v>
      </c>
    </row>
    <row r="133" spans="2:8" x14ac:dyDescent="0.25">
      <c r="B133">
        <f t="shared" ref="B133:B151" si="11">B134-1</f>
        <v>82</v>
      </c>
      <c r="D133" s="251">
        <f t="shared" si="9"/>
        <v>14668</v>
      </c>
      <c r="E133" s="252">
        <f t="shared" ref="E133:E171" si="12">B133+$E$10</f>
        <v>44784</v>
      </c>
      <c r="F133" s="253">
        <f t="shared" si="5"/>
        <v>751.57920000000013</v>
      </c>
      <c r="G133" s="222">
        <f t="shared" si="6"/>
        <v>79</v>
      </c>
      <c r="H133" s="253">
        <f t="shared" si="10"/>
        <v>15808</v>
      </c>
    </row>
    <row r="134" spans="2:8" x14ac:dyDescent="0.25">
      <c r="B134">
        <f t="shared" si="11"/>
        <v>83</v>
      </c>
      <c r="D134" s="251">
        <f t="shared" si="9"/>
        <v>14288</v>
      </c>
      <c r="E134" s="252">
        <f t="shared" si="12"/>
        <v>44785</v>
      </c>
      <c r="F134" s="253">
        <f t="shared" si="5"/>
        <v>751.57920000000013</v>
      </c>
      <c r="G134" s="222">
        <f t="shared" si="6"/>
        <v>78</v>
      </c>
      <c r="H134" s="253">
        <f t="shared" si="10"/>
        <v>16188</v>
      </c>
    </row>
    <row r="135" spans="2:8" x14ac:dyDescent="0.25">
      <c r="B135">
        <f t="shared" si="11"/>
        <v>84</v>
      </c>
      <c r="D135" s="251">
        <f t="shared" si="9"/>
        <v>13908</v>
      </c>
      <c r="E135" s="252">
        <f t="shared" si="12"/>
        <v>44786</v>
      </c>
      <c r="F135" s="253">
        <f t="shared" si="5"/>
        <v>751.57920000000013</v>
      </c>
      <c r="G135" s="222">
        <f t="shared" si="6"/>
        <v>77</v>
      </c>
      <c r="H135" s="253">
        <f t="shared" si="10"/>
        <v>16568</v>
      </c>
    </row>
    <row r="136" spans="2:8" x14ac:dyDescent="0.25">
      <c r="B136">
        <f t="shared" si="11"/>
        <v>85</v>
      </c>
      <c r="D136" s="251">
        <f t="shared" si="9"/>
        <v>13528</v>
      </c>
      <c r="E136" s="252">
        <f t="shared" si="12"/>
        <v>44787</v>
      </c>
      <c r="F136" s="253">
        <f t="shared" si="5"/>
        <v>751.57920000000013</v>
      </c>
      <c r="G136" s="222">
        <f t="shared" si="6"/>
        <v>76</v>
      </c>
      <c r="H136" s="253">
        <f t="shared" si="10"/>
        <v>16948</v>
      </c>
    </row>
    <row r="137" spans="2:8" x14ac:dyDescent="0.25">
      <c r="B137">
        <f t="shared" si="11"/>
        <v>86</v>
      </c>
      <c r="D137" s="251">
        <f t="shared" si="9"/>
        <v>13148</v>
      </c>
      <c r="E137" s="252">
        <f t="shared" si="12"/>
        <v>44788</v>
      </c>
      <c r="F137" s="253">
        <f t="shared" si="5"/>
        <v>751.57920000000013</v>
      </c>
      <c r="G137" s="222">
        <f t="shared" si="6"/>
        <v>75</v>
      </c>
      <c r="H137" s="253">
        <f t="shared" si="10"/>
        <v>17328</v>
      </c>
    </row>
    <row r="138" spans="2:8" x14ac:dyDescent="0.25">
      <c r="B138">
        <f t="shared" si="11"/>
        <v>87</v>
      </c>
      <c r="D138" s="251">
        <f t="shared" si="9"/>
        <v>12768</v>
      </c>
      <c r="E138" s="252">
        <f t="shared" si="12"/>
        <v>44789</v>
      </c>
      <c r="F138" s="253">
        <f t="shared" si="5"/>
        <v>751.57920000000013</v>
      </c>
      <c r="G138" s="222">
        <f t="shared" si="6"/>
        <v>74</v>
      </c>
      <c r="H138" s="253">
        <f t="shared" si="10"/>
        <v>17708</v>
      </c>
    </row>
    <row r="139" spans="2:8" x14ac:dyDescent="0.25">
      <c r="B139">
        <f t="shared" si="11"/>
        <v>88</v>
      </c>
      <c r="D139" s="251">
        <f t="shared" si="9"/>
        <v>12388</v>
      </c>
      <c r="E139" s="252">
        <f t="shared" si="12"/>
        <v>44790</v>
      </c>
      <c r="F139" s="253">
        <f t="shared" si="5"/>
        <v>751.57920000000013</v>
      </c>
      <c r="G139" s="222">
        <f t="shared" si="6"/>
        <v>73</v>
      </c>
      <c r="H139" s="253">
        <f t="shared" si="10"/>
        <v>18088</v>
      </c>
    </row>
    <row r="140" spans="2:8" x14ac:dyDescent="0.25">
      <c r="B140">
        <f t="shared" si="11"/>
        <v>89</v>
      </c>
      <c r="D140" s="251">
        <f t="shared" si="9"/>
        <v>12008</v>
      </c>
      <c r="E140" s="252">
        <f t="shared" si="12"/>
        <v>44791</v>
      </c>
      <c r="F140" s="253">
        <f t="shared" si="5"/>
        <v>751.57920000000013</v>
      </c>
      <c r="G140" s="222">
        <f t="shared" si="6"/>
        <v>72</v>
      </c>
      <c r="H140" s="253">
        <f t="shared" si="10"/>
        <v>18468</v>
      </c>
    </row>
    <row r="141" spans="2:8" x14ac:dyDescent="0.25">
      <c r="B141">
        <f t="shared" si="11"/>
        <v>90</v>
      </c>
      <c r="D141" s="251">
        <f t="shared" si="9"/>
        <v>11628</v>
      </c>
      <c r="E141" s="252">
        <f t="shared" si="12"/>
        <v>44792</v>
      </c>
      <c r="F141" s="253">
        <f t="shared" si="5"/>
        <v>751.57920000000013</v>
      </c>
      <c r="G141" s="222">
        <f t="shared" si="6"/>
        <v>71</v>
      </c>
      <c r="H141" s="253">
        <f t="shared" si="10"/>
        <v>18848</v>
      </c>
    </row>
    <row r="142" spans="2:8" x14ac:dyDescent="0.25">
      <c r="B142">
        <f t="shared" si="11"/>
        <v>91</v>
      </c>
      <c r="D142" s="251">
        <f t="shared" si="9"/>
        <v>11248</v>
      </c>
      <c r="E142" s="252">
        <f t="shared" si="12"/>
        <v>44793</v>
      </c>
      <c r="F142" s="253">
        <f t="shared" si="5"/>
        <v>751.57920000000013</v>
      </c>
      <c r="G142" s="222">
        <f t="shared" si="6"/>
        <v>70</v>
      </c>
      <c r="H142" s="253">
        <f t="shared" si="10"/>
        <v>19228</v>
      </c>
    </row>
    <row r="143" spans="2:8" x14ac:dyDescent="0.25">
      <c r="B143">
        <f t="shared" si="11"/>
        <v>92</v>
      </c>
      <c r="D143" s="251">
        <f t="shared" si="9"/>
        <v>10868</v>
      </c>
      <c r="E143" s="252">
        <f t="shared" si="12"/>
        <v>44794</v>
      </c>
      <c r="F143" s="253">
        <f t="shared" si="5"/>
        <v>751.57920000000013</v>
      </c>
      <c r="G143" s="222">
        <f t="shared" si="6"/>
        <v>69</v>
      </c>
      <c r="H143" s="253">
        <f t="shared" si="10"/>
        <v>19608</v>
      </c>
    </row>
    <row r="144" spans="2:8" x14ac:dyDescent="0.25">
      <c r="B144">
        <f t="shared" si="11"/>
        <v>93</v>
      </c>
      <c r="D144" s="251">
        <f t="shared" si="9"/>
        <v>10488</v>
      </c>
      <c r="E144" s="252">
        <f t="shared" si="12"/>
        <v>44795</v>
      </c>
      <c r="F144" s="253">
        <f t="shared" si="5"/>
        <v>751.57920000000013</v>
      </c>
      <c r="G144" s="222">
        <f t="shared" si="6"/>
        <v>68</v>
      </c>
      <c r="H144" s="253">
        <f t="shared" si="10"/>
        <v>19988</v>
      </c>
    </row>
    <row r="145" spans="2:8" x14ac:dyDescent="0.25">
      <c r="B145">
        <f t="shared" si="11"/>
        <v>94</v>
      </c>
      <c r="D145" s="251">
        <f t="shared" si="9"/>
        <v>10108</v>
      </c>
      <c r="E145" s="252">
        <f t="shared" si="12"/>
        <v>44796</v>
      </c>
      <c r="F145" s="253">
        <f t="shared" si="5"/>
        <v>751.57920000000013</v>
      </c>
      <c r="G145" s="222">
        <f t="shared" si="6"/>
        <v>67</v>
      </c>
      <c r="H145" s="253">
        <f t="shared" si="10"/>
        <v>20368</v>
      </c>
    </row>
    <row r="146" spans="2:8" x14ac:dyDescent="0.25">
      <c r="B146">
        <f t="shared" si="11"/>
        <v>95</v>
      </c>
      <c r="D146" s="251">
        <f t="shared" si="9"/>
        <v>9728</v>
      </c>
      <c r="E146" s="252">
        <f t="shared" si="12"/>
        <v>44797</v>
      </c>
      <c r="F146" s="253">
        <f t="shared" si="5"/>
        <v>751.57920000000013</v>
      </c>
      <c r="G146" s="222">
        <f t="shared" si="6"/>
        <v>66</v>
      </c>
      <c r="H146" s="253">
        <f t="shared" si="10"/>
        <v>20748</v>
      </c>
    </row>
    <row r="147" spans="2:8" x14ac:dyDescent="0.25">
      <c r="B147">
        <f t="shared" si="11"/>
        <v>96</v>
      </c>
      <c r="D147" s="251">
        <f t="shared" si="9"/>
        <v>9348</v>
      </c>
      <c r="E147" s="252">
        <f t="shared" si="12"/>
        <v>44798</v>
      </c>
      <c r="F147" s="253">
        <f t="shared" si="5"/>
        <v>751.57920000000013</v>
      </c>
      <c r="G147" s="222">
        <f t="shared" si="6"/>
        <v>65</v>
      </c>
      <c r="H147" s="253">
        <f t="shared" si="10"/>
        <v>21128</v>
      </c>
    </row>
    <row r="148" spans="2:8" x14ac:dyDescent="0.25">
      <c r="B148">
        <f t="shared" si="11"/>
        <v>97</v>
      </c>
      <c r="D148" s="251">
        <f t="shared" si="9"/>
        <v>8968</v>
      </c>
      <c r="E148" s="252">
        <f t="shared" si="12"/>
        <v>44799</v>
      </c>
      <c r="F148" s="253">
        <f t="shared" si="5"/>
        <v>751.57920000000013</v>
      </c>
      <c r="G148" s="222">
        <f t="shared" si="6"/>
        <v>64</v>
      </c>
      <c r="H148" s="253">
        <f t="shared" si="10"/>
        <v>21508</v>
      </c>
    </row>
    <row r="149" spans="2:8" x14ac:dyDescent="0.25">
      <c r="B149">
        <f t="shared" si="11"/>
        <v>98</v>
      </c>
      <c r="D149" s="251">
        <f t="shared" si="9"/>
        <v>8588</v>
      </c>
      <c r="E149" s="252">
        <f t="shared" si="12"/>
        <v>44800</v>
      </c>
      <c r="F149" s="253">
        <f t="shared" si="5"/>
        <v>751.57920000000013</v>
      </c>
      <c r="G149" s="222">
        <f t="shared" si="6"/>
        <v>63</v>
      </c>
      <c r="H149" s="253">
        <f t="shared" si="10"/>
        <v>21888</v>
      </c>
    </row>
    <row r="150" spans="2:8" x14ac:dyDescent="0.25">
      <c r="B150">
        <f t="shared" si="11"/>
        <v>99</v>
      </c>
      <c r="D150" s="251">
        <f t="shared" si="9"/>
        <v>8208</v>
      </c>
      <c r="E150" s="252">
        <f t="shared" si="12"/>
        <v>44801</v>
      </c>
      <c r="F150" s="253">
        <f t="shared" si="5"/>
        <v>751.57920000000013</v>
      </c>
      <c r="G150" s="222">
        <f t="shared" si="6"/>
        <v>62</v>
      </c>
      <c r="H150" s="253">
        <f t="shared" si="10"/>
        <v>22268</v>
      </c>
    </row>
    <row r="151" spans="2:8" x14ac:dyDescent="0.25">
      <c r="B151">
        <f t="shared" si="11"/>
        <v>100</v>
      </c>
      <c r="D151" s="251">
        <f t="shared" si="9"/>
        <v>7828</v>
      </c>
      <c r="E151" s="252">
        <f t="shared" si="12"/>
        <v>44802</v>
      </c>
      <c r="F151" s="253">
        <f t="shared" si="5"/>
        <v>751.57920000000013</v>
      </c>
      <c r="G151" s="222">
        <f t="shared" si="6"/>
        <v>61</v>
      </c>
      <c r="H151" s="253">
        <f t="shared" si="10"/>
        <v>22648</v>
      </c>
    </row>
    <row r="152" spans="2:8" x14ac:dyDescent="0.25">
      <c r="B152">
        <f t="shared" ref="B152:B170" si="13">B153-1</f>
        <v>101</v>
      </c>
      <c r="D152" s="251">
        <f t="shared" si="9"/>
        <v>7448</v>
      </c>
      <c r="E152" s="252">
        <f t="shared" si="12"/>
        <v>44803</v>
      </c>
      <c r="F152" s="253">
        <f t="shared" si="5"/>
        <v>751.57920000000013</v>
      </c>
      <c r="G152" s="222">
        <f t="shared" si="6"/>
        <v>60</v>
      </c>
      <c r="H152" s="253">
        <f t="shared" si="10"/>
        <v>23028</v>
      </c>
    </row>
    <row r="153" spans="2:8" x14ac:dyDescent="0.25">
      <c r="B153">
        <f t="shared" si="13"/>
        <v>102</v>
      </c>
      <c r="D153" s="251">
        <f t="shared" si="9"/>
        <v>7068</v>
      </c>
      <c r="E153" s="252">
        <f t="shared" si="12"/>
        <v>44804</v>
      </c>
      <c r="F153" s="253">
        <f t="shared" si="5"/>
        <v>751.57920000000013</v>
      </c>
      <c r="G153" s="222">
        <f t="shared" si="6"/>
        <v>59</v>
      </c>
      <c r="H153" s="253">
        <f t="shared" si="10"/>
        <v>23408</v>
      </c>
    </row>
    <row r="154" spans="2:8" x14ac:dyDescent="0.25">
      <c r="B154">
        <f t="shared" si="13"/>
        <v>103</v>
      </c>
      <c r="D154" s="251">
        <f t="shared" si="9"/>
        <v>6688</v>
      </c>
      <c r="E154" s="252">
        <f t="shared" si="12"/>
        <v>44805</v>
      </c>
      <c r="F154" s="253">
        <f t="shared" si="5"/>
        <v>751.57920000000013</v>
      </c>
      <c r="G154" s="222">
        <f t="shared" si="6"/>
        <v>58</v>
      </c>
      <c r="H154" s="253">
        <f t="shared" si="10"/>
        <v>23788</v>
      </c>
    </row>
    <row r="155" spans="2:8" x14ac:dyDescent="0.25">
      <c r="B155">
        <f t="shared" si="13"/>
        <v>104</v>
      </c>
      <c r="D155" s="251">
        <f t="shared" ref="D155:D172" si="14">IF(($E$30-(B155*$G$26))*$E$12&lt;0,0,($E$30-(B155*$G$26))*$E$12)</f>
        <v>6308</v>
      </c>
      <c r="E155" s="252">
        <f t="shared" si="12"/>
        <v>44806</v>
      </c>
      <c r="F155" s="253">
        <f t="shared" si="5"/>
        <v>751.57920000000013</v>
      </c>
      <c r="G155" s="222">
        <f t="shared" si="6"/>
        <v>57</v>
      </c>
      <c r="H155" s="253">
        <f t="shared" ref="H155:H172" si="15">IF(($E$30-(G155*$G$26))*$E$12&lt;0,0,($E$30-(G155*$G$26))*$E$12)</f>
        <v>24168</v>
      </c>
    </row>
    <row r="156" spans="2:8" x14ac:dyDescent="0.25">
      <c r="B156">
        <f t="shared" si="13"/>
        <v>105</v>
      </c>
      <c r="D156" s="251">
        <f t="shared" si="14"/>
        <v>5928</v>
      </c>
      <c r="E156" s="252">
        <f t="shared" si="12"/>
        <v>44807</v>
      </c>
      <c r="F156" s="253">
        <f t="shared" ref="F156:F172" si="16">$E$38</f>
        <v>751.57920000000013</v>
      </c>
      <c r="G156" s="222">
        <f t="shared" si="6"/>
        <v>56</v>
      </c>
      <c r="H156" s="253">
        <f t="shared" si="15"/>
        <v>24548</v>
      </c>
    </row>
    <row r="157" spans="2:8" x14ac:dyDescent="0.25">
      <c r="B157">
        <f t="shared" si="13"/>
        <v>106</v>
      </c>
      <c r="D157" s="251">
        <f t="shared" si="14"/>
        <v>5548</v>
      </c>
      <c r="E157" s="252">
        <f t="shared" si="12"/>
        <v>44808</v>
      </c>
      <c r="F157" s="253">
        <f t="shared" si="16"/>
        <v>751.57920000000013</v>
      </c>
      <c r="G157" s="222">
        <f t="shared" ref="G157:G172" si="17">G156-1</f>
        <v>55</v>
      </c>
      <c r="H157" s="253">
        <f t="shared" si="15"/>
        <v>24928</v>
      </c>
    </row>
    <row r="158" spans="2:8" x14ac:dyDescent="0.25">
      <c r="B158">
        <f t="shared" si="13"/>
        <v>107</v>
      </c>
      <c r="D158" s="251">
        <f t="shared" si="14"/>
        <v>5168</v>
      </c>
      <c r="E158" s="252">
        <f t="shared" si="12"/>
        <v>44809</v>
      </c>
      <c r="F158" s="253">
        <f t="shared" si="16"/>
        <v>751.57920000000013</v>
      </c>
      <c r="G158" s="222">
        <f t="shared" si="17"/>
        <v>54</v>
      </c>
      <c r="H158" s="253">
        <f t="shared" si="15"/>
        <v>25308</v>
      </c>
    </row>
    <row r="159" spans="2:8" x14ac:dyDescent="0.25">
      <c r="B159">
        <f t="shared" si="13"/>
        <v>108</v>
      </c>
      <c r="D159" s="251">
        <f t="shared" si="14"/>
        <v>4788</v>
      </c>
      <c r="E159" s="252">
        <f t="shared" si="12"/>
        <v>44810</v>
      </c>
      <c r="F159" s="253">
        <f t="shared" si="16"/>
        <v>751.57920000000013</v>
      </c>
      <c r="G159" s="222">
        <f t="shared" si="17"/>
        <v>53</v>
      </c>
      <c r="H159" s="253">
        <f t="shared" si="15"/>
        <v>25688</v>
      </c>
    </row>
    <row r="160" spans="2:8" x14ac:dyDescent="0.25">
      <c r="B160">
        <f t="shared" si="13"/>
        <v>109</v>
      </c>
      <c r="D160" s="251">
        <f t="shared" si="14"/>
        <v>4408</v>
      </c>
      <c r="E160" s="252">
        <f t="shared" si="12"/>
        <v>44811</v>
      </c>
      <c r="F160" s="253">
        <f t="shared" si="16"/>
        <v>751.57920000000013</v>
      </c>
      <c r="G160" s="222">
        <f t="shared" si="17"/>
        <v>52</v>
      </c>
      <c r="H160" s="253">
        <f t="shared" si="15"/>
        <v>26068</v>
      </c>
    </row>
    <row r="161" spans="2:9" x14ac:dyDescent="0.25">
      <c r="B161">
        <f t="shared" si="13"/>
        <v>110</v>
      </c>
      <c r="D161" s="251">
        <f t="shared" si="14"/>
        <v>4028</v>
      </c>
      <c r="E161" s="252">
        <f t="shared" si="12"/>
        <v>44812</v>
      </c>
      <c r="F161" s="253">
        <f t="shared" si="16"/>
        <v>751.57920000000013</v>
      </c>
      <c r="G161" s="222">
        <f t="shared" si="17"/>
        <v>51</v>
      </c>
      <c r="H161" s="253">
        <f t="shared" si="15"/>
        <v>26448</v>
      </c>
    </row>
    <row r="162" spans="2:9" x14ac:dyDescent="0.25">
      <c r="B162">
        <f t="shared" si="13"/>
        <v>111</v>
      </c>
      <c r="D162" s="251">
        <f t="shared" si="14"/>
        <v>3648</v>
      </c>
      <c r="E162" s="252">
        <f t="shared" si="12"/>
        <v>44813</v>
      </c>
      <c r="F162" s="253">
        <f t="shared" si="16"/>
        <v>751.57920000000013</v>
      </c>
      <c r="G162" s="222">
        <f t="shared" si="17"/>
        <v>50</v>
      </c>
      <c r="H162" s="253">
        <f t="shared" si="15"/>
        <v>26828</v>
      </c>
    </row>
    <row r="163" spans="2:9" x14ac:dyDescent="0.25">
      <c r="B163">
        <f t="shared" si="13"/>
        <v>112</v>
      </c>
      <c r="D163" s="251">
        <f t="shared" si="14"/>
        <v>3268</v>
      </c>
      <c r="E163" s="252">
        <f t="shared" si="12"/>
        <v>44814</v>
      </c>
      <c r="F163" s="253">
        <f t="shared" si="16"/>
        <v>751.57920000000013</v>
      </c>
      <c r="G163" s="222">
        <f t="shared" si="17"/>
        <v>49</v>
      </c>
      <c r="H163" s="253">
        <f t="shared" si="15"/>
        <v>27208</v>
      </c>
    </row>
    <row r="164" spans="2:9" x14ac:dyDescent="0.25">
      <c r="B164">
        <f t="shared" si="13"/>
        <v>113</v>
      </c>
      <c r="D164" s="251">
        <f t="shared" si="14"/>
        <v>2888</v>
      </c>
      <c r="E164" s="252">
        <f t="shared" si="12"/>
        <v>44815</v>
      </c>
      <c r="F164" s="253">
        <f t="shared" si="16"/>
        <v>751.57920000000013</v>
      </c>
      <c r="G164" s="222">
        <f t="shared" si="17"/>
        <v>48</v>
      </c>
      <c r="H164" s="253">
        <f t="shared" si="15"/>
        <v>27588</v>
      </c>
    </row>
    <row r="165" spans="2:9" x14ac:dyDescent="0.25">
      <c r="B165">
        <f t="shared" si="13"/>
        <v>114</v>
      </c>
      <c r="D165" s="251">
        <f t="shared" si="14"/>
        <v>2508</v>
      </c>
      <c r="E165" s="252">
        <f t="shared" si="12"/>
        <v>44816</v>
      </c>
      <c r="F165" s="253">
        <f t="shared" si="16"/>
        <v>751.57920000000013</v>
      </c>
      <c r="G165" s="222">
        <f t="shared" si="17"/>
        <v>47</v>
      </c>
      <c r="H165" s="253">
        <f t="shared" si="15"/>
        <v>27968</v>
      </c>
    </row>
    <row r="166" spans="2:9" x14ac:dyDescent="0.25">
      <c r="B166">
        <f t="shared" si="13"/>
        <v>115</v>
      </c>
      <c r="D166" s="251">
        <f t="shared" si="14"/>
        <v>2128</v>
      </c>
      <c r="E166" s="252">
        <f t="shared" si="12"/>
        <v>44817</v>
      </c>
      <c r="F166" s="253">
        <f t="shared" si="16"/>
        <v>751.57920000000013</v>
      </c>
      <c r="G166" s="222">
        <f t="shared" si="17"/>
        <v>46</v>
      </c>
      <c r="H166" s="253">
        <f t="shared" si="15"/>
        <v>28348</v>
      </c>
    </row>
    <row r="167" spans="2:9" x14ac:dyDescent="0.25">
      <c r="B167">
        <f t="shared" si="13"/>
        <v>116</v>
      </c>
      <c r="D167" s="251">
        <f t="shared" si="14"/>
        <v>1748</v>
      </c>
      <c r="E167" s="252">
        <f t="shared" si="12"/>
        <v>44818</v>
      </c>
      <c r="F167" s="253">
        <f t="shared" si="16"/>
        <v>751.57920000000013</v>
      </c>
      <c r="G167" s="222">
        <f t="shared" si="17"/>
        <v>45</v>
      </c>
      <c r="H167" s="253">
        <f t="shared" si="15"/>
        <v>28728</v>
      </c>
    </row>
    <row r="168" spans="2:9" x14ac:dyDescent="0.25">
      <c r="B168">
        <f t="shared" si="13"/>
        <v>117</v>
      </c>
      <c r="D168" s="251">
        <f t="shared" si="14"/>
        <v>1368</v>
      </c>
      <c r="E168" s="252">
        <f t="shared" si="12"/>
        <v>44819</v>
      </c>
      <c r="F168" s="253">
        <f t="shared" si="16"/>
        <v>751.57920000000013</v>
      </c>
      <c r="G168" s="222">
        <f t="shared" si="17"/>
        <v>44</v>
      </c>
      <c r="H168" s="253">
        <f t="shared" si="15"/>
        <v>29108</v>
      </c>
    </row>
    <row r="169" spans="2:9" x14ac:dyDescent="0.25">
      <c r="B169">
        <f t="shared" si="13"/>
        <v>118</v>
      </c>
      <c r="D169" s="251">
        <f t="shared" si="14"/>
        <v>988</v>
      </c>
      <c r="E169" s="252">
        <f t="shared" si="12"/>
        <v>44820</v>
      </c>
      <c r="F169" s="253">
        <f t="shared" si="16"/>
        <v>751.57920000000013</v>
      </c>
      <c r="G169" s="222">
        <f t="shared" si="17"/>
        <v>43</v>
      </c>
      <c r="H169" s="253">
        <f t="shared" si="15"/>
        <v>29488</v>
      </c>
    </row>
    <row r="170" spans="2:9" x14ac:dyDescent="0.25">
      <c r="B170">
        <f t="shared" si="13"/>
        <v>119</v>
      </c>
      <c r="D170" s="251">
        <f t="shared" si="14"/>
        <v>608</v>
      </c>
      <c r="E170" s="252">
        <f t="shared" si="12"/>
        <v>44821</v>
      </c>
      <c r="F170" s="253">
        <f t="shared" si="16"/>
        <v>751.57920000000013</v>
      </c>
      <c r="G170" s="222">
        <f t="shared" si="17"/>
        <v>42</v>
      </c>
      <c r="H170" s="253">
        <f t="shared" si="15"/>
        <v>29868</v>
      </c>
    </row>
    <row r="171" spans="2:9" x14ac:dyDescent="0.25">
      <c r="B171">
        <f>B172-1</f>
        <v>120</v>
      </c>
      <c r="D171" s="251">
        <f t="shared" si="14"/>
        <v>228</v>
      </c>
      <c r="E171" s="252">
        <f t="shared" si="12"/>
        <v>44822</v>
      </c>
      <c r="F171" s="253">
        <f t="shared" si="16"/>
        <v>751.57920000000013</v>
      </c>
      <c r="G171" s="222">
        <f t="shared" si="17"/>
        <v>41</v>
      </c>
      <c r="H171" s="253">
        <f t="shared" si="15"/>
        <v>30248</v>
      </c>
    </row>
    <row r="172" spans="2:9" x14ac:dyDescent="0.25">
      <c r="B172" s="60">
        <f>ROUND(E30/G26,0)</f>
        <v>121</v>
      </c>
      <c r="C172" s="60"/>
      <c r="D172" s="251">
        <f t="shared" si="14"/>
        <v>0</v>
      </c>
      <c r="E172" s="252">
        <f>B172+$E$10</f>
        <v>44823</v>
      </c>
      <c r="F172" s="253">
        <f t="shared" si="16"/>
        <v>751.57920000000013</v>
      </c>
      <c r="G172" s="222">
        <f t="shared" si="17"/>
        <v>40</v>
      </c>
      <c r="H172" s="253">
        <f t="shared" si="15"/>
        <v>30628</v>
      </c>
    </row>
    <row r="174" spans="2:9" ht="15.5" x14ac:dyDescent="0.35">
      <c r="B174" s="1" t="str">
        <f>"Premium = $"&amp;TEXT(E38,"#,###")</f>
        <v>Premium = $752</v>
      </c>
      <c r="C174" s="1"/>
      <c r="D174" s="256"/>
      <c r="E174" s="256"/>
      <c r="F174" s="256"/>
      <c r="G174" s="256"/>
      <c r="H174" s="257" t="str">
        <f>"Indemnity = $"&amp;TEXT(E48,"#,###")&amp;" or $"&amp;ROUND(E50,0)&amp;"/head"</f>
        <v>Indemnity = $7,448 or $51/head</v>
      </c>
      <c r="I174" s="256"/>
    </row>
    <row r="175" spans="2:9" x14ac:dyDescent="0.25">
      <c r="B175" s="256"/>
      <c r="C175" s="256"/>
      <c r="D175" s="256"/>
      <c r="E175" s="256"/>
      <c r="F175" s="256" t="s">
        <v>356</v>
      </c>
      <c r="G175" s="256" t="s">
        <v>357</v>
      </c>
      <c r="H175" s="256" t="str">
        <f>E45&amp;" Actual Grazing Days "</f>
        <v xml:space="preserve">101 Actual Grazing Days </v>
      </c>
      <c r="I175" s="256"/>
    </row>
    <row r="176" spans="2:9" x14ac:dyDescent="0.25">
      <c r="B176" s="256">
        <v>1</v>
      </c>
      <c r="C176" s="256"/>
      <c r="D176" s="256"/>
      <c r="E176" s="258">
        <f>$E$48</f>
        <v>7448</v>
      </c>
      <c r="F176" s="256"/>
      <c r="G176" s="256"/>
      <c r="H176" s="257">
        <f>$E$45</f>
        <v>101</v>
      </c>
      <c r="I176" s="256"/>
    </row>
    <row r="177" spans="2:9" x14ac:dyDescent="0.25">
      <c r="B177" s="259">
        <v>2</v>
      </c>
      <c r="C177" s="259"/>
      <c r="D177" s="256"/>
      <c r="E177" s="258">
        <f>$E$48</f>
        <v>7448</v>
      </c>
      <c r="F177" s="257">
        <f>ROUND(E8,0)</f>
        <v>134</v>
      </c>
      <c r="G177" s="257">
        <f>ROUND(E8*E9,0)</f>
        <v>121</v>
      </c>
      <c r="H177" s="257">
        <f t="shared" ref="H177:H178" si="18">$E$45</f>
        <v>101</v>
      </c>
      <c r="I177" s="256"/>
    </row>
    <row r="178" spans="2:9" x14ac:dyDescent="0.25">
      <c r="B178" s="256">
        <v>3</v>
      </c>
      <c r="C178" s="256"/>
      <c r="D178" s="256"/>
      <c r="E178" s="256"/>
      <c r="F178" s="256"/>
      <c r="G178" s="256"/>
      <c r="H178" s="257">
        <f t="shared" si="18"/>
        <v>101</v>
      </c>
      <c r="I178" s="256"/>
    </row>
    <row r="180" spans="2:9" x14ac:dyDescent="0.25">
      <c r="D180" t="str">
        <f>"Pasture Insurance Indemnity (based on "&amp;E26&amp;" Head @ "&amp;E8&amp;" days historic grazing period)"</f>
        <v>Pasture Insurance Indemnity (based on 146 Head @ 134 days historic grazing period)</v>
      </c>
    </row>
    <row r="181" spans="2:9" x14ac:dyDescent="0.25">
      <c r="D181" t="str">
        <f>"Pasture Insurance Indemnity = $"&amp;TEXT(E48,"#,###")&amp;" (based on "&amp;E26&amp;" Head @ "&amp;E8&amp;" days historic grazing period)"</f>
        <v>Pasture Insurance Indemnity = $7,448 (based on 146 Head @ 134 days historic grazing period)</v>
      </c>
    </row>
    <row r="182" spans="2:9" x14ac:dyDescent="0.25">
      <c r="F182" s="60" t="str">
        <f>F185&amp;" Pasture Days Covered by AgriInsurance"</f>
        <v>121 Pasture Days Covered by AgriInsurance</v>
      </c>
      <c r="G182" s="60" t="str">
        <f>G185&amp;" Pasture Days Uncovered by AgriInsurance"</f>
        <v>13 Pasture Days Uncovered by AgriInsurance</v>
      </c>
    </row>
    <row r="183" spans="2:9" x14ac:dyDescent="0.25">
      <c r="E183" s="60" t="s">
        <v>353</v>
      </c>
      <c r="F183" s="60" t="s">
        <v>354</v>
      </c>
      <c r="G183" s="60" t="s">
        <v>355</v>
      </c>
      <c r="H183" s="60" t="str">
        <f>E45&amp;" Actual Grazing Days (Indemnity = $"&amp;TEXT(E48,"#,###")&amp;" or $"&amp;ROUND(E50,0)&amp;"/hd)"</f>
        <v>101 Actual Grazing Days (Indemnity = $7,448 or $51/hd)</v>
      </c>
    </row>
    <row r="184" spans="2:9" x14ac:dyDescent="0.25">
      <c r="B184">
        <v>1</v>
      </c>
      <c r="E184" s="255">
        <f>$E$48</f>
        <v>7448</v>
      </c>
      <c r="H184" s="254">
        <f>$E$45</f>
        <v>101</v>
      </c>
    </row>
    <row r="185" spans="2:9" x14ac:dyDescent="0.25">
      <c r="B185" s="60">
        <v>2</v>
      </c>
      <c r="C185" s="60"/>
      <c r="E185" s="255">
        <f>$E$48</f>
        <v>7448</v>
      </c>
      <c r="F185">
        <f>ROUND(E8*E9,0)</f>
        <v>121</v>
      </c>
      <c r="G185" s="254">
        <f>E8-(ROUND(E8*E9,0))</f>
        <v>13</v>
      </c>
      <c r="H185" s="254">
        <f t="shared" ref="H185:H186" si="19">$E$45</f>
        <v>101</v>
      </c>
    </row>
    <row r="186" spans="2:9" x14ac:dyDescent="0.25">
      <c r="B186">
        <v>3</v>
      </c>
      <c r="H186" s="254">
        <f t="shared" si="19"/>
        <v>101</v>
      </c>
    </row>
    <row r="187" spans="2:9" x14ac:dyDescent="0.25">
      <c r="F187" t="s">
        <v>356</v>
      </c>
      <c r="G187" t="s">
        <v>357</v>
      </c>
      <c r="H187" t="str">
        <f>E45&amp;" Actual Grazing Days (Indemnity = $"&amp;TEXT(E48,"#,###")&amp;" or $"&amp;ROUND(E50,0)&amp;"/hd)"</f>
        <v>101 Actual Grazing Days (Indemnity = $7,448 or $51/hd)</v>
      </c>
    </row>
    <row r="188" spans="2:9" x14ac:dyDescent="0.25">
      <c r="B188">
        <v>1</v>
      </c>
      <c r="E188" s="255">
        <f>$E$48</f>
        <v>7448</v>
      </c>
      <c r="H188" s="254">
        <f>$E$45</f>
        <v>101</v>
      </c>
    </row>
    <row r="189" spans="2:9" x14ac:dyDescent="0.25">
      <c r="B189" s="60">
        <v>2</v>
      </c>
      <c r="C189" s="60"/>
      <c r="E189" s="255">
        <f>$E$48</f>
        <v>7448</v>
      </c>
      <c r="F189" s="254">
        <f>ROUND(E8,0)</f>
        <v>134</v>
      </c>
      <c r="G189" s="254">
        <f>ROUND(E8*E9,0)</f>
        <v>121</v>
      </c>
      <c r="H189" s="254">
        <f t="shared" ref="H189:H190" si="20">$E$45</f>
        <v>101</v>
      </c>
    </row>
    <row r="190" spans="2:9" x14ac:dyDescent="0.25">
      <c r="B190">
        <v>3</v>
      </c>
      <c r="H190" s="254">
        <f t="shared" si="20"/>
        <v>101</v>
      </c>
    </row>
    <row r="195" spans="2:4" ht="16" thickBot="1" x14ac:dyDescent="0.4">
      <c r="C195" s="264" t="s">
        <v>400</v>
      </c>
    </row>
    <row r="196" spans="2:4" ht="15.5" x14ac:dyDescent="0.35">
      <c r="C196" s="265" t="s">
        <v>309</v>
      </c>
    </row>
    <row r="197" spans="2:4" ht="15.5" x14ac:dyDescent="0.35">
      <c r="B197" s="1"/>
      <c r="C197" s="1" t="s">
        <v>377</v>
      </c>
      <c r="D197" s="1"/>
    </row>
    <row r="198" spans="2:4" ht="15.5" x14ac:dyDescent="0.35">
      <c r="B198" s="1"/>
      <c r="C198" s="1" t="s">
        <v>368</v>
      </c>
      <c r="D198" s="1"/>
    </row>
    <row r="199" spans="2:4" ht="15.5" x14ac:dyDescent="0.35">
      <c r="B199" s="1"/>
      <c r="C199" s="1" t="s">
        <v>369</v>
      </c>
      <c r="D199" s="1"/>
    </row>
    <row r="200" spans="2:4" ht="15.5" x14ac:dyDescent="0.35">
      <c r="B200" s="1"/>
      <c r="C200" s="1" t="s">
        <v>373</v>
      </c>
      <c r="D200" s="1"/>
    </row>
    <row r="201" spans="2:4" ht="15.5" x14ac:dyDescent="0.35">
      <c r="B201" s="1"/>
      <c r="C201" s="139" t="s">
        <v>401</v>
      </c>
      <c r="D201" s="1"/>
    </row>
    <row r="202" spans="2:4" ht="15.5" x14ac:dyDescent="0.35">
      <c r="B202" s="1"/>
      <c r="C202" s="139" t="s">
        <v>402</v>
      </c>
      <c r="D202" s="1"/>
    </row>
    <row r="203" spans="2:4" ht="15.5" x14ac:dyDescent="0.35">
      <c r="B203" s="1"/>
      <c r="C203" s="1" t="s">
        <v>386</v>
      </c>
      <c r="D203" s="1"/>
    </row>
    <row r="204" spans="2:4" ht="15.5" x14ac:dyDescent="0.35">
      <c r="B204" s="1"/>
      <c r="C204" s="1" t="s">
        <v>388</v>
      </c>
      <c r="D204" s="1"/>
    </row>
    <row r="205" spans="2:4" ht="15.5" x14ac:dyDescent="0.35">
      <c r="B205" s="1"/>
      <c r="C205" s="1" t="s">
        <v>392</v>
      </c>
      <c r="D205" s="1"/>
    </row>
    <row r="206" spans="2:4" ht="15.5" x14ac:dyDescent="0.35">
      <c r="B206" s="1"/>
      <c r="C206" s="1"/>
      <c r="D206" s="1"/>
    </row>
    <row r="207" spans="2:4" ht="15.5" x14ac:dyDescent="0.35">
      <c r="B207" s="1"/>
      <c r="C207" s="1"/>
      <c r="D207" s="1"/>
    </row>
    <row r="208" spans="2:4" ht="15.5" x14ac:dyDescent="0.35">
      <c r="B208" s="1"/>
      <c r="C208" s="1" t="s">
        <v>272</v>
      </c>
      <c r="D208" s="1"/>
    </row>
    <row r="209" spans="2:4" ht="16" thickBot="1" x14ac:dyDescent="0.4">
      <c r="B209" s="1"/>
      <c r="C209" s="201" t="s">
        <v>322</v>
      </c>
      <c r="D209" s="201"/>
    </row>
    <row r="210" spans="2:4" ht="15.5" x14ac:dyDescent="0.35">
      <c r="B210" s="1"/>
      <c r="C210" s="203" t="s">
        <v>309</v>
      </c>
      <c r="D210" s="204">
        <v>0</v>
      </c>
    </row>
    <row r="211" spans="2:4" ht="15.5" x14ac:dyDescent="0.35">
      <c r="B211" s="1" t="s">
        <v>377</v>
      </c>
      <c r="C211" s="205" t="s">
        <v>394</v>
      </c>
      <c r="D211" s="206">
        <v>1</v>
      </c>
    </row>
    <row r="212" spans="2:4" ht="15.5" x14ac:dyDescent="0.35">
      <c r="B212" s="1"/>
      <c r="C212" s="205" t="s">
        <v>398</v>
      </c>
      <c r="D212" s="206">
        <v>1.3</v>
      </c>
    </row>
    <row r="213" spans="2:4" ht="16" thickBot="1" x14ac:dyDescent="0.4">
      <c r="B213" s="1"/>
      <c r="C213" s="207" t="s">
        <v>396</v>
      </c>
      <c r="D213" s="208">
        <v>0.6</v>
      </c>
    </row>
    <row r="214" spans="2:4" ht="15.5" x14ac:dyDescent="0.35">
      <c r="B214" s="1" t="s">
        <v>368</v>
      </c>
      <c r="C214" s="1" t="s">
        <v>365</v>
      </c>
      <c r="D214" s="1">
        <v>0.25</v>
      </c>
    </row>
    <row r="215" spans="2:4" ht="15.5" x14ac:dyDescent="0.35">
      <c r="B215" s="1"/>
      <c r="C215" s="1" t="s">
        <v>366</v>
      </c>
      <c r="D215" s="1">
        <v>0.2</v>
      </c>
    </row>
    <row r="216" spans="2:4" ht="15.5" x14ac:dyDescent="0.35">
      <c r="B216" s="1"/>
      <c r="C216" s="1" t="s">
        <v>367</v>
      </c>
      <c r="D216" s="1">
        <v>0.15</v>
      </c>
    </row>
    <row r="217" spans="2:4" ht="15.5" x14ac:dyDescent="0.35">
      <c r="B217" s="1" t="s">
        <v>369</v>
      </c>
      <c r="C217" s="1" t="s">
        <v>370</v>
      </c>
      <c r="D217" s="1">
        <v>0.2</v>
      </c>
    </row>
    <row r="218" spans="2:4" ht="15.5" x14ac:dyDescent="0.35">
      <c r="B218" s="1"/>
      <c r="C218" s="1" t="s">
        <v>371</v>
      </c>
      <c r="D218" s="1">
        <v>0.1</v>
      </c>
    </row>
    <row r="219" spans="2:4" ht="15.5" x14ac:dyDescent="0.35">
      <c r="B219" s="1"/>
      <c r="C219" s="1" t="s">
        <v>372</v>
      </c>
      <c r="D219" s="1">
        <v>0.05</v>
      </c>
    </row>
    <row r="220" spans="2:4" ht="15.5" x14ac:dyDescent="0.35">
      <c r="B220" s="1" t="s">
        <v>373</v>
      </c>
      <c r="C220" s="1" t="s">
        <v>374</v>
      </c>
      <c r="D220" s="1">
        <v>1.5</v>
      </c>
    </row>
    <row r="221" spans="2:4" ht="15.5" x14ac:dyDescent="0.35">
      <c r="B221" s="1"/>
      <c r="C221" s="1" t="s">
        <v>375</v>
      </c>
      <c r="D221" s="1">
        <v>1.3</v>
      </c>
    </row>
    <row r="222" spans="2:4" ht="15.5" x14ac:dyDescent="0.35">
      <c r="B222" s="1"/>
      <c r="C222" s="1" t="s">
        <v>376</v>
      </c>
      <c r="D222" s="1">
        <v>0.75</v>
      </c>
    </row>
    <row r="223" spans="2:4" ht="15.5" x14ac:dyDescent="0.35">
      <c r="B223" s="171" t="s">
        <v>378</v>
      </c>
      <c r="C223" s="1" t="s">
        <v>381</v>
      </c>
      <c r="D223" s="1">
        <v>0.65</v>
      </c>
    </row>
    <row r="224" spans="2:4" ht="15.5" x14ac:dyDescent="0.35">
      <c r="B224" s="1"/>
      <c r="C224" s="1" t="s">
        <v>379</v>
      </c>
      <c r="D224" s="1">
        <v>0.5</v>
      </c>
    </row>
    <row r="225" spans="2:4" ht="15.5" x14ac:dyDescent="0.35">
      <c r="B225" s="1"/>
      <c r="C225" s="1" t="s">
        <v>380</v>
      </c>
      <c r="D225" s="1">
        <v>0.4</v>
      </c>
    </row>
    <row r="226" spans="2:4" ht="15.5" x14ac:dyDescent="0.35">
      <c r="B226" s="171" t="s">
        <v>382</v>
      </c>
      <c r="C226" s="1" t="s">
        <v>383</v>
      </c>
      <c r="D226" s="1">
        <v>0.3</v>
      </c>
    </row>
    <row r="227" spans="2:4" ht="15.5" x14ac:dyDescent="0.35">
      <c r="B227" s="1"/>
      <c r="C227" s="1" t="s">
        <v>384</v>
      </c>
      <c r="D227" s="1">
        <v>0.25</v>
      </c>
    </row>
    <row r="228" spans="2:4" ht="15.5" x14ac:dyDescent="0.35">
      <c r="B228" s="1"/>
      <c r="C228" s="1" t="s">
        <v>385</v>
      </c>
      <c r="D228" s="1">
        <v>0.2</v>
      </c>
    </row>
    <row r="229" spans="2:4" ht="15.5" x14ac:dyDescent="0.35">
      <c r="B229" s="1" t="s">
        <v>386</v>
      </c>
      <c r="C229" s="205" t="s">
        <v>397</v>
      </c>
      <c r="D229" s="1">
        <v>0.6</v>
      </c>
    </row>
    <row r="230" spans="2:4" ht="15.5" x14ac:dyDescent="0.35">
      <c r="B230" s="1"/>
      <c r="C230" s="205" t="s">
        <v>399</v>
      </c>
      <c r="D230" s="1">
        <v>0.75</v>
      </c>
    </row>
    <row r="231" spans="2:4" ht="16" thickBot="1" x14ac:dyDescent="0.4">
      <c r="B231" s="1"/>
      <c r="C231" s="207" t="s">
        <v>387</v>
      </c>
      <c r="D231" s="1">
        <v>0.4</v>
      </c>
    </row>
    <row r="232" spans="2:4" ht="15.5" x14ac:dyDescent="0.35">
      <c r="B232" s="1" t="s">
        <v>388</v>
      </c>
      <c r="C232" s="1" t="s">
        <v>389</v>
      </c>
      <c r="D232" s="1">
        <v>0.25</v>
      </c>
    </row>
    <row r="233" spans="2:4" ht="15.5" x14ac:dyDescent="0.35">
      <c r="B233" s="1"/>
      <c r="C233" s="1" t="s">
        <v>390</v>
      </c>
      <c r="D233" s="1">
        <v>0.2</v>
      </c>
    </row>
    <row r="234" spans="2:4" ht="15.5" x14ac:dyDescent="0.35">
      <c r="B234" s="1"/>
      <c r="C234" s="1" t="s">
        <v>391</v>
      </c>
      <c r="D234" s="1">
        <v>0.15</v>
      </c>
    </row>
    <row r="235" spans="2:4" ht="15.5" x14ac:dyDescent="0.35">
      <c r="B235" s="1" t="s">
        <v>392</v>
      </c>
      <c r="C235" s="205" t="s">
        <v>393</v>
      </c>
      <c r="D235" s="1">
        <v>1.3</v>
      </c>
    </row>
    <row r="236" spans="2:4" ht="15.5" x14ac:dyDescent="0.35">
      <c r="B236" s="1"/>
      <c r="C236" s="205" t="s">
        <v>394</v>
      </c>
      <c r="D236" s="1">
        <v>1</v>
      </c>
    </row>
    <row r="237" spans="2:4" ht="16" thickBot="1" x14ac:dyDescent="0.4">
      <c r="B237" s="1"/>
      <c r="C237" s="207" t="s">
        <v>395</v>
      </c>
      <c r="D237" s="1">
        <v>0.6</v>
      </c>
    </row>
  </sheetData>
  <mergeCells count="4">
    <mergeCell ref="A78:I79"/>
    <mergeCell ref="A53:J53"/>
    <mergeCell ref="H82:J82"/>
    <mergeCell ref="H83:J83"/>
  </mergeCells>
  <dataValidations count="2">
    <dataValidation type="list" allowBlank="1" showInputMessage="1" showErrorMessage="1" sqref="B20:B25" xr:uid="{00000000-0002-0000-0900-000000000000}">
      <formula1>Animal</formula1>
    </dataValidation>
    <dataValidation type="list" allowBlank="1" showInputMessage="1" showErrorMessage="1" sqref="C20:C25" xr:uid="{00000000-0002-0000-0900-000001000000}">
      <formula1>INDIRECT(SUBSTITUTE(B20," ",""))</formula1>
    </dataValidation>
  </dataValidations>
  <hyperlinks>
    <hyperlink ref="H82" r:id="rId1" display="MASC Patsure Days Insurance Factsheet" xr:uid="{00000000-0004-0000-0900-000000000000}"/>
    <hyperlink ref="H83" r:id="rId2" display="https://www.masc.mb.ca/masc.nsf/calculator_pasture_days.html" xr:uid="{00000000-0004-0000-0900-000001000000}"/>
    <hyperlink ref="H83:J83" r:id="rId3" display="MASC Pasture Days Insurance Calculator" xr:uid="{00000000-0004-0000-0900-000002000000}"/>
  </hyperlinks>
  <pageMargins left="0.7" right="0.7" top="0.75" bottom="0.75" header="0.3" footer="0.3"/>
  <pageSetup scale="52" orientation="portrait" horizontalDpi="1200" verticalDpi="1200" r:id="rId4"/>
  <drawing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S216"/>
  <sheetViews>
    <sheetView zoomScale="80" zoomScaleNormal="80" workbookViewId="0"/>
  </sheetViews>
  <sheetFormatPr defaultRowHeight="12.5" x14ac:dyDescent="0.25"/>
  <cols>
    <col min="3" max="3" width="9.54296875" bestFit="1" customWidth="1"/>
    <col min="6" max="6" width="10.08984375" bestFit="1" customWidth="1"/>
  </cols>
  <sheetData>
    <row r="4" spans="2:5" ht="15.5" x14ac:dyDescent="0.35">
      <c r="B4" s="144" t="str">
        <f>"Impact of Stocking Rate on Pasture Cost Per Day"</f>
        <v>Impact of Stocking Rate on Pasture Cost Per Day</v>
      </c>
      <c r="C4" s="144"/>
      <c r="D4" s="144"/>
      <c r="E4" s="144"/>
    </row>
    <row r="5" spans="2:5" ht="15.5" x14ac:dyDescent="0.35">
      <c r="B5" s="144"/>
      <c r="C5" s="144"/>
      <c r="D5" s="144"/>
      <c r="E5" s="144"/>
    </row>
    <row r="6" spans="2:5" ht="15.5" x14ac:dyDescent="0.35">
      <c r="B6" s="175" t="s">
        <v>268</v>
      </c>
      <c r="C6" s="144" t="str">
        <f>"Improved Pasture (from "&amp;Input!E8&amp;" hd)"</f>
        <v>Improved Pasture (from 94 hd)</v>
      </c>
      <c r="D6" s="144" t="str">
        <f>"Marginal Pasture (from "&amp;Input!H8&amp;" hd)"</f>
        <v>Marginal Pasture (from 32 hd)</v>
      </c>
    </row>
    <row r="7" spans="2:5" ht="15.5" x14ac:dyDescent="0.35">
      <c r="B7" s="268">
        <f>SUM(B9*3)</f>
        <v>-6</v>
      </c>
      <c r="C7" s="176">
        <f>ROUND(ROUND(Summary!$C$39/ROUND(((Input!$E$8+(B7))/'Fixed Cost Input'!$E$4),2),2)/Input!$E$15,2)</f>
        <v>1.51</v>
      </c>
      <c r="D7" s="176">
        <f>ROUND(ROUND(Summary!$G$39/ROUND(((Input!$H$8+B7)/'Fixed Cost Input'!$I$4),2),2)/Input!$H$15,2)</f>
        <v>1.7</v>
      </c>
    </row>
    <row r="8" spans="2:5" ht="15.5" x14ac:dyDescent="0.35">
      <c r="B8" s="268">
        <f>SUM(B9*2)</f>
        <v>-4</v>
      </c>
      <c r="C8" s="176">
        <f>ROUND(ROUND(Summary!$C$39/ROUND(((Input!$E$8+(B8))/'Fixed Cost Input'!$E$4),2),2)/Input!$E$15,2)</f>
        <v>1.48</v>
      </c>
      <c r="D8" s="176">
        <f>ROUND(ROUND(Summary!$G$39/ROUND(((Input!$H$8+B8)/'Fixed Cost Input'!$I$4),2),2)/Input!$H$15,2)</f>
        <v>1.51</v>
      </c>
    </row>
    <row r="9" spans="2:5" ht="15.5" x14ac:dyDescent="0.35">
      <c r="B9" s="268">
        <f>-ABS(Risk!E7)</f>
        <v>-2</v>
      </c>
      <c r="C9" s="176">
        <f>ROUND(ROUND(Summary!$C$39/ROUND(((Input!$E$8+(B9))/'Fixed Cost Input'!$E$4),2),2)/Input!$E$15,2)</f>
        <v>1.43</v>
      </c>
      <c r="D9" s="176">
        <f>ROUND(ROUND(Summary!$G$39/ROUND(((Input!$H$8+B9)/'Fixed Cost Input'!$I$4),2),2)/Input!$H$15,2)</f>
        <v>1.43</v>
      </c>
    </row>
    <row r="10" spans="2:5" ht="15.5" x14ac:dyDescent="0.35">
      <c r="B10" s="268">
        <v>0</v>
      </c>
      <c r="C10" s="177">
        <f>Summary!E39</f>
        <v>1.4094100000000003</v>
      </c>
      <c r="D10" s="177">
        <f>Summary!I39</f>
        <v>1.3553074602314814</v>
      </c>
    </row>
    <row r="11" spans="2:5" ht="15.5" x14ac:dyDescent="0.35">
      <c r="B11" s="268">
        <f>ABS(Risk!E7)</f>
        <v>2</v>
      </c>
      <c r="C11" s="176">
        <f>ROUND(ROUND(Summary!$C$39/ROUND(((Input!$E$8+(B11))/'Fixed Cost Input'!$E$4),2),2)/Input!$E$15,2)</f>
        <v>1.38</v>
      </c>
      <c r="D11" s="176">
        <f>ROUND(ROUND(Summary!$G$39/ROUND(((Input!$H$8+B11)/'Fixed Cost Input'!$I$4),2),2)/Input!$H$15,2)</f>
        <v>1.29</v>
      </c>
    </row>
    <row r="12" spans="2:5" ht="15.5" x14ac:dyDescent="0.35">
      <c r="B12" s="268">
        <f>SUM(B11*2)</f>
        <v>4</v>
      </c>
      <c r="C12" s="176">
        <f>ROUND(ROUND(Summary!$C$39/ROUND(((Input!$E$8+(B12))/'Fixed Cost Input'!$E$4),2),2)/Input!$E$15,2)</f>
        <v>1.36</v>
      </c>
      <c r="D12" s="176">
        <f>ROUND(ROUND(Summary!$G$39/ROUND(((Input!$H$8+B12)/'Fixed Cost Input'!$I$4),2),2)/Input!$H$15,2)</f>
        <v>1.18</v>
      </c>
    </row>
    <row r="13" spans="2:5" ht="15.5" x14ac:dyDescent="0.35">
      <c r="B13" s="268">
        <f>SUM(B11*3)</f>
        <v>6</v>
      </c>
      <c r="C13" s="176">
        <f>ROUND(ROUND(Summary!$C$39/ROUND(((Input!$E$8+(B13))/'Fixed Cost Input'!$E$4),2),2)/Input!$E$15,2)</f>
        <v>1.32</v>
      </c>
      <c r="D13" s="176">
        <f>ROUND(ROUND(Summary!$G$39/ROUND(((Input!$H$8+B13)/'Fixed Cost Input'!$I$4),2),2)/Input!$H$15,2)</f>
        <v>1.1299999999999999</v>
      </c>
    </row>
    <row r="22" spans="2:4" ht="15.5" x14ac:dyDescent="0.35">
      <c r="B22" s="144" t="str">
        <f>"Impact of Grazing Days on Pasture Cost Per Day"</f>
        <v>Impact of Grazing Days on Pasture Cost Per Day</v>
      </c>
      <c r="C22" s="144"/>
      <c r="D22" s="144"/>
    </row>
    <row r="23" spans="2:4" ht="15.5" x14ac:dyDescent="0.35">
      <c r="B23" s="144"/>
      <c r="C23" s="144"/>
      <c r="D23" s="144"/>
    </row>
    <row r="24" spans="2:4" ht="15.5" x14ac:dyDescent="0.35">
      <c r="B24" s="175" t="s">
        <v>269</v>
      </c>
      <c r="C24" s="144" t="str">
        <f>"Improved Pasture (from "&amp;Input!E15&amp;" days)"</f>
        <v>Improved Pasture (from 135 days)</v>
      </c>
      <c r="D24" s="144" t="str">
        <f>"Marginal Pasture (from "&amp;Input!H15&amp;" days)"</f>
        <v>Marginal Pasture (from 135 days)</v>
      </c>
    </row>
    <row r="25" spans="2:4" ht="15.5" x14ac:dyDescent="0.35">
      <c r="B25" s="268">
        <f>SUM(B27*3)</f>
        <v>-15</v>
      </c>
      <c r="C25" s="176">
        <f>ROUND(ROUND(Summary!$C$39/ROUND(((Input!$E$8)/'Fixed Cost Input'!$E$4),2),2)/(Input!$E$15+B25),2)</f>
        <v>1.58</v>
      </c>
      <c r="D25" s="176">
        <f>ROUND(ROUND(Summary!$G$39/ROUND(((Input!$H$8)/'Fixed Cost Input'!$I$4),2),2)/(Input!$H$15+B25),2)</f>
        <v>1.53</v>
      </c>
    </row>
    <row r="26" spans="2:4" ht="15.5" x14ac:dyDescent="0.35">
      <c r="B26" s="268">
        <f>SUM(B27*2)</f>
        <v>-10</v>
      </c>
      <c r="C26" s="176">
        <f>ROUND(ROUND(Summary!$C$39/ROUND(((Input!$E$8)/'Fixed Cost Input'!$E$4),2),2)/(Input!$E$15+B26),2)</f>
        <v>1.52</v>
      </c>
      <c r="D26" s="176">
        <f>ROUND(ROUND(Summary!$G$39/ROUND(((Input!$H$8)/'Fixed Cost Input'!$I$4),2),2)/(Input!$H$15+B26),2)</f>
        <v>1.46</v>
      </c>
    </row>
    <row r="27" spans="2:4" ht="15.5" x14ac:dyDescent="0.35">
      <c r="B27" s="268">
        <f>-ABS(Risk!E8)</f>
        <v>-5</v>
      </c>
      <c r="C27" s="176">
        <f>ROUND(ROUND(Summary!$C$39/ROUND(((Input!$E$8)/'Fixed Cost Input'!$E$4),2),2)/(Input!$E$15+B27),2)</f>
        <v>1.46</v>
      </c>
      <c r="D27" s="176">
        <f>ROUND(ROUND(Summary!$G$39/ROUND(((Input!$H$8)/'Fixed Cost Input'!$I$4),2),2)/(Input!$H$15+B27),2)</f>
        <v>1.41</v>
      </c>
    </row>
    <row r="28" spans="2:4" ht="15.5" x14ac:dyDescent="0.35">
      <c r="B28" s="268">
        <v>0</v>
      </c>
      <c r="C28" s="177">
        <f>Summary!E39</f>
        <v>1.4094100000000003</v>
      </c>
      <c r="D28" s="177">
        <f>Summary!I39</f>
        <v>1.3553074602314814</v>
      </c>
    </row>
    <row r="29" spans="2:4" ht="15.5" x14ac:dyDescent="0.35">
      <c r="B29" s="268">
        <f>ABS(Risk!E8)</f>
        <v>5</v>
      </c>
      <c r="C29" s="176">
        <f>ROUND(ROUND(Summary!$C$39/ROUND(((Input!$E$8)/'Fixed Cost Input'!$E$4),2),2)/(Input!$E$15+B29),2)</f>
        <v>1.35</v>
      </c>
      <c r="D29" s="176">
        <f>ROUND(ROUND(Summary!$G$39/ROUND(((Input!$H$8)/'Fixed Cost Input'!$I$4),2),2)/(Input!$H$15+B29),2)</f>
        <v>1.31</v>
      </c>
    </row>
    <row r="30" spans="2:4" ht="15.5" x14ac:dyDescent="0.35">
      <c r="B30" s="268">
        <f>SUM(B29*2)</f>
        <v>10</v>
      </c>
      <c r="C30" s="176">
        <f>ROUND(ROUND(Summary!$C$39/ROUND(((Input!$E$8)/'Fixed Cost Input'!$E$4),2),2)/(Input!$E$15+B30),2)</f>
        <v>1.31</v>
      </c>
      <c r="D30" s="176">
        <f>ROUND(ROUND(Summary!$G$39/ROUND(((Input!$H$8)/'Fixed Cost Input'!$I$4),2),2)/(Input!$H$15+B30),2)</f>
        <v>1.26</v>
      </c>
    </row>
    <row r="31" spans="2:4" ht="15.5" x14ac:dyDescent="0.35">
      <c r="B31" s="268">
        <f>SUM(B29*3)</f>
        <v>15</v>
      </c>
      <c r="C31" s="176">
        <f>ROUND(ROUND(Summary!$C$39/ROUND(((Input!$E$8)/'Fixed Cost Input'!$E$4),2),2)/(Input!$E$15+B31),2)</f>
        <v>1.26</v>
      </c>
      <c r="D31" s="176">
        <f>ROUND(ROUND(Summary!$G$39/ROUND(((Input!$H$8)/'Fixed Cost Input'!$I$4),2),2)/(Input!$H$15+B31),2)</f>
        <v>1.22</v>
      </c>
    </row>
    <row r="43" spans="2:4" ht="15.5" x14ac:dyDescent="0.35">
      <c r="B43" s="144" t="str">
        <f>"Impact of Land Value on Pasture Cost Per Day (@"&amp;'Fixed Cost Input'!D13*100&amp;"% for "&amp;'Fixed Cost Input'!E13&amp;" yrs) "</f>
        <v xml:space="preserve">Impact of Land Value on Pasture Cost Per Day (@6% for 25 yrs) </v>
      </c>
      <c r="C43" s="144"/>
      <c r="D43" s="144"/>
    </row>
    <row r="44" spans="2:4" ht="15.5" x14ac:dyDescent="0.35">
      <c r="B44" s="144"/>
      <c r="C44" s="144"/>
      <c r="D44" s="144"/>
    </row>
    <row r="45" spans="2:4" ht="15.5" x14ac:dyDescent="0.35">
      <c r="B45" s="175" t="s">
        <v>269</v>
      </c>
      <c r="C45" s="144" t="str">
        <f>"Improved Pasture (from "&amp;TEXT('Fixed Cost Input'!E6,"$#,###")&amp;"/ac)"</f>
        <v>Improved Pasture (from $1,875/ac)</v>
      </c>
      <c r="D45" s="144" t="str">
        <f>"Marginal Pasture (from "&amp;TEXT('Fixed Cost Input'!I6,"$#,###")&amp;"/ac)"</f>
        <v>Marginal Pasture (from $844/ac)</v>
      </c>
    </row>
    <row r="46" spans="2:4" ht="15.5" x14ac:dyDescent="0.35">
      <c r="B46" s="269">
        <f>SUM(B48*3)</f>
        <v>-300</v>
      </c>
      <c r="C46" s="176">
        <f>Summary!$E$39-(Summary!$E$29-ROUND((-PMT('Fixed Cost Input'!$D$13,'Fixed Cost Input'!$E$13,('Fixed Cost Input'!$E$6+B46)*'Fixed Cost Input'!$E$9,0)+(('Fixed Cost Input'!$E$6+Risk!$E$10)*'Fixed Cost Input'!$E$8*'Fixed Cost Input'!$E$10))/Input!$E$9/Input!$E$15,2))</f>
        <v>1.3394100000000002</v>
      </c>
      <c r="D46" s="176">
        <f>Summary!$I$39-(Summary!$I$29-ROUND((-PMT('Fixed Cost Input'!$H$13,'Fixed Cost Input'!$I$13,('Fixed Cost Input'!$I$6+B46)*'Fixed Cost Input'!$I$9,0)+(('Fixed Cost Input'!$I$6+Risk!$I$10)*'Fixed Cost Input'!$I$8*'Fixed Cost Input'!$I$10))/Input!$H$9/Input!$H$15,2))</f>
        <v>1.1353074602314814</v>
      </c>
    </row>
    <row r="47" spans="2:4" ht="15.5" x14ac:dyDescent="0.35">
      <c r="B47" s="269">
        <f>SUM(B48*2)</f>
        <v>-200</v>
      </c>
      <c r="C47" s="176">
        <f>Summary!$E$39-(Summary!$E$29-ROUND((-PMT('Fixed Cost Input'!$D$13,'Fixed Cost Input'!$E$13,('Fixed Cost Input'!$E$6+B47)*'Fixed Cost Input'!$E$9,0)+(('Fixed Cost Input'!$E$6+Risk!$E$10)*'Fixed Cost Input'!$E$8*'Fixed Cost Input'!$E$10))/Input!$E$9/Input!$E$15,2))</f>
        <v>1.3594100000000002</v>
      </c>
      <c r="D47" s="176">
        <f>Summary!$I$39-(Summary!$I$29-ROUND((-PMT('Fixed Cost Input'!$H$13,'Fixed Cost Input'!$I$13,('Fixed Cost Input'!$I$6+B47)*'Fixed Cost Input'!$I$9,0)+(('Fixed Cost Input'!$I$6+Risk!$I$10)*'Fixed Cost Input'!$I$8*'Fixed Cost Input'!$I$10))/Input!$H$9/Input!$H$15,2))</f>
        <v>1.2153074602314815</v>
      </c>
    </row>
    <row r="48" spans="2:4" ht="15.5" x14ac:dyDescent="0.35">
      <c r="B48" s="269">
        <f>-ABS(Risk!E10)</f>
        <v>-100</v>
      </c>
      <c r="C48" s="176">
        <f>Summary!$E$39-(Summary!$E$29-ROUND((-PMT('Fixed Cost Input'!$D$13,'Fixed Cost Input'!$E$13,('Fixed Cost Input'!$E$6+B48)*'Fixed Cost Input'!$E$9,0)+(('Fixed Cost Input'!$E$6+Risk!$E$10)*'Fixed Cost Input'!$E$8*'Fixed Cost Input'!$E$10))/Input!$E$9/Input!$E$15,2))</f>
        <v>1.3894100000000003</v>
      </c>
      <c r="D48" s="176">
        <f>Summary!$I$39-(Summary!$I$29-ROUND((-PMT('Fixed Cost Input'!$H$13,'Fixed Cost Input'!$I$13,('Fixed Cost Input'!$I$6+B48)*'Fixed Cost Input'!$I$9,0)+(('Fixed Cost Input'!$I$6+Risk!$I$10)*'Fixed Cost Input'!$I$8*'Fixed Cost Input'!$I$10))/Input!$H$9/Input!$H$15,2))</f>
        <v>1.2853074602314813</v>
      </c>
    </row>
    <row r="49" spans="2:4" ht="15.5" x14ac:dyDescent="0.35">
      <c r="B49" s="269">
        <v>0</v>
      </c>
      <c r="C49" s="177">
        <f>Summary!E39</f>
        <v>1.4094100000000003</v>
      </c>
      <c r="D49" s="177">
        <f>Summary!I39</f>
        <v>1.3553074602314814</v>
      </c>
    </row>
    <row r="50" spans="2:4" ht="15.5" x14ac:dyDescent="0.35">
      <c r="B50" s="269">
        <f>ABS(Risk!E10)</f>
        <v>100</v>
      </c>
      <c r="C50" s="176">
        <f>Summary!$E$39-(Summary!$E$29-ROUND((-PMT('Fixed Cost Input'!$D$13,'Fixed Cost Input'!$E$13,('Fixed Cost Input'!$E$6+B50)*'Fixed Cost Input'!$E$9,0)+(('Fixed Cost Input'!$E$6+Risk!$E$10)*'Fixed Cost Input'!$E$8*'Fixed Cost Input'!$E$10))/Input!$E$9/Input!$E$15,2))</f>
        <v>1.4294100000000003</v>
      </c>
      <c r="D50" s="176">
        <f>Summary!$I$39-(Summary!$I$29-ROUND((-PMT('Fixed Cost Input'!$H$13,'Fixed Cost Input'!$I$13,('Fixed Cost Input'!$I$6+B50)*'Fixed Cost Input'!$I$9,0)+(('Fixed Cost Input'!$I$6+Risk!$I$10)*'Fixed Cost Input'!$I$8*'Fixed Cost Input'!$I$10))/Input!$H$9/Input!$H$15,2))</f>
        <v>1.4253074602314815</v>
      </c>
    </row>
    <row r="51" spans="2:4" ht="15.5" x14ac:dyDescent="0.35">
      <c r="B51" s="269">
        <f>SUM(B50*2)</f>
        <v>200</v>
      </c>
      <c r="C51" s="176">
        <f>Summary!$E$39-(Summary!$E$29-ROUND((-PMT('Fixed Cost Input'!$D$13,'Fixed Cost Input'!$E$13,('Fixed Cost Input'!$E$6+B51)*'Fixed Cost Input'!$E$9,0)+(('Fixed Cost Input'!$E$6+Risk!$E$10)*'Fixed Cost Input'!$E$8*'Fixed Cost Input'!$E$10))/Input!$E$9/Input!$E$15,2))</f>
        <v>1.4594100000000003</v>
      </c>
      <c r="D51" s="176">
        <f>Summary!$I$39-(Summary!$I$29-ROUND((-PMT('Fixed Cost Input'!$H$13,'Fixed Cost Input'!$I$13,('Fixed Cost Input'!$I$6+B51)*'Fixed Cost Input'!$I$9,0)+(('Fixed Cost Input'!$I$6+Risk!$I$10)*'Fixed Cost Input'!$I$8*'Fixed Cost Input'!$I$10))/Input!$H$9/Input!$H$15,2))</f>
        <v>1.5053074602314815</v>
      </c>
    </row>
    <row r="52" spans="2:4" ht="15.5" x14ac:dyDescent="0.35">
      <c r="B52" s="269">
        <f>SUM(B50*3)</f>
        <v>300</v>
      </c>
      <c r="C52" s="176">
        <f>Summary!$E$39-(Summary!$E$29-ROUND((-PMT('Fixed Cost Input'!$D$13,'Fixed Cost Input'!$E$13,('Fixed Cost Input'!$E$6+B52)*'Fixed Cost Input'!$E$9,0)+(('Fixed Cost Input'!$E$6+Risk!$E$10)*'Fixed Cost Input'!$E$8*'Fixed Cost Input'!$E$10))/Input!$E$9/Input!$E$15,2))</f>
        <v>1.4794100000000003</v>
      </c>
      <c r="D52" s="176">
        <f>Summary!$I$39-(Summary!$I$29-ROUND((-PMT('Fixed Cost Input'!$H$13,'Fixed Cost Input'!$I$13,('Fixed Cost Input'!$I$6+B52)*'Fixed Cost Input'!$I$9,0)+(('Fixed Cost Input'!$I$6+Risk!$I$10)*'Fixed Cost Input'!$I$8*'Fixed Cost Input'!$I$10))/Input!$H$9/Input!$H$15,2))</f>
        <v>1.5753074602314814</v>
      </c>
    </row>
    <row r="65" spans="2:19" ht="15.5" x14ac:dyDescent="0.35">
      <c r="B65" s="144" t="str">
        <f>"Impact of Owned Pasture Equity on Pasture Cost Per Day (@"&amp;'Fixed Cost Input'!D13*100&amp;"% for "&amp;'Fixed Cost Input'!E13&amp;" yrs) "</f>
        <v xml:space="preserve">Impact of Owned Pasture Equity on Pasture Cost Per Day (@6% for 25 yrs) </v>
      </c>
      <c r="C65" s="144"/>
      <c r="D65" s="144"/>
      <c r="Q65" s="144" t="str">
        <f>"Impact of Interest Rates on Pasture Cost Per Day (@" &amp;'Fixed Cost Input'!I8*100&amp;"% equity for "&amp;'Fixed Cost Input'!E13&amp;" yrs) "</f>
        <v xml:space="preserve">Impact of Interest Rates on Pasture Cost Per Day (@75% equity for 25 yrs) </v>
      </c>
      <c r="R65" s="144"/>
      <c r="S65" s="144"/>
    </row>
    <row r="66" spans="2:19" ht="15.5" x14ac:dyDescent="0.35">
      <c r="B66" s="144"/>
      <c r="C66" s="144"/>
      <c r="D66" s="144"/>
      <c r="Q66" s="144"/>
      <c r="R66" s="144"/>
      <c r="S66" s="144"/>
    </row>
    <row r="67" spans="2:19" ht="15.5" x14ac:dyDescent="0.35">
      <c r="B67" s="175" t="s">
        <v>270</v>
      </c>
      <c r="C67" s="144" t="str">
        <f>"Improved Pasture (from "&amp;'Fixed Cost Input'!E8*100&amp;"% equity)"</f>
        <v>Improved Pasture (from 75% equity)</v>
      </c>
      <c r="D67" s="144" t="str">
        <f>"Marginal Pasture (from "&amp;'Fixed Cost Input'!I8*100&amp;"% equity)"</f>
        <v>Marginal Pasture (from 75% equity)</v>
      </c>
      <c r="Q67" s="175" t="s">
        <v>406</v>
      </c>
      <c r="R67" s="144" t="str">
        <f>"Improved Pasture (from "&amp;'Fixed Cost Input'!D13*100&amp;"%)"</f>
        <v>Improved Pasture (from 6%)</v>
      </c>
      <c r="S67" s="144" t="str">
        <f>"Marginal Pasture (from "&amp;'Fixed Cost Input'!H13*100&amp;"%)"</f>
        <v>Marginal Pasture (from 6%)</v>
      </c>
    </row>
    <row r="68" spans="2:19" ht="15.5" x14ac:dyDescent="0.35">
      <c r="B68" s="270">
        <f>SUM(B70*3)</f>
        <v>-0.15000000000000002</v>
      </c>
      <c r="C68" s="176">
        <f>Summary!$E$39-(Summary!$E$29-ROUND((-PMT('Fixed Cost Input'!$D$13,'Fixed Cost Input'!$E$13,'Fixed Cost Input'!$E$6*('Fixed Cost Input'!$E$9-B68),0)+('Fixed Cost Input'!$E$6*('Fixed Cost Input'!$E$8+Risk!$E$11)*'Fixed Cost Input'!$E$10))/Input!$E$9/Input!$E$15,2))</f>
        <v>1.6894100000000003</v>
      </c>
      <c r="D68" s="176">
        <f>Summary!$I$39-(Summary!$I$29-ROUND((-PMT('Fixed Cost Input'!$H$13,'Fixed Cost Input'!$I$13,'Fixed Cost Input'!$I$6*('Fixed Cost Input'!$I$9-B68),0)+('Fixed Cost Input'!$I$6*('Fixed Cost Input'!$I$8+Risk!$I$11)*'Fixed Cost Input'!$I$10))/Input!$H$9/Input!$H$15,2))</f>
        <v>1.7253074602314813</v>
      </c>
      <c r="Q68" s="275">
        <f>SUM(Q70*3)</f>
        <v>-1.4999999999999999E-2</v>
      </c>
      <c r="R68" s="176">
        <f>Summary!$E$39-(Summary!$E$29-ROUND((-PMT('Fixed Cost Input'!$D$13+Q68,'Fixed Cost Input'!$E$13,('Fixed Cost Input'!$E$6)*'Fixed Cost Input'!$E$9,0)+(('Fixed Cost Input'!$E$6)*'Fixed Cost Input'!$E$8*'Fixed Cost Input'!$E$10))/Input!$E$9/Input!$E$15,2))</f>
        <v>1.3494100000000002</v>
      </c>
      <c r="S68" s="176">
        <f>Summary!$I$39-(Summary!$I$29-ROUND((-PMT('Fixed Cost Input'!$H$13+Q68,'Fixed Cost Input'!$I$13,('Fixed Cost Input'!$I$6)*'Fixed Cost Input'!$I$9,0)+(('Fixed Cost Input'!$I$6)*'Fixed Cost Input'!$I$8*'Fixed Cost Input'!$I$10))/Input!$H$9/Input!$H$15,2))</f>
        <v>1.2753074602314816</v>
      </c>
    </row>
    <row r="69" spans="2:19" ht="15.5" x14ac:dyDescent="0.35">
      <c r="B69" s="270">
        <f>SUM(B70*2)</f>
        <v>-0.1</v>
      </c>
      <c r="C69" s="176">
        <f>Summary!$E$39-(Summary!$E$29-ROUND((-PMT('Fixed Cost Input'!$D$13,'Fixed Cost Input'!$E$13,'Fixed Cost Input'!$E$6*('Fixed Cost Input'!$E$9-B69),0)+('Fixed Cost Input'!$E$6*('Fixed Cost Input'!$E$8+Risk!$E$11)*'Fixed Cost Input'!$E$10))/Input!$E$9/Input!$E$15,2))</f>
        <v>1.5894100000000002</v>
      </c>
      <c r="D69" s="176">
        <f>Summary!$I$39-(Summary!$I$29-ROUND((-PMT('Fixed Cost Input'!$H$13,'Fixed Cost Input'!$I$13,'Fixed Cost Input'!$I$6*('Fixed Cost Input'!$I$9-B69),0)+('Fixed Cost Input'!$I$6*('Fixed Cost Input'!$I$8+Risk!$I$11)*'Fixed Cost Input'!$I$10))/Input!$H$9/Input!$H$15,2))</f>
        <v>1.6053074602314814</v>
      </c>
      <c r="Q69" s="275">
        <f>SUM(Q70*2)</f>
        <v>-0.01</v>
      </c>
      <c r="R69" s="176">
        <f>Summary!$E$39-(Summary!$E$29-ROUND((-PMT('Fixed Cost Input'!$D$13+Q69,'Fixed Cost Input'!$E$13,('Fixed Cost Input'!$E$6)*'Fixed Cost Input'!$E$9,0)+(('Fixed Cost Input'!$E$6)*'Fixed Cost Input'!$E$8*'Fixed Cost Input'!$E$10))/Input!$E$9/Input!$E$15,2))</f>
        <v>1.3694100000000002</v>
      </c>
      <c r="S69" s="176">
        <f>Summary!$I$39-(Summary!$I$29-ROUND((-PMT('Fixed Cost Input'!$H$13+Q69,'Fixed Cost Input'!$I$13,('Fixed Cost Input'!$I$6)*'Fixed Cost Input'!$I$9,0)+(('Fixed Cost Input'!$I$6)*'Fixed Cost Input'!$I$8*'Fixed Cost Input'!$I$10))/Input!$H$9/Input!$H$15,2))</f>
        <v>1.2953074602314816</v>
      </c>
    </row>
    <row r="70" spans="2:19" ht="15.5" x14ac:dyDescent="0.35">
      <c r="B70" s="270">
        <f>-ABS(Risk!E11)</f>
        <v>-0.05</v>
      </c>
      <c r="C70" s="176">
        <f>Summary!$E$39-(Summary!$E$29-ROUND((-PMT('Fixed Cost Input'!$D$13,'Fixed Cost Input'!$E$13,'Fixed Cost Input'!$E$6*('Fixed Cost Input'!$E$9-B70),0)+('Fixed Cost Input'!$E$6*('Fixed Cost Input'!$E$8+Risk!$E$11)*'Fixed Cost Input'!$E$10))/Input!$E$9/Input!$E$15,2))</f>
        <v>1.4994100000000004</v>
      </c>
      <c r="D70" s="176">
        <f>Summary!$I$39-(Summary!$I$29-ROUND((-PMT('Fixed Cost Input'!$H$13,'Fixed Cost Input'!$I$13,'Fixed Cost Input'!$I$6*('Fixed Cost Input'!$I$9-B70),0)+('Fixed Cost Input'!$I$6*('Fixed Cost Input'!$I$8+Risk!$I$11)*'Fixed Cost Input'!$I$10))/Input!$H$9/Input!$H$15,2))</f>
        <v>1.4753074602314813</v>
      </c>
      <c r="Q70" s="275">
        <f>-ABS(Risk!E13)</f>
        <v>-5.0000000000000001E-3</v>
      </c>
      <c r="R70" s="176">
        <f>Summary!$E$39-(Summary!$E$29-ROUND((-PMT('Fixed Cost Input'!$D$13+Q70,'Fixed Cost Input'!$E$13,('Fixed Cost Input'!$E$6)*'Fixed Cost Input'!$E$9,0)+(('Fixed Cost Input'!$E$6)*'Fixed Cost Input'!$E$8*'Fixed Cost Input'!$E$10))/Input!$E$9/Input!$E$15,2))</f>
        <v>1.3894100000000003</v>
      </c>
      <c r="S70" s="176">
        <f>Summary!$I$39-(Summary!$I$29-ROUND((-PMT('Fixed Cost Input'!$H$13+Q70,'Fixed Cost Input'!$I$13,('Fixed Cost Input'!$I$6)*'Fixed Cost Input'!$I$9,0)+(('Fixed Cost Input'!$I$6)*'Fixed Cost Input'!$I$8*'Fixed Cost Input'!$I$10))/Input!$H$9/Input!$H$15,2))</f>
        <v>1.3253074602314814</v>
      </c>
    </row>
    <row r="71" spans="2:19" ht="15.5" x14ac:dyDescent="0.35">
      <c r="B71" s="178">
        <v>0</v>
      </c>
      <c r="C71" s="177">
        <f>Summary!E39</f>
        <v>1.4094100000000003</v>
      </c>
      <c r="D71" s="177">
        <f>Summary!I39</f>
        <v>1.3553074602314814</v>
      </c>
      <c r="Q71" s="276">
        <v>0</v>
      </c>
      <c r="R71" s="177">
        <f>Summary!E39</f>
        <v>1.4094100000000003</v>
      </c>
      <c r="S71" s="177">
        <f>Summary!I39</f>
        <v>1.3553074602314814</v>
      </c>
    </row>
    <row r="72" spans="2:19" ht="15.5" x14ac:dyDescent="0.35">
      <c r="B72" s="270">
        <f>ABS(Risk!E11)</f>
        <v>0.05</v>
      </c>
      <c r="C72" s="176">
        <f>Summary!$E$39-(Summary!$E$29-ROUND((-PMT('Fixed Cost Input'!$D$13,'Fixed Cost Input'!$E$13,'Fixed Cost Input'!$E$6*('Fixed Cost Input'!$E$9-B72),0)+('Fixed Cost Input'!$E$6*('Fixed Cost Input'!$E$8+Risk!$E$11)*'Fixed Cost Input'!$E$10))/Input!$E$9/Input!$E$15,2))</f>
        <v>1.3194100000000002</v>
      </c>
      <c r="D72" s="176">
        <f>Summary!$I$39-(Summary!$I$29-ROUND((-PMT('Fixed Cost Input'!$H$13,'Fixed Cost Input'!$I$13,'Fixed Cost Input'!$I$6*('Fixed Cost Input'!$I$9-B72),0)+('Fixed Cost Input'!$I$6*('Fixed Cost Input'!$I$8+Risk!$I$11)*'Fixed Cost Input'!$I$10))/Input!$H$9/Input!$H$15,2))</f>
        <v>1.2353074602314815</v>
      </c>
      <c r="Q72" s="275">
        <f>ABS(Risk!E13)</f>
        <v>5.0000000000000001E-3</v>
      </c>
      <c r="R72" s="176">
        <f>Summary!$E$39-(Summary!$E$29-ROUND((-PMT('Fixed Cost Input'!$D$13+Q72,'Fixed Cost Input'!$E$13,('Fixed Cost Input'!$E$6)*'Fixed Cost Input'!$E$9,0)+(('Fixed Cost Input'!$E$6)*'Fixed Cost Input'!$E$8*'Fixed Cost Input'!$E$10))/Input!$E$9/Input!$E$15,2))</f>
        <v>1.4294100000000003</v>
      </c>
      <c r="S72" s="176">
        <f>Summary!$I$39-(Summary!$I$29-ROUND((-PMT('Fixed Cost Input'!$H$13+Q72,'Fixed Cost Input'!$I$13,('Fixed Cost Input'!$I$6)*'Fixed Cost Input'!$I$9,0)+(('Fixed Cost Input'!$I$6)*'Fixed Cost Input'!$I$8*'Fixed Cost Input'!$I$10))/Input!$H$9/Input!$H$15,2))</f>
        <v>1.3853074602314814</v>
      </c>
    </row>
    <row r="73" spans="2:19" ht="15.5" x14ac:dyDescent="0.35">
      <c r="B73" s="270">
        <f>SUM(B72*2)</f>
        <v>0.1</v>
      </c>
      <c r="C73" s="176">
        <f>Summary!$E$39-(Summary!$E$29-ROUND((-PMT('Fixed Cost Input'!$D$13,'Fixed Cost Input'!$E$13,'Fixed Cost Input'!$E$6*('Fixed Cost Input'!$E$9-B73),0)+('Fixed Cost Input'!$E$6*('Fixed Cost Input'!$E$8+Risk!$E$11)*'Fixed Cost Input'!$E$10))/Input!$E$9/Input!$E$15,2))</f>
        <v>1.2294100000000003</v>
      </c>
      <c r="D73" s="176">
        <f>Summary!$I$39-(Summary!$I$29-ROUND((-PMT('Fixed Cost Input'!$H$13,'Fixed Cost Input'!$I$13,'Fixed Cost Input'!$I$6*('Fixed Cost Input'!$I$9-B73),0)+('Fixed Cost Input'!$I$6*('Fixed Cost Input'!$I$8+Risk!$I$11)*'Fixed Cost Input'!$I$10))/Input!$H$9/Input!$H$15,2))</f>
        <v>1.1153074602314814</v>
      </c>
      <c r="Q73" s="275">
        <f>SUM(Q72*2)</f>
        <v>0.01</v>
      </c>
      <c r="R73" s="176">
        <f>Summary!$E$39-(Summary!$E$29-ROUND((-PMT('Fixed Cost Input'!$D$13+Q73,'Fixed Cost Input'!$E$13,('Fixed Cost Input'!$E$6)*'Fixed Cost Input'!$E$9,0)+(('Fixed Cost Input'!$E$6)*'Fixed Cost Input'!$E$8*'Fixed Cost Input'!$E$10))/Input!$E$9/Input!$E$15,2))</f>
        <v>1.4594100000000003</v>
      </c>
      <c r="S73" s="176">
        <f>Summary!$I$39-(Summary!$I$29-ROUND((-PMT('Fixed Cost Input'!$H$13+Q73,'Fixed Cost Input'!$I$13,('Fixed Cost Input'!$I$6)*'Fixed Cost Input'!$I$9,0)+(('Fixed Cost Input'!$I$6)*'Fixed Cost Input'!$I$8*'Fixed Cost Input'!$I$10))/Input!$H$9/Input!$H$15,2))</f>
        <v>1.4153074602314815</v>
      </c>
    </row>
    <row r="74" spans="2:19" ht="15.5" x14ac:dyDescent="0.35">
      <c r="B74" s="270">
        <f>SUM(B72*3)</f>
        <v>0.15000000000000002</v>
      </c>
      <c r="C74" s="176">
        <f>Summary!$E$39-(Summary!$E$29-ROUND((-PMT('Fixed Cost Input'!$D$13,'Fixed Cost Input'!$E$13,'Fixed Cost Input'!$E$6*('Fixed Cost Input'!$E$9-B74),0)+('Fixed Cost Input'!$E$6*('Fixed Cost Input'!$E$8+Risk!$E$11)*'Fixed Cost Input'!$E$10))/Input!$E$9/Input!$E$15,2))</f>
        <v>1.1294100000000002</v>
      </c>
      <c r="D74" s="176">
        <f>Summary!$I$39-(Summary!$I$29-ROUND((-PMT('Fixed Cost Input'!$H$13,'Fixed Cost Input'!$I$13,'Fixed Cost Input'!$I$6*('Fixed Cost Input'!$I$9-B74),0)+('Fixed Cost Input'!$I$6*('Fixed Cost Input'!$I$8+Risk!$I$11)*'Fixed Cost Input'!$I$10))/Input!$H$9/Input!$H$15,2))</f>
        <v>0.98530746023148141</v>
      </c>
      <c r="Q74" s="275">
        <f>SUM(Q72*3)</f>
        <v>1.4999999999999999E-2</v>
      </c>
      <c r="R74" s="176">
        <f>Summary!$E$39-(Summary!$E$29-ROUND((-PMT('Fixed Cost Input'!$D$13+Q74,'Fixed Cost Input'!$E$13,('Fixed Cost Input'!$E$6)*'Fixed Cost Input'!$E$9,0)+(('Fixed Cost Input'!$E$6)*'Fixed Cost Input'!$E$8*'Fixed Cost Input'!$E$10))/Input!$E$9/Input!$E$15,2))</f>
        <v>1.4794100000000003</v>
      </c>
      <c r="S74" s="176">
        <f>Summary!$I$39-(Summary!$I$29-ROUND((-PMT('Fixed Cost Input'!$H$13+Q74,'Fixed Cost Input'!$I$13,('Fixed Cost Input'!$I$6)*'Fixed Cost Input'!$I$9,0)+(('Fixed Cost Input'!$I$6)*'Fixed Cost Input'!$I$8*'Fixed Cost Input'!$I$10))/Input!$H$9/Input!$H$15,2))</f>
        <v>1.4453074602314815</v>
      </c>
    </row>
    <row r="78" spans="2:19" x14ac:dyDescent="0.25">
      <c r="C78" s="263" t="s">
        <v>363</v>
      </c>
    </row>
    <row r="84" spans="2:10" ht="15.5" x14ac:dyDescent="0.35">
      <c r="B84" s="144" t="str">
        <f>"Impact of Pasture Equity on Total Pasture Cost Per Day (@"&amp;'Fixed Cost Input'!D13*100&amp;"% for "&amp;'Fixed Cost Input'!E13&amp;" yrs) "</f>
        <v xml:space="preserve">Impact of Pasture Equity on Total Pasture Cost Per Day (@6% for 25 yrs) </v>
      </c>
    </row>
    <row r="85" spans="2:10" ht="15.5" x14ac:dyDescent="0.35">
      <c r="B85" s="144" t="str">
        <f>"Impact of Pasture Equity on Total Pasture Cost Per Season (@"&amp;'Fixed Cost Input'!D13*100&amp;"% for "&amp;'Fixed Cost Input'!E13&amp;" yrs) "</f>
        <v xml:space="preserve">Impact of Pasture Equity on Total Pasture Cost Per Season (@6% for 25 yrs) </v>
      </c>
      <c r="C85" s="144"/>
      <c r="D85" s="144"/>
    </row>
    <row r="86" spans="2:10" ht="15.5" x14ac:dyDescent="0.35">
      <c r="B86" s="144" t="str">
        <f>"Impact of Pasture Equity on Total Pasture Cost Per Acre (@"&amp;'Fixed Cost Input'!D13*100&amp;"% for "&amp;'Fixed Cost Input'!E13&amp;" yrs) "</f>
        <v xml:space="preserve">Impact of Pasture Equity on Total Pasture Cost Per Acre (@6% for 25 yrs) </v>
      </c>
      <c r="C86" s="144"/>
      <c r="D86" s="144"/>
    </row>
    <row r="87" spans="2:10" ht="108.5" x14ac:dyDescent="0.35">
      <c r="B87" s="175" t="s">
        <v>270</v>
      </c>
      <c r="C87" s="183" t="str">
        <f>"Improved Pasture ("&amp;TEXT('Fixed Cost Input'!E6,"$#,###")&amp;"/ac, "&amp;Input!E8&amp;" hd,"&amp;Input!E15&amp;" days)"</f>
        <v>Improved Pasture ($1,875/ac, 94 hd,135 days)</v>
      </c>
      <c r="D87" s="183" t="str">
        <f>"Marginal Pasture  ("&amp;TEXT('Fixed Cost Input'!I6,"$#,###")&amp;"/ac, "&amp;Input!H8&amp;" hd,"&amp;Input!H15&amp;" days)"</f>
        <v>Marginal Pasture  ($844/ac, 32 hd,135 days)</v>
      </c>
      <c r="F87" s="128" t="str">
        <f>"Improved Pasture ("&amp;TEXT('Fixed Cost Input'!E6,"$#,###")&amp;"/ac, "&amp;Input!E8&amp;" hd,"&amp;Input!E15&amp;" days)"</f>
        <v>Improved Pasture ($1,875/ac, 94 hd,135 days)</v>
      </c>
      <c r="G87" s="128" t="str">
        <f>"Marginal Pasture  ("&amp;TEXT('Fixed Cost Input'!I6,"$#,###")&amp;"/ac, "&amp;Input!H8&amp;" hd,"&amp;Input!H15&amp;" days)"</f>
        <v>Marginal Pasture  ($844/ac, 32 hd,135 days)</v>
      </c>
      <c r="I87" s="128" t="str">
        <f>"Improved Pasture ("&amp;TEXT('Fixed Cost Input'!E6,"$#,###")&amp;"/ac, "&amp;Input!E8&amp;" hd,"&amp;Input!E15&amp;" days)"</f>
        <v>Improved Pasture ($1,875/ac, 94 hd,135 days)</v>
      </c>
      <c r="J87" s="128" t="str">
        <f>"Marginal Pasture  ("&amp;TEXT('Fixed Cost Input'!I6,"$#,###")&amp;"/ac, "&amp;Input!H8&amp;" hd,"&amp;Input!H15&amp;" days)"</f>
        <v>Marginal Pasture  ($844/ac, 32 hd,135 days)</v>
      </c>
    </row>
    <row r="88" spans="2:10" ht="15.5" x14ac:dyDescent="0.35">
      <c r="B88" s="184">
        <v>0</v>
      </c>
      <c r="C88" s="176">
        <f>Summary!$E$39-(Summary!$E$29-ROUND((-PMT('Fixed Cost Input'!$D$13,'Fixed Cost Input'!$E$13,'Fixed Cost Input'!$E$6*(1-B88),0)+('Fixed Cost Input'!$E$6*('Fixed Cost Input'!$E$8+Risk!$E$11)*'Fixed Cost Input'!$E$10))/Input!$E$9/Input!$E$15,2))</f>
        <v>2.7894100000000002</v>
      </c>
      <c r="D88" s="176">
        <f>Summary!$I$39-(Summary!$I$29-ROUND((-PMT('Fixed Cost Input'!$H$13,'Fixed Cost Input'!$I$13,'Fixed Cost Input'!$I$6*(1-B88),0)+('Fixed Cost Input'!$I$6*('Fixed Cost Input'!$I$8+Risk!$I$11)*'Fixed Cost Input'!$I$10))/Input!$H$9/Input!$H$15,2))</f>
        <v>3.1853074602314813</v>
      </c>
      <c r="F88" s="185">
        <f>SUM(C88*Input!$E$15)</f>
        <v>376.57035000000002</v>
      </c>
      <c r="G88" s="185">
        <f>SUM(D88*Input!$H$15)</f>
        <v>430.01650713124997</v>
      </c>
      <c r="I88" s="185">
        <f>SUM(F88*Input!$E$9)</f>
        <v>222.17650649999999</v>
      </c>
      <c r="J88" s="185">
        <f>SUM(G88*Input!$H$9)</f>
        <v>86.003301426250005</v>
      </c>
    </row>
    <row r="89" spans="2:10" ht="15.5" x14ac:dyDescent="0.35">
      <c r="B89" s="184">
        <v>0.1</v>
      </c>
      <c r="C89" s="176">
        <f>Summary!$E$39-(Summary!$E$29-ROUND((-PMT('Fixed Cost Input'!$D$13,'Fixed Cost Input'!$E$13,'Fixed Cost Input'!$E$6*(1-B89),0)+('Fixed Cost Input'!$E$6*('Fixed Cost Input'!$E$8+Risk!$E$11)*'Fixed Cost Input'!$E$10))/Input!$E$9/Input!$E$15,2))</f>
        <v>2.6094100000000005</v>
      </c>
      <c r="D89" s="176">
        <f>Summary!$I$39-(Summary!$I$29-ROUND((-PMT('Fixed Cost Input'!$H$13,'Fixed Cost Input'!$I$13,'Fixed Cost Input'!$I$6*(1-B89),0)+('Fixed Cost Input'!$I$6*('Fixed Cost Input'!$I$8+Risk!$I$11)*'Fixed Cost Input'!$I$10))/Input!$H$9/Input!$H$15,2))</f>
        <v>2.9453074602314819</v>
      </c>
      <c r="F89" s="185">
        <f>SUM(C89*Input!$E$15)</f>
        <v>352.27035000000006</v>
      </c>
      <c r="G89" s="185">
        <f>SUM(D89*Input!$H$15)</f>
        <v>397.61650713125005</v>
      </c>
      <c r="I89" s="185">
        <f>SUM(F89*Input!$E$9)</f>
        <v>207.83950650000003</v>
      </c>
      <c r="J89" s="185">
        <f>SUM(G89*Input!$H$9)</f>
        <v>79.523301426250015</v>
      </c>
    </row>
    <row r="90" spans="2:10" ht="15.5" x14ac:dyDescent="0.35">
      <c r="B90" s="184">
        <v>0.2</v>
      </c>
      <c r="C90" s="176">
        <f>Summary!$E$39-(Summary!$E$29-ROUND((-PMT('Fixed Cost Input'!$D$13,'Fixed Cost Input'!$E$13,'Fixed Cost Input'!$E$6*(1-B90),0)+('Fixed Cost Input'!$E$6*('Fixed Cost Input'!$E$8+Risk!$E$11)*'Fixed Cost Input'!$E$10))/Input!$E$9/Input!$E$15,2))</f>
        <v>2.4194100000000001</v>
      </c>
      <c r="D90" s="176">
        <f>Summary!$I$39-(Summary!$I$29-ROUND((-PMT('Fixed Cost Input'!$H$13,'Fixed Cost Input'!$I$13,'Fixed Cost Input'!$I$6*(1-B90),0)+('Fixed Cost Input'!$I$6*('Fixed Cost Input'!$I$8+Risk!$I$11)*'Fixed Cost Input'!$I$10))/Input!$H$9/Input!$H$15,2))</f>
        <v>2.7053074602314817</v>
      </c>
      <c r="F90" s="185">
        <f>SUM(C90*Input!$E$15)</f>
        <v>326.62035000000003</v>
      </c>
      <c r="G90" s="185">
        <f>SUM(D90*Input!$H$15)</f>
        <v>365.21650713125001</v>
      </c>
      <c r="I90" s="185">
        <f>SUM(F90*Input!$E$9)</f>
        <v>192.7060065</v>
      </c>
      <c r="J90" s="185">
        <f>SUM(G90*Input!$H$9)</f>
        <v>73.043301426250011</v>
      </c>
    </row>
    <row r="91" spans="2:10" ht="15.5" x14ac:dyDescent="0.35">
      <c r="B91" s="184">
        <v>0.3</v>
      </c>
      <c r="C91" s="176">
        <f>Summary!$E$39-(Summary!$E$29-ROUND((-PMT('Fixed Cost Input'!$D$13,'Fixed Cost Input'!$E$13,'Fixed Cost Input'!$E$6*(1-B91),0)+('Fixed Cost Input'!$E$6*('Fixed Cost Input'!$E$8+Risk!$E$11)*'Fixed Cost Input'!$E$10))/Input!$E$9/Input!$E$15,2))</f>
        <v>2.2394100000000003</v>
      </c>
      <c r="D91" s="176">
        <f>Summary!$I$39-(Summary!$I$29-ROUND((-PMT('Fixed Cost Input'!$H$13,'Fixed Cost Input'!$I$13,'Fixed Cost Input'!$I$6*(1-B91),0)+('Fixed Cost Input'!$I$6*('Fixed Cost Input'!$I$8+Risk!$I$11)*'Fixed Cost Input'!$I$10))/Input!$H$9/Input!$H$15,2))</f>
        <v>2.4553074602314817</v>
      </c>
      <c r="F91" s="185">
        <f>SUM(C91*Input!$E$15)</f>
        <v>302.32035000000002</v>
      </c>
      <c r="G91" s="185">
        <f>SUM(D91*Input!$H$15)</f>
        <v>331.46650713125001</v>
      </c>
      <c r="I91" s="185">
        <f>SUM(F91*Input!$E$9)</f>
        <v>178.36900650000001</v>
      </c>
      <c r="J91" s="185">
        <f>SUM(G91*Input!$H$9)</f>
        <v>66.293301426250011</v>
      </c>
    </row>
    <row r="92" spans="2:10" ht="15.5" x14ac:dyDescent="0.35">
      <c r="B92" s="184">
        <v>0.4</v>
      </c>
      <c r="C92" s="176">
        <f>Summary!$E$39-(Summary!$E$29-ROUND((-PMT('Fixed Cost Input'!$D$13,'Fixed Cost Input'!$E$13,'Fixed Cost Input'!$E$6*(1-B92),0)+('Fixed Cost Input'!$E$6*('Fixed Cost Input'!$E$8+Risk!$E$11)*'Fixed Cost Input'!$E$10))/Input!$E$9/Input!$E$15,2))</f>
        <v>2.0494100000000004</v>
      </c>
      <c r="D92" s="176">
        <f>Summary!$I$39-(Summary!$I$29-ROUND((-PMT('Fixed Cost Input'!$H$13,'Fixed Cost Input'!$I$13,'Fixed Cost Input'!$I$6*(1-B92),0)+('Fixed Cost Input'!$I$6*('Fixed Cost Input'!$I$8+Risk!$I$11)*'Fixed Cost Input'!$I$10))/Input!$H$9/Input!$H$15,2))</f>
        <v>2.2153074602314815</v>
      </c>
      <c r="F92" s="185">
        <f>SUM(C92*Input!$E$15)</f>
        <v>276.67035000000004</v>
      </c>
      <c r="G92" s="185">
        <f>SUM(D92*Input!$H$15)</f>
        <v>299.06650713124998</v>
      </c>
      <c r="I92" s="185">
        <f>SUM(F92*Input!$E$9)</f>
        <v>163.23550650000001</v>
      </c>
      <c r="J92" s="185">
        <f>SUM(G92*Input!$H$9)</f>
        <v>59.81330142625</v>
      </c>
    </row>
    <row r="93" spans="2:10" ht="15.5" x14ac:dyDescent="0.35">
      <c r="B93" s="184">
        <v>0.5</v>
      </c>
      <c r="C93" s="176">
        <f>Summary!$E$39-(Summary!$E$29-ROUND((-PMT('Fixed Cost Input'!$D$13,'Fixed Cost Input'!$E$13,'Fixed Cost Input'!$E$6*(1-B93),0)+('Fixed Cost Input'!$E$6*('Fixed Cost Input'!$E$8+Risk!$E$11)*'Fixed Cost Input'!$E$10))/Input!$E$9/Input!$E$15,2))</f>
        <v>1.8694100000000002</v>
      </c>
      <c r="D93" s="176">
        <f>Summary!$I$39-(Summary!$I$29-ROUND((-PMT('Fixed Cost Input'!$H$13,'Fixed Cost Input'!$I$13,'Fixed Cost Input'!$I$6*(1-B93),0)+('Fixed Cost Input'!$I$6*('Fixed Cost Input'!$I$8+Risk!$I$11)*'Fixed Cost Input'!$I$10))/Input!$H$9/Input!$H$15,2))</f>
        <v>1.9653074602314815</v>
      </c>
      <c r="F93" s="185">
        <f>SUM(C93*Input!$E$15)</f>
        <v>252.37035000000003</v>
      </c>
      <c r="G93" s="185">
        <f>SUM(D93*Input!$H$15)</f>
        <v>265.31650713124998</v>
      </c>
      <c r="I93" s="185">
        <f>SUM(F93*Input!$E$9)</f>
        <v>148.8985065</v>
      </c>
      <c r="J93" s="185">
        <f>SUM(G93*Input!$H$9)</f>
        <v>53.06330142625</v>
      </c>
    </row>
    <row r="94" spans="2:10" ht="15.5" x14ac:dyDescent="0.35">
      <c r="B94" s="184">
        <v>0.6</v>
      </c>
      <c r="C94" s="176">
        <f>Summary!$E$39-(Summary!$E$29-ROUND((-PMT('Fixed Cost Input'!$D$13,'Fixed Cost Input'!$E$13,'Fixed Cost Input'!$E$6*(1-B94),0)+('Fixed Cost Input'!$E$6*('Fixed Cost Input'!$E$8+Risk!$E$11)*'Fixed Cost Input'!$E$10))/Input!$E$9/Input!$E$15,2))</f>
        <v>1.6894100000000003</v>
      </c>
      <c r="D94" s="176">
        <f>Summary!$I$39-(Summary!$I$29-ROUND((-PMT('Fixed Cost Input'!$H$13,'Fixed Cost Input'!$I$13,'Fixed Cost Input'!$I$6*(1-B94),0)+('Fixed Cost Input'!$I$6*('Fixed Cost Input'!$I$8+Risk!$I$11)*'Fixed Cost Input'!$I$10))/Input!$H$9/Input!$H$15,2))</f>
        <v>1.7253074602314813</v>
      </c>
      <c r="F94" s="185">
        <f>SUM(C94*Input!$E$15)</f>
        <v>228.07035000000005</v>
      </c>
      <c r="G94" s="185">
        <f>SUM(D94*Input!$H$15)</f>
        <v>232.91650713124997</v>
      </c>
      <c r="I94" s="185">
        <f>SUM(F94*Input!$E$9)</f>
        <v>134.56150650000001</v>
      </c>
      <c r="J94" s="185">
        <f>SUM(G94*Input!$H$9)</f>
        <v>46.583301426249996</v>
      </c>
    </row>
    <row r="95" spans="2:10" ht="15.5" x14ac:dyDescent="0.35">
      <c r="B95" s="180">
        <v>0.7</v>
      </c>
      <c r="C95" s="176">
        <f>Summary!$E$39-(Summary!$E$29-ROUND((-PMT('Fixed Cost Input'!$D$13,'Fixed Cost Input'!$E$13,'Fixed Cost Input'!$E$6*(1-B95),0)+('Fixed Cost Input'!$E$6*('Fixed Cost Input'!$E$8+Risk!$E$11)*'Fixed Cost Input'!$E$10))/Input!$E$9/Input!$E$15,2))</f>
        <v>1.4994100000000004</v>
      </c>
      <c r="D95" s="176">
        <f>Summary!$I$39-(Summary!$I$29-ROUND((-PMT('Fixed Cost Input'!$H$13,'Fixed Cost Input'!$I$13,'Fixed Cost Input'!$I$6*(1-B95),0)+('Fixed Cost Input'!$I$6*('Fixed Cost Input'!$I$8+Risk!$I$11)*'Fixed Cost Input'!$I$10))/Input!$H$9/Input!$H$15,2))</f>
        <v>1.4753074602314813</v>
      </c>
      <c r="F95" s="185">
        <f>SUM(C95*Input!$E$15)</f>
        <v>202.42035000000004</v>
      </c>
      <c r="G95" s="185">
        <f>SUM(D95*Input!$H$15)</f>
        <v>199.16650713124997</v>
      </c>
      <c r="I95" s="185">
        <f>SUM(F95*Input!$E$9)</f>
        <v>119.42800650000002</v>
      </c>
      <c r="J95" s="185">
        <f>SUM(G95*Input!$H$9)</f>
        <v>39.833301426249996</v>
      </c>
    </row>
    <row r="96" spans="2:10" ht="15.5" x14ac:dyDescent="0.35">
      <c r="B96" s="180">
        <v>0.8</v>
      </c>
      <c r="C96" s="176">
        <f>Summary!$E$39-(Summary!$E$29-ROUND((-PMT('Fixed Cost Input'!$D$13,'Fixed Cost Input'!$E$13,'Fixed Cost Input'!$E$6*(1-B96),0)+('Fixed Cost Input'!$E$6*('Fixed Cost Input'!$E$8+Risk!$E$11)*'Fixed Cost Input'!$E$10))/Input!$E$9/Input!$E$15,2))</f>
        <v>1.3194100000000002</v>
      </c>
      <c r="D96" s="176">
        <f>Summary!$I$39-(Summary!$I$29-ROUND((-PMT('Fixed Cost Input'!$H$13,'Fixed Cost Input'!$I$13,'Fixed Cost Input'!$I$6*(1-B96),0)+('Fixed Cost Input'!$I$6*('Fixed Cost Input'!$I$8+Risk!$I$11)*'Fixed Cost Input'!$I$10))/Input!$H$9/Input!$H$15,2))</f>
        <v>1.2353074602314815</v>
      </c>
      <c r="F96" s="185">
        <f>SUM(C96*Input!$E$15)</f>
        <v>178.12035000000003</v>
      </c>
      <c r="G96" s="185">
        <f>SUM(D96*Input!$H$15)</f>
        <v>166.76650713124999</v>
      </c>
      <c r="I96" s="185">
        <f>SUM(F96*Input!$E$9)</f>
        <v>105.09100650000001</v>
      </c>
      <c r="J96" s="185">
        <f>SUM(G96*Input!$H$9)</f>
        <v>33.353301426249999</v>
      </c>
    </row>
    <row r="97" spans="1:10" ht="15.5" x14ac:dyDescent="0.35">
      <c r="B97" s="180">
        <v>0.9</v>
      </c>
      <c r="C97" s="176">
        <f>Summary!$E$39-(Summary!$E$29-ROUND((-PMT('Fixed Cost Input'!$D$13,'Fixed Cost Input'!$E$13,'Fixed Cost Input'!$E$6*(1-B97),0)+('Fixed Cost Input'!$E$6*('Fixed Cost Input'!$E$8+Risk!$E$11)*'Fixed Cost Input'!$E$10))/Input!$E$9/Input!$E$15,2))</f>
        <v>1.1294100000000002</v>
      </c>
      <c r="D97" s="176">
        <f>Summary!$I$39-(Summary!$I$29-ROUND((-PMT('Fixed Cost Input'!$H$13,'Fixed Cost Input'!$I$13,'Fixed Cost Input'!$I$6*(1-B97),0)+('Fixed Cost Input'!$I$6*('Fixed Cost Input'!$I$8+Risk!$I$11)*'Fixed Cost Input'!$I$10))/Input!$H$9/Input!$H$15,2))</f>
        <v>0.98530746023148141</v>
      </c>
      <c r="F97" s="185">
        <f>SUM(C97*Input!$E$15)</f>
        <v>152.47035000000002</v>
      </c>
      <c r="G97" s="185">
        <f>SUM(D97*Input!$H$15)</f>
        <v>133.01650713124999</v>
      </c>
      <c r="I97" s="185">
        <f>SUM(F97*Input!$E$9)</f>
        <v>89.957506500000008</v>
      </c>
      <c r="J97" s="185">
        <f>SUM(G97*Input!$H$9)</f>
        <v>26.603301426249999</v>
      </c>
    </row>
    <row r="98" spans="1:10" ht="15.5" x14ac:dyDescent="0.35">
      <c r="B98" s="180">
        <v>1</v>
      </c>
      <c r="C98" s="176">
        <f>Summary!$E$39-(Summary!$E$29-ROUND((-PMT('Fixed Cost Input'!$D$13,'Fixed Cost Input'!$E$13,'Fixed Cost Input'!$E$6*(1-B98),0)+('Fixed Cost Input'!$E$6*('Fixed Cost Input'!$E$8+Risk!$E$11)*'Fixed Cost Input'!$E$10))/Input!$E$9/Input!$E$15,2))</f>
        <v>0.94941000000000031</v>
      </c>
      <c r="D98" s="176">
        <f>Summary!$I$39-(Summary!$I$29-ROUND((-PMT('Fixed Cost Input'!$H$13,'Fixed Cost Input'!$I$13,'Fixed Cost Input'!$I$6*(1-B98),0)+('Fixed Cost Input'!$I$6*('Fixed Cost Input'!$I$8+Risk!$I$11)*'Fixed Cost Input'!$I$10))/Input!$H$9/Input!$H$15,2))</f>
        <v>0.74530746023148142</v>
      </c>
      <c r="F98" s="185">
        <f>SUM(C98*Input!$E$15)</f>
        <v>128.17035000000004</v>
      </c>
      <c r="G98" s="185">
        <f>SUM(D98*Input!$H$15)</f>
        <v>100.61650713124999</v>
      </c>
      <c r="I98" s="185">
        <f>SUM(F98*Input!$E$9)</f>
        <v>75.620506500000019</v>
      </c>
      <c r="J98" s="185">
        <f>SUM(G98*Input!$H$9)</f>
        <v>20.123301426249999</v>
      </c>
    </row>
    <row r="99" spans="1:10" ht="15.5" x14ac:dyDescent="0.35">
      <c r="B99" s="180"/>
      <c r="C99" s="176"/>
      <c r="D99" s="176"/>
    </row>
    <row r="107" spans="1:10" ht="15.5" x14ac:dyDescent="0.35">
      <c r="B107" s="182" t="str">
        <f>"Impact of Pasture Equity on Payment Per Acre (@"&amp;'Fixed Cost Input'!D13*100&amp;"% for "&amp;'Fixed Cost Input'!E13&amp;" yrs) "</f>
        <v xml:space="preserve">Impact of Pasture Equity on Payment Per Acre (@6% for 25 yrs) </v>
      </c>
    </row>
    <row r="108" spans="1:10" ht="15.5" x14ac:dyDescent="0.35">
      <c r="A108" s="181"/>
      <c r="B108" s="182" t="str">
        <f>"Impact of Pasture Equity on Payment Per Quarter (@"&amp;'Fixed Cost Input'!D13*100&amp;"% for "&amp;'Fixed Cost Input'!E13&amp;" yrs) "</f>
        <v xml:space="preserve">Impact of Pasture Equity on Payment Per Quarter (@6% for 25 yrs) </v>
      </c>
      <c r="C108" s="182"/>
      <c r="D108" s="182"/>
      <c r="E108" s="181"/>
      <c r="F108" s="181"/>
      <c r="G108" s="181"/>
      <c r="H108" s="181"/>
      <c r="I108" s="181"/>
      <c r="J108" s="181"/>
    </row>
    <row r="109" spans="1:10" ht="15.5" x14ac:dyDescent="0.35">
      <c r="A109" s="181"/>
      <c r="B109" s="182" t="str">
        <f>"Impact of Pasture Equity on Payment Per Cow (@"&amp;'Fixed Cost Input'!D13*100&amp;"% for "&amp;'Fixed Cost Input'!E13&amp;" yrs) "</f>
        <v xml:space="preserve">Impact of Pasture Equity on Payment Per Cow (@6% for 25 yrs) </v>
      </c>
      <c r="C109" s="144"/>
      <c r="D109" s="144"/>
    </row>
    <row r="110" spans="1:10" ht="77.5" x14ac:dyDescent="0.35">
      <c r="A110" s="181"/>
      <c r="B110" s="175" t="s">
        <v>270</v>
      </c>
      <c r="C110" s="183" t="str">
        <f>"Improved Pasture ("&amp;TEXT('Fixed Cost Input'!E6,"$#,###")&amp;"/ac)"</f>
        <v>Improved Pasture ($1,875/ac)</v>
      </c>
      <c r="D110" s="183" t="str">
        <f>"Marginal Pasture  ("&amp;TEXT('Fixed Cost Input'!I6,"$#,###")&amp;"/ac)"</f>
        <v>Marginal Pasture  ($844/ac)</v>
      </c>
      <c r="F110" s="128" t="str">
        <f>"Improved Pasture ("&amp;TEXT('Fixed Cost Input'!E6,"$#,###")&amp;"/ac)"</f>
        <v>Improved Pasture ($1,875/ac)</v>
      </c>
      <c r="G110" s="128" t="str">
        <f>"Marginal Pasture  ("&amp;TEXT('Fixed Cost Input'!I6,"$#,###")&amp;"/ac)"</f>
        <v>Marginal Pasture  ($844/ac)</v>
      </c>
      <c r="I110" s="128" t="str">
        <f>"Improved Pasture ("&amp;TEXT('Fixed Cost Input'!E6,"$#,###")&amp;"/ac)"</f>
        <v>Improved Pasture ($1,875/ac)</v>
      </c>
      <c r="J110" s="128" t="str">
        <f>"Marginal Pasture  ("&amp;TEXT('Fixed Cost Input'!I6,"$#,###")&amp;"/ac)"</f>
        <v>Marginal Pasture  ($844/ac)</v>
      </c>
    </row>
    <row r="111" spans="1:10" ht="15.5" x14ac:dyDescent="0.35">
      <c r="A111" s="181"/>
      <c r="B111" s="184">
        <v>0</v>
      </c>
      <c r="C111" s="186">
        <f>-PMT('Fixed Cost Input'!$D$13,'Fixed Cost Input'!$E$13,'Fixed Cost Input'!$E$6*(1-B111),0)</f>
        <v>146.67509664801372</v>
      </c>
      <c r="D111" s="186">
        <f>-PMT('Fixed Cost Input'!$H$13,'Fixed Cost Input'!$I$13,'Fixed Cost Input'!$I$6*(1-B111),0)</f>
        <v>66.003793491606174</v>
      </c>
      <c r="F111" s="185">
        <f>SUM(C111*160)</f>
        <v>23468.015463682197</v>
      </c>
      <c r="G111" s="185">
        <f>SUM(D111*160)</f>
        <v>10560.606958656988</v>
      </c>
      <c r="I111" s="185">
        <f>C111/Input!$E$9</f>
        <v>248.60185872544699</v>
      </c>
      <c r="J111" s="185">
        <f>D111/Input!$H$9</f>
        <v>330.01896745803083</v>
      </c>
    </row>
    <row r="112" spans="1:10" ht="15.5" x14ac:dyDescent="0.35">
      <c r="A112" s="181"/>
      <c r="B112" s="184">
        <v>0.1</v>
      </c>
      <c r="C112" s="186">
        <f>-PMT('Fixed Cost Input'!$D$13,'Fixed Cost Input'!$E$13,'Fixed Cost Input'!$E$6*(1-B112),0)</f>
        <v>132.00758698321235</v>
      </c>
      <c r="D112" s="186">
        <f>-PMT('Fixed Cost Input'!$H$13,'Fixed Cost Input'!$I$13,'Fixed Cost Input'!$I$6*(1-B112),0)</f>
        <v>59.403414142445556</v>
      </c>
      <c r="F112" s="185">
        <f t="shared" ref="F112:F121" si="0">SUM(C112*160)</f>
        <v>21121.213917313977</v>
      </c>
      <c r="G112" s="185">
        <f t="shared" ref="G112:G121" si="1">SUM(D112*160)</f>
        <v>9504.5462627912893</v>
      </c>
      <c r="I112" s="185">
        <f>C112/Input!$E$9</f>
        <v>223.7416728529023</v>
      </c>
      <c r="J112" s="185">
        <f>D112/Input!$H$9</f>
        <v>297.01707071222773</v>
      </c>
    </row>
    <row r="113" spans="1:10" ht="15.5" x14ac:dyDescent="0.35">
      <c r="A113" s="181"/>
      <c r="B113" s="184">
        <v>0.2</v>
      </c>
      <c r="C113" s="186">
        <f>-PMT('Fixed Cost Input'!$D$13,'Fixed Cost Input'!$E$13,'Fixed Cost Input'!$E$6*(1-B113),0)</f>
        <v>117.34007731841096</v>
      </c>
      <c r="D113" s="186">
        <f>-PMT('Fixed Cost Input'!$H$13,'Fixed Cost Input'!$I$13,'Fixed Cost Input'!$I$6*(1-B113),0)</f>
        <v>52.803034793284937</v>
      </c>
      <c r="F113" s="185">
        <f t="shared" si="0"/>
        <v>18774.412370945753</v>
      </c>
      <c r="G113" s="185">
        <f t="shared" si="1"/>
        <v>8448.4855669255903</v>
      </c>
      <c r="I113" s="185">
        <f>C113/Input!$E$9</f>
        <v>198.88148698035758</v>
      </c>
      <c r="J113" s="185">
        <f>D113/Input!$H$9</f>
        <v>264.01517396642464</v>
      </c>
    </row>
    <row r="114" spans="1:10" ht="15.5" x14ac:dyDescent="0.35">
      <c r="A114" s="181"/>
      <c r="B114" s="184">
        <v>0.3</v>
      </c>
      <c r="C114" s="186">
        <f>-PMT('Fixed Cost Input'!$D$13,'Fixed Cost Input'!$E$13,'Fixed Cost Input'!$E$6*(1-B114),0)</f>
        <v>102.67256765360959</v>
      </c>
      <c r="D114" s="186">
        <f>-PMT('Fixed Cost Input'!$H$13,'Fixed Cost Input'!$I$13,'Fixed Cost Input'!$I$6*(1-B114),0)</f>
        <v>46.202655444124318</v>
      </c>
      <c r="F114" s="185">
        <f t="shared" si="0"/>
        <v>16427.610824577536</v>
      </c>
      <c r="G114" s="185">
        <f t="shared" si="1"/>
        <v>7392.4248710598913</v>
      </c>
      <c r="I114" s="185">
        <f>C114/Input!$E$9</f>
        <v>174.02130110781286</v>
      </c>
      <c r="J114" s="185">
        <f>D114/Input!$H$9</f>
        <v>231.01327722062157</v>
      </c>
    </row>
    <row r="115" spans="1:10" ht="15.5" x14ac:dyDescent="0.35">
      <c r="A115" s="181"/>
      <c r="B115" s="184">
        <v>0.4</v>
      </c>
      <c r="C115" s="186">
        <f>-PMT('Fixed Cost Input'!$D$13,'Fixed Cost Input'!$E$13,'Fixed Cost Input'!$E$6*(1-B115),0)</f>
        <v>88.005057988808232</v>
      </c>
      <c r="D115" s="186">
        <f>-PMT('Fixed Cost Input'!$H$13,'Fixed Cost Input'!$I$13,'Fixed Cost Input'!$I$6*(1-B115),0)</f>
        <v>39.602276094963706</v>
      </c>
      <c r="F115" s="185">
        <f t="shared" si="0"/>
        <v>14080.809278209317</v>
      </c>
      <c r="G115" s="185">
        <f t="shared" si="1"/>
        <v>6336.3641751941932</v>
      </c>
      <c r="I115" s="185">
        <f>C115/Input!$E$9</f>
        <v>149.1611152352682</v>
      </c>
      <c r="J115" s="185">
        <f>D115/Input!$H$9</f>
        <v>198.01138047481851</v>
      </c>
    </row>
    <row r="116" spans="1:10" ht="15.5" x14ac:dyDescent="0.35">
      <c r="A116" s="181"/>
      <c r="B116" s="184">
        <v>0.5</v>
      </c>
      <c r="C116" s="186">
        <f>-PMT('Fixed Cost Input'!$D$13,'Fixed Cost Input'!$E$13,'Fixed Cost Input'!$E$6*(1-B116),0)</f>
        <v>73.33754832400686</v>
      </c>
      <c r="D116" s="186">
        <f>-PMT('Fixed Cost Input'!$H$13,'Fixed Cost Input'!$I$13,'Fixed Cost Input'!$I$6*(1-B116),0)</f>
        <v>33.001896745803087</v>
      </c>
      <c r="F116" s="185">
        <f t="shared" si="0"/>
        <v>11734.007731841099</v>
      </c>
      <c r="G116" s="185">
        <f t="shared" si="1"/>
        <v>5280.3034793284942</v>
      </c>
      <c r="I116" s="185">
        <f>C116/Input!$E$9</f>
        <v>124.30092936272349</v>
      </c>
      <c r="J116" s="185">
        <f>D116/Input!$H$9</f>
        <v>165.00948372901541</v>
      </c>
    </row>
    <row r="117" spans="1:10" ht="15.5" x14ac:dyDescent="0.35">
      <c r="A117" s="181"/>
      <c r="B117" s="184">
        <v>0.6</v>
      </c>
      <c r="C117" s="186">
        <f>-PMT('Fixed Cost Input'!$D$13,'Fixed Cost Input'!$E$13,'Fixed Cost Input'!$E$6*(1-B117),0)</f>
        <v>58.670038659205481</v>
      </c>
      <c r="D117" s="186">
        <f>-PMT('Fixed Cost Input'!$H$13,'Fixed Cost Input'!$I$13,'Fixed Cost Input'!$I$6*(1-B117),0)</f>
        <v>26.401517396642468</v>
      </c>
      <c r="F117" s="185">
        <f t="shared" si="0"/>
        <v>9387.2061854728763</v>
      </c>
      <c r="G117" s="185">
        <f t="shared" si="1"/>
        <v>4224.2427834627952</v>
      </c>
      <c r="I117" s="185">
        <f>C117/Input!$E$9</f>
        <v>99.440743490178789</v>
      </c>
      <c r="J117" s="185">
        <f>D117/Input!$H$9</f>
        <v>132.00758698321232</v>
      </c>
    </row>
    <row r="118" spans="1:10" ht="15.5" x14ac:dyDescent="0.35">
      <c r="A118" s="181"/>
      <c r="B118" s="180">
        <v>0.7</v>
      </c>
      <c r="C118" s="186">
        <f>-PMT('Fixed Cost Input'!$D$13,'Fixed Cost Input'!$E$13,'Fixed Cost Input'!$E$6*(1-B118),0)</f>
        <v>44.002528994404123</v>
      </c>
      <c r="D118" s="186">
        <f>-PMT('Fixed Cost Input'!$H$13,'Fixed Cost Input'!$I$13,'Fixed Cost Input'!$I$6*(1-B118),0)</f>
        <v>19.801138047481853</v>
      </c>
      <c r="F118" s="185">
        <f t="shared" si="0"/>
        <v>7040.4046391046595</v>
      </c>
      <c r="G118" s="185">
        <f t="shared" si="1"/>
        <v>3168.1820875970966</v>
      </c>
      <c r="I118" s="185">
        <f>C118/Input!$E$9</f>
        <v>74.580557617634113</v>
      </c>
      <c r="J118" s="185">
        <f>D118/Input!$H$9</f>
        <v>99.005690237409254</v>
      </c>
    </row>
    <row r="119" spans="1:10" ht="15.5" x14ac:dyDescent="0.35">
      <c r="A119" s="181"/>
      <c r="B119" s="180">
        <v>0.8</v>
      </c>
      <c r="C119" s="186">
        <f>-PMT('Fixed Cost Input'!$D$13,'Fixed Cost Input'!$E$13,'Fixed Cost Input'!$E$6*(1-B119),0)</f>
        <v>29.335019329602737</v>
      </c>
      <c r="D119" s="186">
        <f>-PMT('Fixed Cost Input'!$H$13,'Fixed Cost Input'!$I$13,'Fixed Cost Input'!$I$6*(1-B119),0)</f>
        <v>13.200758698321232</v>
      </c>
      <c r="F119" s="185">
        <f t="shared" si="0"/>
        <v>4693.6030927364382</v>
      </c>
      <c r="G119" s="185">
        <f t="shared" si="1"/>
        <v>2112.1213917313971</v>
      </c>
      <c r="I119" s="185">
        <f>C119/Input!$E$9</f>
        <v>49.720371745089388</v>
      </c>
      <c r="J119" s="185">
        <f>D119/Input!$H$9</f>
        <v>66.00379349160616</v>
      </c>
    </row>
    <row r="120" spans="1:10" ht="15.5" x14ac:dyDescent="0.35">
      <c r="A120" s="181"/>
      <c r="B120" s="180">
        <v>0.9</v>
      </c>
      <c r="C120" s="186">
        <f>-PMT('Fixed Cost Input'!$D$13,'Fixed Cost Input'!$E$13,'Fixed Cost Input'!$E$6*(1-B120),0)</f>
        <v>14.667509664801369</v>
      </c>
      <c r="D120" s="186">
        <f>-PMT('Fixed Cost Input'!$H$13,'Fixed Cost Input'!$I$13,'Fixed Cost Input'!$I$6*(1-B120),0)</f>
        <v>6.6003793491606162</v>
      </c>
      <c r="F120" s="185">
        <f t="shared" si="0"/>
        <v>2346.8015463682191</v>
      </c>
      <c r="G120" s="185">
        <f t="shared" si="1"/>
        <v>1056.0606958656986</v>
      </c>
      <c r="I120" s="185">
        <f>C120/Input!$E$9</f>
        <v>24.860185872544694</v>
      </c>
      <c r="J120" s="185">
        <f>D120/Input!$H$9</f>
        <v>33.00189674580308</v>
      </c>
    </row>
    <row r="121" spans="1:10" ht="15.5" x14ac:dyDescent="0.35">
      <c r="A121" s="181"/>
      <c r="B121" s="180">
        <v>1</v>
      </c>
      <c r="C121" s="186">
        <f>-PMT('Fixed Cost Input'!$D$13,'Fixed Cost Input'!$E$13,'Fixed Cost Input'!$E$6*(1-B121),0)</f>
        <v>0</v>
      </c>
      <c r="D121" s="186">
        <f>-PMT('Fixed Cost Input'!$H$13,'Fixed Cost Input'!$I$13,'Fixed Cost Input'!$I$6*(1-B121),0)</f>
        <v>0</v>
      </c>
      <c r="F121" s="185">
        <f t="shared" si="0"/>
        <v>0</v>
      </c>
      <c r="G121" s="185">
        <f t="shared" si="1"/>
        <v>0</v>
      </c>
      <c r="I121" s="185">
        <f>C121/Input!$E$9</f>
        <v>0</v>
      </c>
      <c r="J121" s="185">
        <f>D121/Input!$H$9</f>
        <v>0</v>
      </c>
    </row>
    <row r="129" spans="2:8" ht="15.5" x14ac:dyDescent="0.35">
      <c r="B129" s="1" t="str">
        <f>"Premium = $"&amp;ROUND('Pasture Insurance'!C29,0)</f>
        <v>Premium = $622</v>
      </c>
      <c r="C129" s="256"/>
      <c r="D129" s="256"/>
      <c r="E129" s="256"/>
      <c r="F129" s="256"/>
      <c r="G129" s="257" t="str">
        <f>"Improved Pasture Indemnity = $"&amp;TEXT('Pasture Insurance'!C39,"#,###")&amp;" or $"&amp;ROUND('Pasture Insurance'!C41,0)&amp;"/hd    Unimproved Pasture Indemnity = $"&amp;TEXT('Pasture Insurance'!G39,"#,###")&amp;" or $"&amp;ROUND('Pasture Insurance'!G41,0)&amp;"/head"</f>
        <v>Improved Pasture Indemnity = $5,655 or $60/hd    Unimproved Pasture Indemnity = $1,947 or $61/head</v>
      </c>
      <c r="H129" s="256"/>
    </row>
    <row r="130" spans="2:8" ht="15.5" x14ac:dyDescent="0.35">
      <c r="B130" s="1" t="str">
        <f>"Premium = $"&amp;ROUND('Pasture Insurance'!G29,0)</f>
        <v>Premium = $214</v>
      </c>
      <c r="C130" s="256"/>
      <c r="D130" s="256"/>
      <c r="E130" s="256" t="s">
        <v>356</v>
      </c>
      <c r="F130" s="256" t="s">
        <v>357</v>
      </c>
      <c r="G130" s="256" t="str">
        <f>'Pasture Insurance'!E36&amp;" Actual Grazing Days "</f>
        <v xml:space="preserve">100 Actual Grazing Days </v>
      </c>
      <c r="H130" s="256"/>
    </row>
    <row r="131" spans="2:8" x14ac:dyDescent="0.25">
      <c r="B131" s="256">
        <v>1</v>
      </c>
      <c r="C131" s="256"/>
      <c r="D131" s="258">
        <f>'Pasture Insurance'!$D$64</f>
        <v>0</v>
      </c>
      <c r="E131" s="256"/>
      <c r="F131" s="256"/>
      <c r="G131" s="257">
        <f>'Pasture Insurance'!E36</f>
        <v>100</v>
      </c>
      <c r="H131" s="256"/>
    </row>
    <row r="132" spans="2:8" x14ac:dyDescent="0.25">
      <c r="B132" s="259">
        <v>2</v>
      </c>
      <c r="C132" s="256"/>
      <c r="D132" s="258">
        <f>'Pasture Insurance'!$D$64</f>
        <v>0</v>
      </c>
      <c r="E132" s="257">
        <f>ROUND('Pasture Insurance'!D4,0)</f>
        <v>134</v>
      </c>
      <c r="F132" s="257">
        <f>ROUND('Pasture Insurance'!D4*'Pasture Insurance'!D5,0)</f>
        <v>121</v>
      </c>
      <c r="G132" s="257">
        <f>'Pasture Insurance'!E36</f>
        <v>100</v>
      </c>
      <c r="H132" s="256"/>
    </row>
    <row r="133" spans="2:8" x14ac:dyDescent="0.25">
      <c r="B133" s="256">
        <v>3</v>
      </c>
      <c r="C133" s="256"/>
      <c r="D133" s="256"/>
      <c r="E133" s="256"/>
      <c r="F133" s="256"/>
      <c r="G133" s="257">
        <f>'Pasture Insurance'!E36</f>
        <v>100</v>
      </c>
      <c r="H133" s="256"/>
    </row>
    <row r="134" spans="2:8" x14ac:dyDescent="0.25">
      <c r="D134" s="60" t="s">
        <v>136</v>
      </c>
      <c r="E134" s="60" t="s">
        <v>137</v>
      </c>
    </row>
    <row r="135" spans="2:8" x14ac:dyDescent="0.25">
      <c r="C135" s="222">
        <f>ROUND('Pasture Insurance'!C21/'Pasture Insurance'!D17,0)</f>
        <v>121</v>
      </c>
      <c r="D135" s="253">
        <f>IF(('Pasture Insurance'!$C$21-(C135*'Pasture Insurance'!$D$17))*'Pasture Insurance'!$D$8&lt;0,0,('Pasture Insurance'!$C$21-(C135*'Pasture Insurance'!$D$17))*'Pasture Insurance'!$D$8)</f>
        <v>0</v>
      </c>
      <c r="E135" s="253">
        <f>IF(('Pasture Insurance'!$G$21-(C135*'Pasture Insurance'!$H$17))*'Pasture Insurance'!$D$8&lt;0,0,('Pasture Insurance'!$G$21-(C135*'Pasture Insurance'!$H$17))*'Pasture Insurance'!$D$8)</f>
        <v>0</v>
      </c>
    </row>
    <row r="136" spans="2:8" x14ac:dyDescent="0.25">
      <c r="C136" s="222">
        <f t="shared" ref="C136:C167" si="2">C135-1</f>
        <v>120</v>
      </c>
      <c r="D136" s="253">
        <f>IF(('Pasture Insurance'!$C$21-(C136*'Pasture Insurance'!$D$17))*'Pasture Insurance'!$D$8&lt;0,0,('Pasture Insurance'!$C$21-(C136*'Pasture Insurance'!$D$17))*'Pasture Insurance'!$D$8)</f>
        <v>164.70000000000164</v>
      </c>
      <c r="E136" s="253">
        <f>IF(('Pasture Insurance'!$G$21-(C136*'Pasture Insurance'!$H$17))*'Pasture Insurance'!$D$8&lt;0,0,('Pasture Insurance'!$G$21-(C136*'Pasture Insurance'!$H$17))*'Pasture Insurance'!$D$8)</f>
        <v>56.699999999999591</v>
      </c>
    </row>
    <row r="137" spans="2:8" x14ac:dyDescent="0.25">
      <c r="C137" s="222">
        <f t="shared" si="2"/>
        <v>119</v>
      </c>
      <c r="D137" s="253">
        <f>IF(('Pasture Insurance'!$C$21-(C137*'Pasture Insurance'!$D$17))*'Pasture Insurance'!$D$8&lt;0,0,('Pasture Insurance'!$C$21-(C137*'Pasture Insurance'!$D$17))*'Pasture Insurance'!$D$8)</f>
        <v>439.20000000000164</v>
      </c>
      <c r="E137" s="253">
        <f>IF(('Pasture Insurance'!$G$21-(C137*'Pasture Insurance'!$H$17))*'Pasture Insurance'!$D$8&lt;0,0,('Pasture Insurance'!$G$21-(C137*'Pasture Insurance'!$H$17))*'Pasture Insurance'!$D$8)</f>
        <v>151.19999999999959</v>
      </c>
    </row>
    <row r="138" spans="2:8" x14ac:dyDescent="0.25">
      <c r="C138" s="222">
        <f t="shared" si="2"/>
        <v>118</v>
      </c>
      <c r="D138" s="253">
        <f>IF(('Pasture Insurance'!$C$21-(C138*'Pasture Insurance'!$D$17))*'Pasture Insurance'!$D$8&lt;0,0,('Pasture Insurance'!$C$21-(C138*'Pasture Insurance'!$D$17))*'Pasture Insurance'!$D$8)</f>
        <v>713.70000000000164</v>
      </c>
      <c r="E138" s="253">
        <f>IF(('Pasture Insurance'!$G$21-(C138*'Pasture Insurance'!$H$17))*'Pasture Insurance'!$D$8&lt;0,0,('Pasture Insurance'!$G$21-(C138*'Pasture Insurance'!$H$17))*'Pasture Insurance'!$D$8)</f>
        <v>245.69999999999959</v>
      </c>
    </row>
    <row r="139" spans="2:8" x14ac:dyDescent="0.25">
      <c r="C139" s="222">
        <f t="shared" si="2"/>
        <v>117</v>
      </c>
      <c r="D139" s="253">
        <f>IF(('Pasture Insurance'!$C$21-(C139*'Pasture Insurance'!$D$17))*'Pasture Insurance'!$D$8&lt;0,0,('Pasture Insurance'!$C$21-(C139*'Pasture Insurance'!$D$17))*'Pasture Insurance'!$D$8)</f>
        <v>988.20000000000164</v>
      </c>
      <c r="E139" s="253">
        <f>IF(('Pasture Insurance'!$G$21-(C139*'Pasture Insurance'!$H$17))*'Pasture Insurance'!$D$8&lt;0,0,('Pasture Insurance'!$G$21-(C139*'Pasture Insurance'!$H$17))*'Pasture Insurance'!$D$8)</f>
        <v>340.19999999999959</v>
      </c>
    </row>
    <row r="140" spans="2:8" x14ac:dyDescent="0.25">
      <c r="C140" s="222">
        <f t="shared" si="2"/>
        <v>116</v>
      </c>
      <c r="D140" s="253">
        <f>IF(('Pasture Insurance'!$C$21-(C140*'Pasture Insurance'!$D$17))*'Pasture Insurance'!$D$8&lt;0,0,('Pasture Insurance'!$C$21-(C140*'Pasture Insurance'!$D$17))*'Pasture Insurance'!$D$8)</f>
        <v>1262.7000000000016</v>
      </c>
      <c r="E140" s="253">
        <f>IF(('Pasture Insurance'!$G$21-(C140*'Pasture Insurance'!$H$17))*'Pasture Insurance'!$D$8&lt;0,0,('Pasture Insurance'!$G$21-(C140*'Pasture Insurance'!$H$17))*'Pasture Insurance'!$D$8)</f>
        <v>434.69999999999959</v>
      </c>
    </row>
    <row r="141" spans="2:8" x14ac:dyDescent="0.25">
      <c r="C141" s="222">
        <f t="shared" si="2"/>
        <v>115</v>
      </c>
      <c r="D141" s="253">
        <f>IF(('Pasture Insurance'!$C$21-(C141*'Pasture Insurance'!$D$17))*'Pasture Insurance'!$D$8&lt;0,0,('Pasture Insurance'!$C$21-(C141*'Pasture Insurance'!$D$17))*'Pasture Insurance'!$D$8)</f>
        <v>1537.2000000000016</v>
      </c>
      <c r="E141" s="253">
        <f>IF(('Pasture Insurance'!$G$21-(C141*'Pasture Insurance'!$H$17))*'Pasture Insurance'!$D$8&lt;0,0,('Pasture Insurance'!$G$21-(C141*'Pasture Insurance'!$H$17))*'Pasture Insurance'!$D$8)</f>
        <v>529.19999999999959</v>
      </c>
    </row>
    <row r="142" spans="2:8" x14ac:dyDescent="0.25">
      <c r="C142" s="222">
        <f t="shared" si="2"/>
        <v>114</v>
      </c>
      <c r="D142" s="253">
        <f>IF(('Pasture Insurance'!$C$21-(C142*'Pasture Insurance'!$D$17))*'Pasture Insurance'!$D$8&lt;0,0,('Pasture Insurance'!$C$21-(C142*'Pasture Insurance'!$D$17))*'Pasture Insurance'!$D$8)</f>
        <v>1811.7000000000016</v>
      </c>
      <c r="E142" s="253">
        <f>IF(('Pasture Insurance'!$G$21-(C142*'Pasture Insurance'!$H$17))*'Pasture Insurance'!$D$8&lt;0,0,('Pasture Insurance'!$G$21-(C142*'Pasture Insurance'!$H$17))*'Pasture Insurance'!$D$8)</f>
        <v>623.69999999999959</v>
      </c>
    </row>
    <row r="143" spans="2:8" x14ac:dyDescent="0.25">
      <c r="C143" s="222">
        <f t="shared" si="2"/>
        <v>113</v>
      </c>
      <c r="D143" s="253">
        <f>IF(('Pasture Insurance'!$C$21-(C143*'Pasture Insurance'!$D$17))*'Pasture Insurance'!$D$8&lt;0,0,('Pasture Insurance'!$C$21-(C143*'Pasture Insurance'!$D$17))*'Pasture Insurance'!$D$8)</f>
        <v>2086.2000000000016</v>
      </c>
      <c r="E143" s="253">
        <f>IF(('Pasture Insurance'!$G$21-(C143*'Pasture Insurance'!$H$17))*'Pasture Insurance'!$D$8&lt;0,0,('Pasture Insurance'!$G$21-(C143*'Pasture Insurance'!$H$17))*'Pasture Insurance'!$D$8)</f>
        <v>718.19999999999959</v>
      </c>
    </row>
    <row r="144" spans="2:8" x14ac:dyDescent="0.25">
      <c r="C144" s="222">
        <f t="shared" si="2"/>
        <v>112</v>
      </c>
      <c r="D144" s="253">
        <f>IF(('Pasture Insurance'!$C$21-(C144*'Pasture Insurance'!$D$17))*'Pasture Insurance'!$D$8&lt;0,0,('Pasture Insurance'!$C$21-(C144*'Pasture Insurance'!$D$17))*'Pasture Insurance'!$D$8)</f>
        <v>2360.7000000000016</v>
      </c>
      <c r="E144" s="253">
        <f>IF(('Pasture Insurance'!$G$21-(C144*'Pasture Insurance'!$H$17))*'Pasture Insurance'!$D$8&lt;0,0,('Pasture Insurance'!$G$21-(C144*'Pasture Insurance'!$H$17))*'Pasture Insurance'!$D$8)</f>
        <v>812.69999999999959</v>
      </c>
    </row>
    <row r="145" spans="3:5" x14ac:dyDescent="0.25">
      <c r="C145" s="222">
        <f t="shared" si="2"/>
        <v>111</v>
      </c>
      <c r="D145" s="253">
        <f>IF(('Pasture Insurance'!$C$21-(C145*'Pasture Insurance'!$D$17))*'Pasture Insurance'!$D$8&lt;0,0,('Pasture Insurance'!$C$21-(C145*'Pasture Insurance'!$D$17))*'Pasture Insurance'!$D$8)</f>
        <v>2635.2000000000016</v>
      </c>
      <c r="E145" s="253">
        <f>IF(('Pasture Insurance'!$G$21-(C145*'Pasture Insurance'!$H$17))*'Pasture Insurance'!$D$8&lt;0,0,('Pasture Insurance'!$G$21-(C145*'Pasture Insurance'!$H$17))*'Pasture Insurance'!$D$8)</f>
        <v>907.19999999999959</v>
      </c>
    </row>
    <row r="146" spans="3:5" x14ac:dyDescent="0.25">
      <c r="C146" s="222">
        <f t="shared" si="2"/>
        <v>110</v>
      </c>
      <c r="D146" s="253">
        <f>IF(('Pasture Insurance'!$C$21-(C146*'Pasture Insurance'!$D$17))*'Pasture Insurance'!$D$8&lt;0,0,('Pasture Insurance'!$C$21-(C146*'Pasture Insurance'!$D$17))*'Pasture Insurance'!$D$8)</f>
        <v>2909.7000000000016</v>
      </c>
      <c r="E146" s="253">
        <f>IF(('Pasture Insurance'!$G$21-(C146*'Pasture Insurance'!$H$17))*'Pasture Insurance'!$D$8&lt;0,0,('Pasture Insurance'!$G$21-(C146*'Pasture Insurance'!$H$17))*'Pasture Insurance'!$D$8)</f>
        <v>1001.6999999999996</v>
      </c>
    </row>
    <row r="147" spans="3:5" x14ac:dyDescent="0.25">
      <c r="C147" s="222">
        <f t="shared" si="2"/>
        <v>109</v>
      </c>
      <c r="D147" s="253">
        <f>IF(('Pasture Insurance'!$C$21-(C147*'Pasture Insurance'!$D$17))*'Pasture Insurance'!$D$8&lt;0,0,('Pasture Insurance'!$C$21-(C147*'Pasture Insurance'!$D$17))*'Pasture Insurance'!$D$8)</f>
        <v>3184.2000000000016</v>
      </c>
      <c r="E147" s="253">
        <f>IF(('Pasture Insurance'!$G$21-(C147*'Pasture Insurance'!$H$17))*'Pasture Insurance'!$D$8&lt;0,0,('Pasture Insurance'!$G$21-(C147*'Pasture Insurance'!$H$17))*'Pasture Insurance'!$D$8)</f>
        <v>1096.1999999999996</v>
      </c>
    </row>
    <row r="148" spans="3:5" x14ac:dyDescent="0.25">
      <c r="C148" s="222">
        <f t="shared" si="2"/>
        <v>108</v>
      </c>
      <c r="D148" s="253">
        <f>IF(('Pasture Insurance'!$C$21-(C148*'Pasture Insurance'!$D$17))*'Pasture Insurance'!$D$8&lt;0,0,('Pasture Insurance'!$C$21-(C148*'Pasture Insurance'!$D$17))*'Pasture Insurance'!$D$8)</f>
        <v>3458.7000000000016</v>
      </c>
      <c r="E148" s="253">
        <f>IF(('Pasture Insurance'!$G$21-(C148*'Pasture Insurance'!$H$17))*'Pasture Insurance'!$D$8&lt;0,0,('Pasture Insurance'!$G$21-(C148*'Pasture Insurance'!$H$17))*'Pasture Insurance'!$D$8)</f>
        <v>1190.6999999999996</v>
      </c>
    </row>
    <row r="149" spans="3:5" x14ac:dyDescent="0.25">
      <c r="C149" s="222">
        <f t="shared" si="2"/>
        <v>107</v>
      </c>
      <c r="D149" s="253">
        <f>IF(('Pasture Insurance'!$C$21-(C149*'Pasture Insurance'!$D$17))*'Pasture Insurance'!$D$8&lt;0,0,('Pasture Insurance'!$C$21-(C149*'Pasture Insurance'!$D$17))*'Pasture Insurance'!$D$8)</f>
        <v>3733.2000000000016</v>
      </c>
      <c r="E149" s="253">
        <f>IF(('Pasture Insurance'!$G$21-(C149*'Pasture Insurance'!$H$17))*'Pasture Insurance'!$D$8&lt;0,0,('Pasture Insurance'!$G$21-(C149*'Pasture Insurance'!$H$17))*'Pasture Insurance'!$D$8)</f>
        <v>1285.1999999999996</v>
      </c>
    </row>
    <row r="150" spans="3:5" x14ac:dyDescent="0.25">
      <c r="C150" s="222">
        <f t="shared" si="2"/>
        <v>106</v>
      </c>
      <c r="D150" s="253">
        <f>IF(('Pasture Insurance'!$C$21-(C150*'Pasture Insurance'!$D$17))*'Pasture Insurance'!$D$8&lt;0,0,('Pasture Insurance'!$C$21-(C150*'Pasture Insurance'!$D$17))*'Pasture Insurance'!$D$8)</f>
        <v>4007.7000000000016</v>
      </c>
      <c r="E150" s="253">
        <f>IF(('Pasture Insurance'!$G$21-(C150*'Pasture Insurance'!$H$17))*'Pasture Insurance'!$D$8&lt;0,0,('Pasture Insurance'!$G$21-(C150*'Pasture Insurance'!$H$17))*'Pasture Insurance'!$D$8)</f>
        <v>1379.6999999999996</v>
      </c>
    </row>
    <row r="151" spans="3:5" x14ac:dyDescent="0.25">
      <c r="C151" s="222">
        <f t="shared" si="2"/>
        <v>105</v>
      </c>
      <c r="D151" s="253">
        <f>IF(('Pasture Insurance'!$C$21-(C151*'Pasture Insurance'!$D$17))*'Pasture Insurance'!$D$8&lt;0,0,('Pasture Insurance'!$C$21-(C151*'Pasture Insurance'!$D$17))*'Pasture Insurance'!$D$8)</f>
        <v>4282.2000000000016</v>
      </c>
      <c r="E151" s="253">
        <f>IF(('Pasture Insurance'!$G$21-(C151*'Pasture Insurance'!$H$17))*'Pasture Insurance'!$D$8&lt;0,0,('Pasture Insurance'!$G$21-(C151*'Pasture Insurance'!$H$17))*'Pasture Insurance'!$D$8)</f>
        <v>1474.1999999999996</v>
      </c>
    </row>
    <row r="152" spans="3:5" x14ac:dyDescent="0.25">
      <c r="C152" s="222">
        <f t="shared" si="2"/>
        <v>104</v>
      </c>
      <c r="D152" s="253">
        <f>IF(('Pasture Insurance'!$C$21-(C152*'Pasture Insurance'!$D$17))*'Pasture Insurance'!$D$8&lt;0,0,('Pasture Insurance'!$C$21-(C152*'Pasture Insurance'!$D$17))*'Pasture Insurance'!$D$8)</f>
        <v>4556.7000000000016</v>
      </c>
      <c r="E152" s="253">
        <f>IF(('Pasture Insurance'!$G$21-(C152*'Pasture Insurance'!$H$17))*'Pasture Insurance'!$D$8&lt;0,0,('Pasture Insurance'!$G$21-(C152*'Pasture Insurance'!$H$17))*'Pasture Insurance'!$D$8)</f>
        <v>1568.6999999999996</v>
      </c>
    </row>
    <row r="153" spans="3:5" x14ac:dyDescent="0.25">
      <c r="C153" s="222">
        <f t="shared" si="2"/>
        <v>103</v>
      </c>
      <c r="D153" s="253">
        <f>IF(('Pasture Insurance'!$C$21-(C153*'Pasture Insurance'!$D$17))*'Pasture Insurance'!$D$8&lt;0,0,('Pasture Insurance'!$C$21-(C153*'Pasture Insurance'!$D$17))*'Pasture Insurance'!$D$8)</f>
        <v>4831.2000000000016</v>
      </c>
      <c r="E153" s="253">
        <f>IF(('Pasture Insurance'!$G$21-(C153*'Pasture Insurance'!$H$17))*'Pasture Insurance'!$D$8&lt;0,0,('Pasture Insurance'!$G$21-(C153*'Pasture Insurance'!$H$17))*'Pasture Insurance'!$D$8)</f>
        <v>1663.1999999999996</v>
      </c>
    </row>
    <row r="154" spans="3:5" x14ac:dyDescent="0.25">
      <c r="C154" s="222">
        <f t="shared" si="2"/>
        <v>102</v>
      </c>
      <c r="D154" s="253">
        <f>IF(('Pasture Insurance'!$C$21-(C154*'Pasture Insurance'!$D$17))*'Pasture Insurance'!$D$8&lt;0,0,('Pasture Insurance'!$C$21-(C154*'Pasture Insurance'!$D$17))*'Pasture Insurance'!$D$8)</f>
        <v>5105.7000000000016</v>
      </c>
      <c r="E154" s="253">
        <f>IF(('Pasture Insurance'!$G$21-(C154*'Pasture Insurance'!$H$17))*'Pasture Insurance'!$D$8&lt;0,0,('Pasture Insurance'!$G$21-(C154*'Pasture Insurance'!$H$17))*'Pasture Insurance'!$D$8)</f>
        <v>1757.6999999999996</v>
      </c>
    </row>
    <row r="155" spans="3:5" x14ac:dyDescent="0.25">
      <c r="C155" s="222">
        <f t="shared" si="2"/>
        <v>101</v>
      </c>
      <c r="D155" s="253">
        <f>IF(('Pasture Insurance'!$C$21-(C155*'Pasture Insurance'!$D$17))*'Pasture Insurance'!$D$8&lt;0,0,('Pasture Insurance'!$C$21-(C155*'Pasture Insurance'!$D$17))*'Pasture Insurance'!$D$8)</f>
        <v>5380.2000000000016</v>
      </c>
      <c r="E155" s="253">
        <f>IF(('Pasture Insurance'!$G$21-(C155*'Pasture Insurance'!$H$17))*'Pasture Insurance'!$D$8&lt;0,0,('Pasture Insurance'!$G$21-(C155*'Pasture Insurance'!$H$17))*'Pasture Insurance'!$D$8)</f>
        <v>1852.1999999999996</v>
      </c>
    </row>
    <row r="156" spans="3:5" x14ac:dyDescent="0.25">
      <c r="C156" s="222">
        <f t="shared" si="2"/>
        <v>100</v>
      </c>
      <c r="D156" s="253">
        <f>IF(('Pasture Insurance'!$C$21-(C156*'Pasture Insurance'!$D$17))*'Pasture Insurance'!$D$8&lt;0,0,('Pasture Insurance'!$C$21-(C156*'Pasture Insurance'!$D$17))*'Pasture Insurance'!$D$8)</f>
        <v>5654.7000000000016</v>
      </c>
      <c r="E156" s="253">
        <f>IF(('Pasture Insurance'!$G$21-(C156*'Pasture Insurance'!$H$17))*'Pasture Insurance'!$D$8&lt;0,0,('Pasture Insurance'!$G$21-(C156*'Pasture Insurance'!$H$17))*'Pasture Insurance'!$D$8)</f>
        <v>1946.6999999999996</v>
      </c>
    </row>
    <row r="157" spans="3:5" x14ac:dyDescent="0.25">
      <c r="C157" s="222">
        <f t="shared" si="2"/>
        <v>99</v>
      </c>
      <c r="D157" s="253">
        <f>IF(('Pasture Insurance'!$C$21-(C157*'Pasture Insurance'!$D$17))*'Pasture Insurance'!$D$8&lt;0,0,('Pasture Insurance'!$C$21-(C157*'Pasture Insurance'!$D$17))*'Pasture Insurance'!$D$8)</f>
        <v>5929.2000000000016</v>
      </c>
      <c r="E157" s="253">
        <f>IF(('Pasture Insurance'!$G$21-(C157*'Pasture Insurance'!$H$17))*'Pasture Insurance'!$D$8&lt;0,0,('Pasture Insurance'!$G$21-(C157*'Pasture Insurance'!$H$17))*'Pasture Insurance'!$D$8)</f>
        <v>2041.1999999999996</v>
      </c>
    </row>
    <row r="158" spans="3:5" x14ac:dyDescent="0.25">
      <c r="C158" s="222">
        <f t="shared" si="2"/>
        <v>98</v>
      </c>
      <c r="D158" s="253">
        <f>IF(('Pasture Insurance'!$C$21-(C158*'Pasture Insurance'!$D$17))*'Pasture Insurance'!$D$8&lt;0,0,('Pasture Insurance'!$C$21-(C158*'Pasture Insurance'!$D$17))*'Pasture Insurance'!$D$8)</f>
        <v>6203.7000000000016</v>
      </c>
      <c r="E158" s="253">
        <f>IF(('Pasture Insurance'!$G$21-(C158*'Pasture Insurance'!$H$17))*'Pasture Insurance'!$D$8&lt;0,0,('Pasture Insurance'!$G$21-(C158*'Pasture Insurance'!$H$17))*'Pasture Insurance'!$D$8)</f>
        <v>2135.6999999999998</v>
      </c>
    </row>
    <row r="159" spans="3:5" x14ac:dyDescent="0.25">
      <c r="C159" s="222">
        <f t="shared" si="2"/>
        <v>97</v>
      </c>
      <c r="D159" s="253">
        <f>IF(('Pasture Insurance'!$C$21-(C159*'Pasture Insurance'!$D$17))*'Pasture Insurance'!$D$8&lt;0,0,('Pasture Insurance'!$C$21-(C159*'Pasture Insurance'!$D$17))*'Pasture Insurance'!$D$8)</f>
        <v>6478.2000000000016</v>
      </c>
      <c r="E159" s="253">
        <f>IF(('Pasture Insurance'!$G$21-(C159*'Pasture Insurance'!$H$17))*'Pasture Insurance'!$D$8&lt;0,0,('Pasture Insurance'!$G$21-(C159*'Pasture Insurance'!$H$17))*'Pasture Insurance'!$D$8)</f>
        <v>2230.1999999999998</v>
      </c>
    </row>
    <row r="160" spans="3:5" x14ac:dyDescent="0.25">
      <c r="C160" s="222">
        <f t="shared" si="2"/>
        <v>96</v>
      </c>
      <c r="D160" s="253">
        <f>IF(('Pasture Insurance'!$C$21-(C160*'Pasture Insurance'!$D$17))*'Pasture Insurance'!$D$8&lt;0,0,('Pasture Insurance'!$C$21-(C160*'Pasture Insurance'!$D$17))*'Pasture Insurance'!$D$8)</f>
        <v>6752.7000000000016</v>
      </c>
      <c r="E160" s="253">
        <f>IF(('Pasture Insurance'!$G$21-(C160*'Pasture Insurance'!$H$17))*'Pasture Insurance'!$D$8&lt;0,0,('Pasture Insurance'!$G$21-(C160*'Pasture Insurance'!$H$17))*'Pasture Insurance'!$D$8)</f>
        <v>2324.6999999999998</v>
      </c>
    </row>
    <row r="161" spans="3:5" x14ac:dyDescent="0.25">
      <c r="C161" s="222">
        <f t="shared" si="2"/>
        <v>95</v>
      </c>
      <c r="D161" s="253">
        <f>IF(('Pasture Insurance'!$C$21-(C161*'Pasture Insurance'!$D$17))*'Pasture Insurance'!$D$8&lt;0,0,('Pasture Insurance'!$C$21-(C161*'Pasture Insurance'!$D$17))*'Pasture Insurance'!$D$8)</f>
        <v>7027.2000000000016</v>
      </c>
      <c r="E161" s="253">
        <f>IF(('Pasture Insurance'!$G$21-(C161*'Pasture Insurance'!$H$17))*'Pasture Insurance'!$D$8&lt;0,0,('Pasture Insurance'!$G$21-(C161*'Pasture Insurance'!$H$17))*'Pasture Insurance'!$D$8)</f>
        <v>2419.1999999999998</v>
      </c>
    </row>
    <row r="162" spans="3:5" x14ac:dyDescent="0.25">
      <c r="C162" s="222">
        <f t="shared" si="2"/>
        <v>94</v>
      </c>
      <c r="D162" s="253">
        <f>IF(('Pasture Insurance'!$C$21-(C162*'Pasture Insurance'!$D$17))*'Pasture Insurance'!$D$8&lt;0,0,('Pasture Insurance'!$C$21-(C162*'Pasture Insurance'!$D$17))*'Pasture Insurance'!$D$8)</f>
        <v>7301.7000000000016</v>
      </c>
      <c r="E162" s="253">
        <f>IF(('Pasture Insurance'!$G$21-(C162*'Pasture Insurance'!$H$17))*'Pasture Insurance'!$D$8&lt;0,0,('Pasture Insurance'!$G$21-(C162*'Pasture Insurance'!$H$17))*'Pasture Insurance'!$D$8)</f>
        <v>2513.6999999999998</v>
      </c>
    </row>
    <row r="163" spans="3:5" x14ac:dyDescent="0.25">
      <c r="C163" s="222">
        <f t="shared" si="2"/>
        <v>93</v>
      </c>
      <c r="D163" s="253">
        <f>IF(('Pasture Insurance'!$C$21-(C163*'Pasture Insurance'!$D$17))*'Pasture Insurance'!$D$8&lt;0,0,('Pasture Insurance'!$C$21-(C163*'Pasture Insurance'!$D$17))*'Pasture Insurance'!$D$8)</f>
        <v>7576.2000000000016</v>
      </c>
      <c r="E163" s="253">
        <f>IF(('Pasture Insurance'!$G$21-(C163*'Pasture Insurance'!$H$17))*'Pasture Insurance'!$D$8&lt;0,0,('Pasture Insurance'!$G$21-(C163*'Pasture Insurance'!$H$17))*'Pasture Insurance'!$D$8)</f>
        <v>2608.1999999999998</v>
      </c>
    </row>
    <row r="164" spans="3:5" x14ac:dyDescent="0.25">
      <c r="C164" s="222">
        <f t="shared" si="2"/>
        <v>92</v>
      </c>
      <c r="D164" s="253">
        <f>IF(('Pasture Insurance'!$C$21-(C164*'Pasture Insurance'!$D$17))*'Pasture Insurance'!$D$8&lt;0,0,('Pasture Insurance'!$C$21-(C164*'Pasture Insurance'!$D$17))*'Pasture Insurance'!$D$8)</f>
        <v>7850.7000000000016</v>
      </c>
      <c r="E164" s="253">
        <f>IF(('Pasture Insurance'!$G$21-(C164*'Pasture Insurance'!$H$17))*'Pasture Insurance'!$D$8&lt;0,0,('Pasture Insurance'!$G$21-(C164*'Pasture Insurance'!$H$17))*'Pasture Insurance'!$D$8)</f>
        <v>2702.7</v>
      </c>
    </row>
    <row r="165" spans="3:5" x14ac:dyDescent="0.25">
      <c r="C165" s="222">
        <f t="shared" si="2"/>
        <v>91</v>
      </c>
      <c r="D165" s="253">
        <f>IF(('Pasture Insurance'!$C$21-(C165*'Pasture Insurance'!$D$17))*'Pasture Insurance'!$D$8&lt;0,0,('Pasture Insurance'!$C$21-(C165*'Pasture Insurance'!$D$17))*'Pasture Insurance'!$D$8)</f>
        <v>8125.2000000000016</v>
      </c>
      <c r="E165" s="253">
        <f>IF(('Pasture Insurance'!$G$21-(C165*'Pasture Insurance'!$H$17))*'Pasture Insurance'!$D$8&lt;0,0,('Pasture Insurance'!$G$21-(C165*'Pasture Insurance'!$H$17))*'Pasture Insurance'!$D$8)</f>
        <v>2797.2</v>
      </c>
    </row>
    <row r="166" spans="3:5" x14ac:dyDescent="0.25">
      <c r="C166" s="222">
        <f t="shared" si="2"/>
        <v>90</v>
      </c>
      <c r="D166" s="253">
        <f>IF(('Pasture Insurance'!$C$21-(C166*'Pasture Insurance'!$D$17))*'Pasture Insurance'!$D$8&lt;0,0,('Pasture Insurance'!$C$21-(C166*'Pasture Insurance'!$D$17))*'Pasture Insurance'!$D$8)</f>
        <v>8399.7000000000007</v>
      </c>
      <c r="E166" s="253">
        <f>IF(('Pasture Insurance'!$G$21-(C166*'Pasture Insurance'!$H$17))*'Pasture Insurance'!$D$8&lt;0,0,('Pasture Insurance'!$G$21-(C166*'Pasture Insurance'!$H$17))*'Pasture Insurance'!$D$8)</f>
        <v>2891.7</v>
      </c>
    </row>
    <row r="167" spans="3:5" x14ac:dyDescent="0.25">
      <c r="C167" s="222">
        <f t="shared" si="2"/>
        <v>89</v>
      </c>
      <c r="D167" s="253">
        <f>IF(('Pasture Insurance'!$C$21-(C167*'Pasture Insurance'!$D$17))*'Pasture Insurance'!$D$8&lt;0,0,('Pasture Insurance'!$C$21-(C167*'Pasture Insurance'!$D$17))*'Pasture Insurance'!$D$8)</f>
        <v>8674.2000000000007</v>
      </c>
      <c r="E167" s="253">
        <f>IF(('Pasture Insurance'!$G$21-(C167*'Pasture Insurance'!$H$17))*'Pasture Insurance'!$D$8&lt;0,0,('Pasture Insurance'!$G$21-(C167*'Pasture Insurance'!$H$17))*'Pasture Insurance'!$D$8)</f>
        <v>2986.2</v>
      </c>
    </row>
    <row r="168" spans="3:5" x14ac:dyDescent="0.25">
      <c r="C168" s="222">
        <f t="shared" ref="C168:C199" si="3">C167-1</f>
        <v>88</v>
      </c>
      <c r="D168" s="253">
        <f>IF(('Pasture Insurance'!$C$21-(C168*'Pasture Insurance'!$D$17))*'Pasture Insurance'!$D$8&lt;0,0,('Pasture Insurance'!$C$21-(C168*'Pasture Insurance'!$D$17))*'Pasture Insurance'!$D$8)</f>
        <v>8948.7000000000007</v>
      </c>
      <c r="E168" s="253">
        <f>IF(('Pasture Insurance'!$G$21-(C168*'Pasture Insurance'!$H$17))*'Pasture Insurance'!$D$8&lt;0,0,('Pasture Insurance'!$G$21-(C168*'Pasture Insurance'!$H$17))*'Pasture Insurance'!$D$8)</f>
        <v>3080.7</v>
      </c>
    </row>
    <row r="169" spans="3:5" x14ac:dyDescent="0.25">
      <c r="C169" s="222">
        <f t="shared" si="3"/>
        <v>87</v>
      </c>
      <c r="D169" s="253">
        <f>IF(('Pasture Insurance'!$C$21-(C169*'Pasture Insurance'!$D$17))*'Pasture Insurance'!$D$8&lt;0,0,('Pasture Insurance'!$C$21-(C169*'Pasture Insurance'!$D$17))*'Pasture Insurance'!$D$8)</f>
        <v>9223.2000000000007</v>
      </c>
      <c r="E169" s="253">
        <f>IF(('Pasture Insurance'!$G$21-(C169*'Pasture Insurance'!$H$17))*'Pasture Insurance'!$D$8&lt;0,0,('Pasture Insurance'!$G$21-(C169*'Pasture Insurance'!$H$17))*'Pasture Insurance'!$D$8)</f>
        <v>3175.2</v>
      </c>
    </row>
    <row r="170" spans="3:5" x14ac:dyDescent="0.25">
      <c r="C170" s="222">
        <f t="shared" si="3"/>
        <v>86</v>
      </c>
      <c r="D170" s="253">
        <f>IF(('Pasture Insurance'!$C$21-(C170*'Pasture Insurance'!$D$17))*'Pasture Insurance'!$D$8&lt;0,0,('Pasture Insurance'!$C$21-(C170*'Pasture Insurance'!$D$17))*'Pasture Insurance'!$D$8)</f>
        <v>9497.7000000000007</v>
      </c>
      <c r="E170" s="253">
        <f>IF(('Pasture Insurance'!$G$21-(C170*'Pasture Insurance'!$H$17))*'Pasture Insurance'!$D$8&lt;0,0,('Pasture Insurance'!$G$21-(C170*'Pasture Insurance'!$H$17))*'Pasture Insurance'!$D$8)</f>
        <v>3269.7</v>
      </c>
    </row>
    <row r="171" spans="3:5" x14ac:dyDescent="0.25">
      <c r="C171" s="222">
        <f t="shared" si="3"/>
        <v>85</v>
      </c>
      <c r="D171" s="253">
        <f>IF(('Pasture Insurance'!$C$21-(C171*'Pasture Insurance'!$D$17))*'Pasture Insurance'!$D$8&lt;0,0,('Pasture Insurance'!$C$21-(C171*'Pasture Insurance'!$D$17))*'Pasture Insurance'!$D$8)</f>
        <v>9772.2000000000007</v>
      </c>
      <c r="E171" s="253">
        <f>IF(('Pasture Insurance'!$G$21-(C171*'Pasture Insurance'!$H$17))*'Pasture Insurance'!$D$8&lt;0,0,('Pasture Insurance'!$G$21-(C171*'Pasture Insurance'!$H$17))*'Pasture Insurance'!$D$8)</f>
        <v>3364.2</v>
      </c>
    </row>
    <row r="172" spans="3:5" x14ac:dyDescent="0.25">
      <c r="C172" s="222">
        <f t="shared" si="3"/>
        <v>84</v>
      </c>
      <c r="D172" s="253">
        <f>IF(('Pasture Insurance'!$C$21-(C172*'Pasture Insurance'!$D$17))*'Pasture Insurance'!$D$8&lt;0,0,('Pasture Insurance'!$C$21-(C172*'Pasture Insurance'!$D$17))*'Pasture Insurance'!$D$8)</f>
        <v>10046.700000000001</v>
      </c>
      <c r="E172" s="253">
        <f>IF(('Pasture Insurance'!$G$21-(C172*'Pasture Insurance'!$H$17))*'Pasture Insurance'!$D$8&lt;0,0,('Pasture Insurance'!$G$21-(C172*'Pasture Insurance'!$H$17))*'Pasture Insurance'!$D$8)</f>
        <v>3458.7</v>
      </c>
    </row>
    <row r="173" spans="3:5" x14ac:dyDescent="0.25">
      <c r="C173" s="222">
        <f t="shared" si="3"/>
        <v>83</v>
      </c>
      <c r="D173" s="253">
        <f>IF(('Pasture Insurance'!$C$21-(C173*'Pasture Insurance'!$D$17))*'Pasture Insurance'!$D$8&lt;0,0,('Pasture Insurance'!$C$21-(C173*'Pasture Insurance'!$D$17))*'Pasture Insurance'!$D$8)</f>
        <v>10321.200000000001</v>
      </c>
      <c r="E173" s="253">
        <f>IF(('Pasture Insurance'!$G$21-(C173*'Pasture Insurance'!$H$17))*'Pasture Insurance'!$D$8&lt;0,0,('Pasture Insurance'!$G$21-(C173*'Pasture Insurance'!$H$17))*'Pasture Insurance'!$D$8)</f>
        <v>3553.2</v>
      </c>
    </row>
    <row r="174" spans="3:5" x14ac:dyDescent="0.25">
      <c r="C174" s="222">
        <f t="shared" si="3"/>
        <v>82</v>
      </c>
      <c r="D174" s="253">
        <f>IF(('Pasture Insurance'!$C$21-(C174*'Pasture Insurance'!$D$17))*'Pasture Insurance'!$D$8&lt;0,0,('Pasture Insurance'!$C$21-(C174*'Pasture Insurance'!$D$17))*'Pasture Insurance'!$D$8)</f>
        <v>10595.7</v>
      </c>
      <c r="E174" s="253">
        <f>IF(('Pasture Insurance'!$G$21-(C174*'Pasture Insurance'!$H$17))*'Pasture Insurance'!$D$8&lt;0,0,('Pasture Insurance'!$G$21-(C174*'Pasture Insurance'!$H$17))*'Pasture Insurance'!$D$8)</f>
        <v>3647.7</v>
      </c>
    </row>
    <row r="175" spans="3:5" x14ac:dyDescent="0.25">
      <c r="C175" s="222">
        <f t="shared" si="3"/>
        <v>81</v>
      </c>
      <c r="D175" s="253">
        <f>IF(('Pasture Insurance'!$C$21-(C175*'Pasture Insurance'!$D$17))*'Pasture Insurance'!$D$8&lt;0,0,('Pasture Insurance'!$C$21-(C175*'Pasture Insurance'!$D$17))*'Pasture Insurance'!$D$8)</f>
        <v>10870.2</v>
      </c>
      <c r="E175" s="253">
        <f>IF(('Pasture Insurance'!$G$21-(C175*'Pasture Insurance'!$H$17))*'Pasture Insurance'!$D$8&lt;0,0,('Pasture Insurance'!$G$21-(C175*'Pasture Insurance'!$H$17))*'Pasture Insurance'!$D$8)</f>
        <v>3742.2</v>
      </c>
    </row>
    <row r="176" spans="3:5" x14ac:dyDescent="0.25">
      <c r="C176" s="222">
        <f t="shared" si="3"/>
        <v>80</v>
      </c>
      <c r="D176" s="253">
        <f>IF(('Pasture Insurance'!$C$21-(C176*'Pasture Insurance'!$D$17))*'Pasture Insurance'!$D$8&lt;0,0,('Pasture Insurance'!$C$21-(C176*'Pasture Insurance'!$D$17))*'Pasture Insurance'!$D$8)</f>
        <v>11144.7</v>
      </c>
      <c r="E176" s="253">
        <f>IF(('Pasture Insurance'!$G$21-(C176*'Pasture Insurance'!$H$17))*'Pasture Insurance'!$D$8&lt;0,0,('Pasture Insurance'!$G$21-(C176*'Pasture Insurance'!$H$17))*'Pasture Insurance'!$D$8)</f>
        <v>3836.7</v>
      </c>
    </row>
    <row r="177" spans="3:5" x14ac:dyDescent="0.25">
      <c r="C177" s="222">
        <f t="shared" si="3"/>
        <v>79</v>
      </c>
      <c r="D177" s="253">
        <f>IF(('Pasture Insurance'!$C$21-(C177*'Pasture Insurance'!$D$17))*'Pasture Insurance'!$D$8&lt;0,0,('Pasture Insurance'!$C$21-(C177*'Pasture Insurance'!$D$17))*'Pasture Insurance'!$D$8)</f>
        <v>11419.2</v>
      </c>
      <c r="E177" s="253">
        <f>IF(('Pasture Insurance'!$G$21-(C177*'Pasture Insurance'!$H$17))*'Pasture Insurance'!$D$8&lt;0,0,('Pasture Insurance'!$G$21-(C177*'Pasture Insurance'!$H$17))*'Pasture Insurance'!$D$8)</f>
        <v>3931.2</v>
      </c>
    </row>
    <row r="178" spans="3:5" x14ac:dyDescent="0.25">
      <c r="C178" s="222">
        <f t="shared" si="3"/>
        <v>78</v>
      </c>
      <c r="D178" s="253">
        <f>IF(('Pasture Insurance'!$C$21-(C178*'Pasture Insurance'!$D$17))*'Pasture Insurance'!$D$8&lt;0,0,('Pasture Insurance'!$C$21-(C178*'Pasture Insurance'!$D$17))*'Pasture Insurance'!$D$8)</f>
        <v>11693.7</v>
      </c>
      <c r="E178" s="253">
        <f>IF(('Pasture Insurance'!$G$21-(C178*'Pasture Insurance'!$H$17))*'Pasture Insurance'!$D$8&lt;0,0,('Pasture Insurance'!$G$21-(C178*'Pasture Insurance'!$H$17))*'Pasture Insurance'!$D$8)</f>
        <v>4025.7</v>
      </c>
    </row>
    <row r="179" spans="3:5" x14ac:dyDescent="0.25">
      <c r="C179" s="222">
        <f t="shared" si="3"/>
        <v>77</v>
      </c>
      <c r="D179" s="253">
        <f>IF(('Pasture Insurance'!$C$21-(C179*'Pasture Insurance'!$D$17))*'Pasture Insurance'!$D$8&lt;0,0,('Pasture Insurance'!$C$21-(C179*'Pasture Insurance'!$D$17))*'Pasture Insurance'!$D$8)</f>
        <v>11968.2</v>
      </c>
      <c r="E179" s="253">
        <f>IF(('Pasture Insurance'!$G$21-(C179*'Pasture Insurance'!$H$17))*'Pasture Insurance'!$D$8&lt;0,0,('Pasture Insurance'!$G$21-(C179*'Pasture Insurance'!$H$17))*'Pasture Insurance'!$D$8)</f>
        <v>4120.2</v>
      </c>
    </row>
    <row r="180" spans="3:5" x14ac:dyDescent="0.25">
      <c r="C180" s="222">
        <f t="shared" si="3"/>
        <v>76</v>
      </c>
      <c r="D180" s="253">
        <f>IF(('Pasture Insurance'!$C$21-(C180*'Pasture Insurance'!$D$17))*'Pasture Insurance'!$D$8&lt;0,0,('Pasture Insurance'!$C$21-(C180*'Pasture Insurance'!$D$17))*'Pasture Insurance'!$D$8)</f>
        <v>12242.7</v>
      </c>
      <c r="E180" s="253">
        <f>IF(('Pasture Insurance'!$G$21-(C180*'Pasture Insurance'!$H$17))*'Pasture Insurance'!$D$8&lt;0,0,('Pasture Insurance'!$G$21-(C180*'Pasture Insurance'!$H$17))*'Pasture Insurance'!$D$8)</f>
        <v>4214.7</v>
      </c>
    </row>
    <row r="181" spans="3:5" x14ac:dyDescent="0.25">
      <c r="C181" s="222">
        <f t="shared" si="3"/>
        <v>75</v>
      </c>
      <c r="D181" s="253">
        <f>IF(('Pasture Insurance'!$C$21-(C181*'Pasture Insurance'!$D$17))*'Pasture Insurance'!$D$8&lt;0,0,('Pasture Insurance'!$C$21-(C181*'Pasture Insurance'!$D$17))*'Pasture Insurance'!$D$8)</f>
        <v>12517.2</v>
      </c>
      <c r="E181" s="253">
        <f>IF(('Pasture Insurance'!$G$21-(C181*'Pasture Insurance'!$H$17))*'Pasture Insurance'!$D$8&lt;0,0,('Pasture Insurance'!$G$21-(C181*'Pasture Insurance'!$H$17))*'Pasture Insurance'!$D$8)</f>
        <v>4309.2</v>
      </c>
    </row>
    <row r="182" spans="3:5" x14ac:dyDescent="0.25">
      <c r="C182" s="222">
        <f t="shared" si="3"/>
        <v>74</v>
      </c>
      <c r="D182" s="253">
        <f>IF(('Pasture Insurance'!$C$21-(C182*'Pasture Insurance'!$D$17))*'Pasture Insurance'!$D$8&lt;0,0,('Pasture Insurance'!$C$21-(C182*'Pasture Insurance'!$D$17))*'Pasture Insurance'!$D$8)</f>
        <v>12791.7</v>
      </c>
      <c r="E182" s="253">
        <f>IF(('Pasture Insurance'!$G$21-(C182*'Pasture Insurance'!$H$17))*'Pasture Insurance'!$D$8&lt;0,0,('Pasture Insurance'!$G$21-(C182*'Pasture Insurance'!$H$17))*'Pasture Insurance'!$D$8)</f>
        <v>4403.7</v>
      </c>
    </row>
    <row r="183" spans="3:5" x14ac:dyDescent="0.25">
      <c r="C183" s="222">
        <f t="shared" si="3"/>
        <v>73</v>
      </c>
      <c r="D183" s="253">
        <f>IF(('Pasture Insurance'!$C$21-(C183*'Pasture Insurance'!$D$17))*'Pasture Insurance'!$D$8&lt;0,0,('Pasture Insurance'!$C$21-(C183*'Pasture Insurance'!$D$17))*'Pasture Insurance'!$D$8)</f>
        <v>13066.2</v>
      </c>
      <c r="E183" s="253">
        <f>IF(('Pasture Insurance'!$G$21-(C183*'Pasture Insurance'!$H$17))*'Pasture Insurance'!$D$8&lt;0,0,('Pasture Insurance'!$G$21-(C183*'Pasture Insurance'!$H$17))*'Pasture Insurance'!$D$8)</f>
        <v>4498.2</v>
      </c>
    </row>
    <row r="184" spans="3:5" x14ac:dyDescent="0.25">
      <c r="C184" s="222">
        <f t="shared" si="3"/>
        <v>72</v>
      </c>
      <c r="D184" s="253">
        <f>IF(('Pasture Insurance'!$C$21-(C184*'Pasture Insurance'!$D$17))*'Pasture Insurance'!$D$8&lt;0,0,('Pasture Insurance'!$C$21-(C184*'Pasture Insurance'!$D$17))*'Pasture Insurance'!$D$8)</f>
        <v>13340.7</v>
      </c>
      <c r="E184" s="253">
        <f>IF(('Pasture Insurance'!$G$21-(C184*'Pasture Insurance'!$H$17))*'Pasture Insurance'!$D$8&lt;0,0,('Pasture Insurance'!$G$21-(C184*'Pasture Insurance'!$H$17))*'Pasture Insurance'!$D$8)</f>
        <v>4592.7</v>
      </c>
    </row>
    <row r="185" spans="3:5" x14ac:dyDescent="0.25">
      <c r="C185" s="222">
        <f t="shared" si="3"/>
        <v>71</v>
      </c>
      <c r="D185" s="253">
        <f>IF(('Pasture Insurance'!$C$21-(C185*'Pasture Insurance'!$D$17))*'Pasture Insurance'!$D$8&lt;0,0,('Pasture Insurance'!$C$21-(C185*'Pasture Insurance'!$D$17))*'Pasture Insurance'!$D$8)</f>
        <v>13615.2</v>
      </c>
      <c r="E185" s="253">
        <f>IF(('Pasture Insurance'!$G$21-(C185*'Pasture Insurance'!$H$17))*'Pasture Insurance'!$D$8&lt;0,0,('Pasture Insurance'!$G$21-(C185*'Pasture Insurance'!$H$17))*'Pasture Insurance'!$D$8)</f>
        <v>4687.2</v>
      </c>
    </row>
    <row r="186" spans="3:5" x14ac:dyDescent="0.25">
      <c r="C186" s="222">
        <f t="shared" si="3"/>
        <v>70</v>
      </c>
      <c r="D186" s="253">
        <f>IF(('Pasture Insurance'!$C$21-(C186*'Pasture Insurance'!$D$17))*'Pasture Insurance'!$D$8&lt;0,0,('Pasture Insurance'!$C$21-(C186*'Pasture Insurance'!$D$17))*'Pasture Insurance'!$D$8)</f>
        <v>13889.7</v>
      </c>
      <c r="E186" s="253">
        <f>IF(('Pasture Insurance'!$G$21-(C186*'Pasture Insurance'!$H$17))*'Pasture Insurance'!$D$8&lt;0,0,('Pasture Insurance'!$G$21-(C186*'Pasture Insurance'!$H$17))*'Pasture Insurance'!$D$8)</f>
        <v>4781.7</v>
      </c>
    </row>
    <row r="187" spans="3:5" x14ac:dyDescent="0.25">
      <c r="C187" s="222">
        <f t="shared" si="3"/>
        <v>69</v>
      </c>
      <c r="D187" s="253">
        <f>IF(('Pasture Insurance'!$C$21-(C187*'Pasture Insurance'!$D$17))*'Pasture Insurance'!$D$8&lt;0,0,('Pasture Insurance'!$C$21-(C187*'Pasture Insurance'!$D$17))*'Pasture Insurance'!$D$8)</f>
        <v>14164.2</v>
      </c>
      <c r="E187" s="253">
        <f>IF(('Pasture Insurance'!$G$21-(C187*'Pasture Insurance'!$H$17))*'Pasture Insurance'!$D$8&lt;0,0,('Pasture Insurance'!$G$21-(C187*'Pasture Insurance'!$H$17))*'Pasture Insurance'!$D$8)</f>
        <v>4876.2</v>
      </c>
    </row>
    <row r="188" spans="3:5" x14ac:dyDescent="0.25">
      <c r="C188" s="222">
        <f t="shared" si="3"/>
        <v>68</v>
      </c>
      <c r="D188" s="253">
        <f>IF(('Pasture Insurance'!$C$21-(C188*'Pasture Insurance'!$D$17))*'Pasture Insurance'!$D$8&lt;0,0,('Pasture Insurance'!$C$21-(C188*'Pasture Insurance'!$D$17))*'Pasture Insurance'!$D$8)</f>
        <v>14438.7</v>
      </c>
      <c r="E188" s="253">
        <f>IF(('Pasture Insurance'!$G$21-(C188*'Pasture Insurance'!$H$17))*'Pasture Insurance'!$D$8&lt;0,0,('Pasture Insurance'!$G$21-(C188*'Pasture Insurance'!$H$17))*'Pasture Insurance'!$D$8)</f>
        <v>4970.7</v>
      </c>
    </row>
    <row r="189" spans="3:5" x14ac:dyDescent="0.25">
      <c r="C189" s="222">
        <f t="shared" si="3"/>
        <v>67</v>
      </c>
      <c r="D189" s="253">
        <f>IF(('Pasture Insurance'!$C$21-(C189*'Pasture Insurance'!$D$17))*'Pasture Insurance'!$D$8&lt;0,0,('Pasture Insurance'!$C$21-(C189*'Pasture Insurance'!$D$17))*'Pasture Insurance'!$D$8)</f>
        <v>14713.2</v>
      </c>
      <c r="E189" s="253">
        <f>IF(('Pasture Insurance'!$G$21-(C189*'Pasture Insurance'!$H$17))*'Pasture Insurance'!$D$8&lt;0,0,('Pasture Insurance'!$G$21-(C189*'Pasture Insurance'!$H$17))*'Pasture Insurance'!$D$8)</f>
        <v>5065.2</v>
      </c>
    </row>
    <row r="190" spans="3:5" x14ac:dyDescent="0.25">
      <c r="C190" s="222">
        <f t="shared" si="3"/>
        <v>66</v>
      </c>
      <c r="D190" s="253">
        <f>IF(('Pasture Insurance'!$C$21-(C190*'Pasture Insurance'!$D$17))*'Pasture Insurance'!$D$8&lt;0,0,('Pasture Insurance'!$C$21-(C190*'Pasture Insurance'!$D$17))*'Pasture Insurance'!$D$8)</f>
        <v>14987.7</v>
      </c>
      <c r="E190" s="253">
        <f>IF(('Pasture Insurance'!$G$21-(C190*'Pasture Insurance'!$H$17))*'Pasture Insurance'!$D$8&lt;0,0,('Pasture Insurance'!$G$21-(C190*'Pasture Insurance'!$H$17))*'Pasture Insurance'!$D$8)</f>
        <v>5159.7</v>
      </c>
    </row>
    <row r="191" spans="3:5" x14ac:dyDescent="0.25">
      <c r="C191" s="222">
        <f t="shared" si="3"/>
        <v>65</v>
      </c>
      <c r="D191" s="253">
        <f>IF(('Pasture Insurance'!$C$21-(C191*'Pasture Insurance'!$D$17))*'Pasture Insurance'!$D$8&lt;0,0,('Pasture Insurance'!$C$21-(C191*'Pasture Insurance'!$D$17))*'Pasture Insurance'!$D$8)</f>
        <v>15262.2</v>
      </c>
      <c r="E191" s="253">
        <f>IF(('Pasture Insurance'!$G$21-(C191*'Pasture Insurance'!$H$17))*'Pasture Insurance'!$D$8&lt;0,0,('Pasture Insurance'!$G$21-(C191*'Pasture Insurance'!$H$17))*'Pasture Insurance'!$D$8)</f>
        <v>5254.2</v>
      </c>
    </row>
    <row r="192" spans="3:5" x14ac:dyDescent="0.25">
      <c r="C192" s="222">
        <f t="shared" si="3"/>
        <v>64</v>
      </c>
      <c r="D192" s="253">
        <f>IF(('Pasture Insurance'!$C$21-(C192*'Pasture Insurance'!$D$17))*'Pasture Insurance'!$D$8&lt;0,0,('Pasture Insurance'!$C$21-(C192*'Pasture Insurance'!$D$17))*'Pasture Insurance'!$D$8)</f>
        <v>15536.7</v>
      </c>
      <c r="E192" s="253">
        <f>IF(('Pasture Insurance'!$G$21-(C192*'Pasture Insurance'!$H$17))*'Pasture Insurance'!$D$8&lt;0,0,('Pasture Insurance'!$G$21-(C192*'Pasture Insurance'!$H$17))*'Pasture Insurance'!$D$8)</f>
        <v>5348.7</v>
      </c>
    </row>
    <row r="193" spans="3:5" x14ac:dyDescent="0.25">
      <c r="C193" s="222">
        <f t="shared" si="3"/>
        <v>63</v>
      </c>
      <c r="D193" s="253">
        <f>IF(('Pasture Insurance'!$C$21-(C193*'Pasture Insurance'!$D$17))*'Pasture Insurance'!$D$8&lt;0,0,('Pasture Insurance'!$C$21-(C193*'Pasture Insurance'!$D$17))*'Pasture Insurance'!$D$8)</f>
        <v>15811.2</v>
      </c>
      <c r="E193" s="253">
        <f>IF(('Pasture Insurance'!$G$21-(C193*'Pasture Insurance'!$H$17))*'Pasture Insurance'!$D$8&lt;0,0,('Pasture Insurance'!$G$21-(C193*'Pasture Insurance'!$H$17))*'Pasture Insurance'!$D$8)</f>
        <v>5443.2</v>
      </c>
    </row>
    <row r="194" spans="3:5" x14ac:dyDescent="0.25">
      <c r="C194" s="222">
        <f t="shared" si="3"/>
        <v>62</v>
      </c>
      <c r="D194" s="253">
        <f>IF(('Pasture Insurance'!$C$21-(C194*'Pasture Insurance'!$D$17))*'Pasture Insurance'!$D$8&lt;0,0,('Pasture Insurance'!$C$21-(C194*'Pasture Insurance'!$D$17))*'Pasture Insurance'!$D$8)</f>
        <v>16085.7</v>
      </c>
      <c r="E194" s="253">
        <f>IF(('Pasture Insurance'!$G$21-(C194*'Pasture Insurance'!$H$17))*'Pasture Insurance'!$D$8&lt;0,0,('Pasture Insurance'!$G$21-(C194*'Pasture Insurance'!$H$17))*'Pasture Insurance'!$D$8)</f>
        <v>5537.7</v>
      </c>
    </row>
    <row r="195" spans="3:5" x14ac:dyDescent="0.25">
      <c r="C195" s="222">
        <f t="shared" si="3"/>
        <v>61</v>
      </c>
      <c r="D195" s="253">
        <f>IF(('Pasture Insurance'!$C$21-(C195*'Pasture Insurance'!$D$17))*'Pasture Insurance'!$D$8&lt;0,0,('Pasture Insurance'!$C$21-(C195*'Pasture Insurance'!$D$17))*'Pasture Insurance'!$D$8)</f>
        <v>16360.2</v>
      </c>
      <c r="E195" s="253">
        <f>IF(('Pasture Insurance'!$G$21-(C195*'Pasture Insurance'!$H$17))*'Pasture Insurance'!$D$8&lt;0,0,('Pasture Insurance'!$G$21-(C195*'Pasture Insurance'!$H$17))*'Pasture Insurance'!$D$8)</f>
        <v>5632.2</v>
      </c>
    </row>
    <row r="196" spans="3:5" x14ac:dyDescent="0.25">
      <c r="C196" s="222">
        <f t="shared" si="3"/>
        <v>60</v>
      </c>
      <c r="D196" s="253">
        <f>IF(('Pasture Insurance'!$C$21-(C196*'Pasture Insurance'!$D$17))*'Pasture Insurance'!$D$8&lt;0,0,('Pasture Insurance'!$C$21-(C196*'Pasture Insurance'!$D$17))*'Pasture Insurance'!$D$8)</f>
        <v>16634.7</v>
      </c>
      <c r="E196" s="253">
        <f>IF(('Pasture Insurance'!$G$21-(C196*'Pasture Insurance'!$H$17))*'Pasture Insurance'!$D$8&lt;0,0,('Pasture Insurance'!$G$21-(C196*'Pasture Insurance'!$H$17))*'Pasture Insurance'!$D$8)</f>
        <v>5726.7</v>
      </c>
    </row>
    <row r="197" spans="3:5" x14ac:dyDescent="0.25">
      <c r="C197" s="222">
        <f t="shared" si="3"/>
        <v>59</v>
      </c>
      <c r="D197" s="253">
        <f>IF(('Pasture Insurance'!$C$21-(C197*'Pasture Insurance'!$D$17))*'Pasture Insurance'!$D$8&lt;0,0,('Pasture Insurance'!$C$21-(C197*'Pasture Insurance'!$D$17))*'Pasture Insurance'!$D$8)</f>
        <v>16909.2</v>
      </c>
      <c r="E197" s="253">
        <f>IF(('Pasture Insurance'!$G$21-(C197*'Pasture Insurance'!$H$17))*'Pasture Insurance'!$D$8&lt;0,0,('Pasture Insurance'!$G$21-(C197*'Pasture Insurance'!$H$17))*'Pasture Insurance'!$D$8)</f>
        <v>5821.2</v>
      </c>
    </row>
    <row r="198" spans="3:5" x14ac:dyDescent="0.25">
      <c r="C198" s="222">
        <f t="shared" si="3"/>
        <v>58</v>
      </c>
      <c r="D198" s="253">
        <f>IF(('Pasture Insurance'!$C$21-(C198*'Pasture Insurance'!$D$17))*'Pasture Insurance'!$D$8&lt;0,0,('Pasture Insurance'!$C$21-(C198*'Pasture Insurance'!$D$17))*'Pasture Insurance'!$D$8)</f>
        <v>17183.7</v>
      </c>
      <c r="E198" s="253">
        <f>IF(('Pasture Insurance'!$G$21-(C198*'Pasture Insurance'!$H$17))*'Pasture Insurance'!$D$8&lt;0,0,('Pasture Insurance'!$G$21-(C198*'Pasture Insurance'!$H$17))*'Pasture Insurance'!$D$8)</f>
        <v>5915.7</v>
      </c>
    </row>
    <row r="199" spans="3:5" x14ac:dyDescent="0.25">
      <c r="C199" s="222">
        <f t="shared" si="3"/>
        <v>57</v>
      </c>
      <c r="D199" s="253">
        <f>IF(('Pasture Insurance'!$C$21-(C199*'Pasture Insurance'!$D$17))*'Pasture Insurance'!$D$8&lt;0,0,('Pasture Insurance'!$C$21-(C199*'Pasture Insurance'!$D$17))*'Pasture Insurance'!$D$8)</f>
        <v>17458.2</v>
      </c>
      <c r="E199" s="253">
        <f>IF(('Pasture Insurance'!$G$21-(C199*'Pasture Insurance'!$H$17))*'Pasture Insurance'!$D$8&lt;0,0,('Pasture Insurance'!$G$21-(C199*'Pasture Insurance'!$H$17))*'Pasture Insurance'!$D$8)</f>
        <v>6010.2</v>
      </c>
    </row>
    <row r="200" spans="3:5" x14ac:dyDescent="0.25">
      <c r="C200" s="222">
        <f t="shared" ref="C200:C216" si="4">C199-1</f>
        <v>56</v>
      </c>
      <c r="D200" s="253">
        <f>IF(('Pasture Insurance'!$C$21-(C200*'Pasture Insurance'!$D$17))*'Pasture Insurance'!$D$8&lt;0,0,('Pasture Insurance'!$C$21-(C200*'Pasture Insurance'!$D$17))*'Pasture Insurance'!$D$8)</f>
        <v>17732.7</v>
      </c>
      <c r="E200" s="253">
        <f>IF(('Pasture Insurance'!$G$21-(C200*'Pasture Insurance'!$H$17))*'Pasture Insurance'!$D$8&lt;0,0,('Pasture Insurance'!$G$21-(C200*'Pasture Insurance'!$H$17))*'Pasture Insurance'!$D$8)</f>
        <v>6104.7</v>
      </c>
    </row>
    <row r="201" spans="3:5" x14ac:dyDescent="0.25">
      <c r="C201" s="222">
        <f t="shared" si="4"/>
        <v>55</v>
      </c>
      <c r="D201" s="253">
        <f>IF(('Pasture Insurance'!$C$21-(C201*'Pasture Insurance'!$D$17))*'Pasture Insurance'!$D$8&lt;0,0,('Pasture Insurance'!$C$21-(C201*'Pasture Insurance'!$D$17))*'Pasture Insurance'!$D$8)</f>
        <v>18007.2</v>
      </c>
      <c r="E201" s="253">
        <f>IF(('Pasture Insurance'!$G$21-(C201*'Pasture Insurance'!$H$17))*'Pasture Insurance'!$D$8&lt;0,0,('Pasture Insurance'!$G$21-(C201*'Pasture Insurance'!$H$17))*'Pasture Insurance'!$D$8)</f>
        <v>6199.2</v>
      </c>
    </row>
    <row r="202" spans="3:5" x14ac:dyDescent="0.25">
      <c r="C202" s="222">
        <f t="shared" si="4"/>
        <v>54</v>
      </c>
      <c r="D202" s="253">
        <f>IF(('Pasture Insurance'!$C$21-(C202*'Pasture Insurance'!$D$17))*'Pasture Insurance'!$D$8&lt;0,0,('Pasture Insurance'!$C$21-(C202*'Pasture Insurance'!$D$17))*'Pasture Insurance'!$D$8)</f>
        <v>18281.7</v>
      </c>
      <c r="E202" s="253">
        <f>IF(('Pasture Insurance'!$G$21-(C202*'Pasture Insurance'!$H$17))*'Pasture Insurance'!$D$8&lt;0,0,('Pasture Insurance'!$G$21-(C202*'Pasture Insurance'!$H$17))*'Pasture Insurance'!$D$8)</f>
        <v>6293.7</v>
      </c>
    </row>
    <row r="203" spans="3:5" x14ac:dyDescent="0.25">
      <c r="C203" s="222">
        <f t="shared" si="4"/>
        <v>53</v>
      </c>
      <c r="D203" s="253">
        <f>IF(('Pasture Insurance'!$C$21-(C203*'Pasture Insurance'!$D$17))*'Pasture Insurance'!$D$8&lt;0,0,('Pasture Insurance'!$C$21-(C203*'Pasture Insurance'!$D$17))*'Pasture Insurance'!$D$8)</f>
        <v>18556.2</v>
      </c>
      <c r="E203" s="253">
        <f>IF(('Pasture Insurance'!$G$21-(C203*'Pasture Insurance'!$H$17))*'Pasture Insurance'!$D$8&lt;0,0,('Pasture Insurance'!$G$21-(C203*'Pasture Insurance'!$H$17))*'Pasture Insurance'!$D$8)</f>
        <v>6388.2</v>
      </c>
    </row>
    <row r="204" spans="3:5" x14ac:dyDescent="0.25">
      <c r="C204" s="222">
        <f t="shared" si="4"/>
        <v>52</v>
      </c>
      <c r="D204" s="253">
        <f>IF(('Pasture Insurance'!$C$21-(C204*'Pasture Insurance'!$D$17))*'Pasture Insurance'!$D$8&lt;0,0,('Pasture Insurance'!$C$21-(C204*'Pasture Insurance'!$D$17))*'Pasture Insurance'!$D$8)</f>
        <v>18830.7</v>
      </c>
      <c r="E204" s="253">
        <f>IF(('Pasture Insurance'!$G$21-(C204*'Pasture Insurance'!$H$17))*'Pasture Insurance'!$D$8&lt;0,0,('Pasture Insurance'!$G$21-(C204*'Pasture Insurance'!$H$17))*'Pasture Insurance'!$D$8)</f>
        <v>6482.7</v>
      </c>
    </row>
    <row r="205" spans="3:5" x14ac:dyDescent="0.25">
      <c r="C205" s="222">
        <f t="shared" si="4"/>
        <v>51</v>
      </c>
      <c r="D205" s="253">
        <f>IF(('Pasture Insurance'!$C$21-(C205*'Pasture Insurance'!$D$17))*'Pasture Insurance'!$D$8&lt;0,0,('Pasture Insurance'!$C$21-(C205*'Pasture Insurance'!$D$17))*'Pasture Insurance'!$D$8)</f>
        <v>19105.2</v>
      </c>
      <c r="E205" s="253">
        <f>IF(('Pasture Insurance'!$G$21-(C205*'Pasture Insurance'!$H$17))*'Pasture Insurance'!$D$8&lt;0,0,('Pasture Insurance'!$G$21-(C205*'Pasture Insurance'!$H$17))*'Pasture Insurance'!$D$8)</f>
        <v>6577.2</v>
      </c>
    </row>
    <row r="206" spans="3:5" x14ac:dyDescent="0.25">
      <c r="C206" s="222">
        <f t="shared" si="4"/>
        <v>50</v>
      </c>
      <c r="D206" s="253">
        <f>IF(('Pasture Insurance'!$C$21-(C206*'Pasture Insurance'!$D$17))*'Pasture Insurance'!$D$8&lt;0,0,('Pasture Insurance'!$C$21-(C206*'Pasture Insurance'!$D$17))*'Pasture Insurance'!$D$8)</f>
        <v>19379.7</v>
      </c>
      <c r="E206" s="253">
        <f>IF(('Pasture Insurance'!$G$21-(C206*'Pasture Insurance'!$H$17))*'Pasture Insurance'!$D$8&lt;0,0,('Pasture Insurance'!$G$21-(C206*'Pasture Insurance'!$H$17))*'Pasture Insurance'!$D$8)</f>
        <v>6671.7</v>
      </c>
    </row>
    <row r="207" spans="3:5" x14ac:dyDescent="0.25">
      <c r="C207" s="222">
        <f t="shared" si="4"/>
        <v>49</v>
      </c>
      <c r="D207" s="253">
        <f>IF(('Pasture Insurance'!$C$21-(C207*'Pasture Insurance'!$D$17))*'Pasture Insurance'!$D$8&lt;0,0,('Pasture Insurance'!$C$21-(C207*'Pasture Insurance'!$D$17))*'Pasture Insurance'!$D$8)</f>
        <v>19654.2</v>
      </c>
      <c r="E207" s="253">
        <f>IF(('Pasture Insurance'!$G$21-(C207*'Pasture Insurance'!$H$17))*'Pasture Insurance'!$D$8&lt;0,0,('Pasture Insurance'!$G$21-(C207*'Pasture Insurance'!$H$17))*'Pasture Insurance'!$D$8)</f>
        <v>6766.2</v>
      </c>
    </row>
    <row r="208" spans="3:5" x14ac:dyDescent="0.25">
      <c r="C208" s="222">
        <f t="shared" si="4"/>
        <v>48</v>
      </c>
      <c r="D208" s="253">
        <f>IF(('Pasture Insurance'!$C$21-(C208*'Pasture Insurance'!$D$17))*'Pasture Insurance'!$D$8&lt;0,0,('Pasture Insurance'!$C$21-(C208*'Pasture Insurance'!$D$17))*'Pasture Insurance'!$D$8)</f>
        <v>19928.7</v>
      </c>
      <c r="E208" s="253">
        <f>IF(('Pasture Insurance'!$G$21-(C208*'Pasture Insurance'!$H$17))*'Pasture Insurance'!$D$8&lt;0,0,('Pasture Insurance'!$G$21-(C208*'Pasture Insurance'!$H$17))*'Pasture Insurance'!$D$8)</f>
        <v>6860.7</v>
      </c>
    </row>
    <row r="209" spans="3:5" x14ac:dyDescent="0.25">
      <c r="C209" s="222">
        <f t="shared" si="4"/>
        <v>47</v>
      </c>
      <c r="D209" s="253">
        <f>IF(('Pasture Insurance'!$C$21-(C209*'Pasture Insurance'!$D$17))*'Pasture Insurance'!$D$8&lt;0,0,('Pasture Insurance'!$C$21-(C209*'Pasture Insurance'!$D$17))*'Pasture Insurance'!$D$8)</f>
        <v>20203.2</v>
      </c>
      <c r="E209" s="253">
        <f>IF(('Pasture Insurance'!$G$21-(C209*'Pasture Insurance'!$H$17))*'Pasture Insurance'!$D$8&lt;0,0,('Pasture Insurance'!$G$21-(C209*'Pasture Insurance'!$H$17))*'Pasture Insurance'!$D$8)</f>
        <v>6955.2</v>
      </c>
    </row>
    <row r="210" spans="3:5" x14ac:dyDescent="0.25">
      <c r="C210" s="222">
        <f t="shared" si="4"/>
        <v>46</v>
      </c>
      <c r="D210" s="253">
        <f>IF(('Pasture Insurance'!$C$21-(C210*'Pasture Insurance'!$D$17))*'Pasture Insurance'!$D$8&lt;0,0,('Pasture Insurance'!$C$21-(C210*'Pasture Insurance'!$D$17))*'Pasture Insurance'!$D$8)</f>
        <v>20477.7</v>
      </c>
      <c r="E210" s="253">
        <f>IF(('Pasture Insurance'!$G$21-(C210*'Pasture Insurance'!$H$17))*'Pasture Insurance'!$D$8&lt;0,0,('Pasture Insurance'!$G$21-(C210*'Pasture Insurance'!$H$17))*'Pasture Insurance'!$D$8)</f>
        <v>7049.7</v>
      </c>
    </row>
    <row r="211" spans="3:5" x14ac:dyDescent="0.25">
      <c r="C211" s="222">
        <f t="shared" si="4"/>
        <v>45</v>
      </c>
      <c r="D211" s="253">
        <f>IF(('Pasture Insurance'!$C$21-(C211*'Pasture Insurance'!$D$17))*'Pasture Insurance'!$D$8&lt;0,0,('Pasture Insurance'!$C$21-(C211*'Pasture Insurance'!$D$17))*'Pasture Insurance'!$D$8)</f>
        <v>20752.2</v>
      </c>
      <c r="E211" s="253">
        <f>IF(('Pasture Insurance'!$G$21-(C211*'Pasture Insurance'!$H$17))*'Pasture Insurance'!$D$8&lt;0,0,('Pasture Insurance'!$G$21-(C211*'Pasture Insurance'!$H$17))*'Pasture Insurance'!$D$8)</f>
        <v>7144.2</v>
      </c>
    </row>
    <row r="212" spans="3:5" x14ac:dyDescent="0.25">
      <c r="C212" s="222">
        <f t="shared" si="4"/>
        <v>44</v>
      </c>
      <c r="D212" s="253">
        <f>IF(('Pasture Insurance'!$C$21-(C212*'Pasture Insurance'!$D$17))*'Pasture Insurance'!$D$8&lt;0,0,('Pasture Insurance'!$C$21-(C212*'Pasture Insurance'!$D$17))*'Pasture Insurance'!$D$8)</f>
        <v>21026.7</v>
      </c>
      <c r="E212" s="253">
        <f>IF(('Pasture Insurance'!$G$21-(C212*'Pasture Insurance'!$H$17))*'Pasture Insurance'!$D$8&lt;0,0,('Pasture Insurance'!$G$21-(C212*'Pasture Insurance'!$H$17))*'Pasture Insurance'!$D$8)</f>
        <v>7238.7</v>
      </c>
    </row>
    <row r="213" spans="3:5" x14ac:dyDescent="0.25">
      <c r="C213" s="222">
        <f t="shared" si="4"/>
        <v>43</v>
      </c>
      <c r="D213" s="253">
        <f>IF(('Pasture Insurance'!$C$21-(C213*'Pasture Insurance'!$D$17))*'Pasture Insurance'!$D$8&lt;0,0,('Pasture Insurance'!$C$21-(C213*'Pasture Insurance'!$D$17))*'Pasture Insurance'!$D$8)</f>
        <v>21301.200000000001</v>
      </c>
      <c r="E213" s="253">
        <f>IF(('Pasture Insurance'!$G$21-(C213*'Pasture Insurance'!$H$17))*'Pasture Insurance'!$D$8&lt;0,0,('Pasture Insurance'!$G$21-(C213*'Pasture Insurance'!$H$17))*'Pasture Insurance'!$D$8)</f>
        <v>7333.2</v>
      </c>
    </row>
    <row r="214" spans="3:5" x14ac:dyDescent="0.25">
      <c r="C214" s="222">
        <f t="shared" si="4"/>
        <v>42</v>
      </c>
      <c r="D214" s="253">
        <f>IF(('Pasture Insurance'!$C$21-(C214*'Pasture Insurance'!$D$17))*'Pasture Insurance'!$D$8&lt;0,0,('Pasture Insurance'!$C$21-(C214*'Pasture Insurance'!$D$17))*'Pasture Insurance'!$D$8)</f>
        <v>21575.7</v>
      </c>
      <c r="E214" s="253">
        <f>IF(('Pasture Insurance'!$G$21-(C214*'Pasture Insurance'!$H$17))*'Pasture Insurance'!$D$8&lt;0,0,('Pasture Insurance'!$G$21-(C214*'Pasture Insurance'!$H$17))*'Pasture Insurance'!$D$8)</f>
        <v>7427.7</v>
      </c>
    </row>
    <row r="215" spans="3:5" x14ac:dyDescent="0.25">
      <c r="C215" s="222">
        <f t="shared" si="4"/>
        <v>41</v>
      </c>
      <c r="D215" s="253">
        <f>IF(('Pasture Insurance'!$C$21-(C215*'Pasture Insurance'!$D$17))*'Pasture Insurance'!$D$8&lt;0,0,('Pasture Insurance'!$C$21-(C215*'Pasture Insurance'!$D$17))*'Pasture Insurance'!$D$8)</f>
        <v>21850.2</v>
      </c>
      <c r="E215" s="253">
        <f>IF(('Pasture Insurance'!$G$21-(C215*'Pasture Insurance'!$H$17))*'Pasture Insurance'!$D$8&lt;0,0,('Pasture Insurance'!$G$21-(C215*'Pasture Insurance'!$H$17))*'Pasture Insurance'!$D$8)</f>
        <v>7522.2</v>
      </c>
    </row>
    <row r="216" spans="3:5" x14ac:dyDescent="0.25">
      <c r="C216" s="222">
        <f t="shared" si="4"/>
        <v>40</v>
      </c>
      <c r="D216" s="253">
        <f>IF(('Pasture Insurance'!$C$21-(C216*'Pasture Insurance'!$D$17))*'Pasture Insurance'!$D$8&lt;0,0,('Pasture Insurance'!$C$21-(C216*'Pasture Insurance'!$D$17))*'Pasture Insurance'!$D$8)</f>
        <v>22124.7</v>
      </c>
      <c r="E216" s="253">
        <f>IF(('Pasture Insurance'!$G$21-(C216*'Pasture Insurance'!$H$17))*'Pasture Insurance'!$D$8&lt;0,0,('Pasture Insurance'!$G$21-(C216*'Pasture Insurance'!$H$17))*'Pasture Insurance'!$D$8)</f>
        <v>7616.7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58"/>
  <sheetViews>
    <sheetView zoomScale="110" zoomScaleNormal="110" workbookViewId="0">
      <selection sqref="A1:K1"/>
    </sheetView>
  </sheetViews>
  <sheetFormatPr defaultRowHeight="12.5" x14ac:dyDescent="0.25"/>
  <cols>
    <col min="1" max="1" width="4.453125" customWidth="1"/>
    <col min="2" max="2" width="30.54296875" customWidth="1"/>
    <col min="3" max="3" width="9.6328125" customWidth="1"/>
    <col min="4" max="4" width="10.6328125" customWidth="1"/>
    <col min="5" max="7" width="9.6328125" customWidth="1"/>
    <col min="8" max="8" width="10.6328125" customWidth="1"/>
    <col min="9" max="9" width="9.6328125" customWidth="1"/>
    <col min="10" max="10" width="5.08984375" customWidth="1"/>
    <col min="11" max="11" width="14.54296875" customWidth="1"/>
  </cols>
  <sheetData>
    <row r="1" spans="1:11" s="35" customFormat="1" ht="18" customHeight="1" x14ac:dyDescent="0.4">
      <c r="A1" s="309" t="str">
        <f>"Pasture Production Cost Summary - "&amp;Introduction!J13</f>
        <v>Pasture Production Cost Summary - 2025</v>
      </c>
      <c r="B1" s="309"/>
      <c r="C1" s="309"/>
      <c r="D1" s="309"/>
      <c r="E1" s="309"/>
      <c r="F1" s="309"/>
      <c r="G1" s="309"/>
      <c r="H1" s="309"/>
      <c r="I1" s="309"/>
      <c r="J1" s="309"/>
      <c r="K1" s="309"/>
    </row>
    <row r="2" spans="1:11" ht="7.5" customHeight="1" x14ac:dyDescent="0.35">
      <c r="A2" s="1"/>
      <c r="B2" s="1"/>
      <c r="C2" s="1"/>
      <c r="D2" s="1"/>
      <c r="E2" s="1"/>
      <c r="F2" s="1"/>
      <c r="G2" s="1"/>
      <c r="H2" s="1"/>
      <c r="I2" s="1"/>
      <c r="J2" s="1"/>
      <c r="K2" s="1"/>
    </row>
    <row r="3" spans="1:11" ht="18" customHeight="1" thickBot="1" x14ac:dyDescent="0.4">
      <c r="A3" s="1"/>
      <c r="B3" s="1"/>
      <c r="C3" s="310" t="s">
        <v>105</v>
      </c>
      <c r="D3" s="310"/>
      <c r="E3" s="310"/>
      <c r="F3" s="1"/>
      <c r="G3" s="310" t="s">
        <v>106</v>
      </c>
      <c r="H3" s="310"/>
      <c r="I3" s="310"/>
      <c r="J3" s="1"/>
      <c r="K3" s="1"/>
    </row>
    <row r="4" spans="1:11" ht="18" customHeight="1" x14ac:dyDescent="0.35">
      <c r="A4" s="1"/>
      <c r="B4" s="1"/>
      <c r="C4" s="107">
        <f>Input!E4</f>
        <v>160</v>
      </c>
      <c r="D4" s="108" t="str">
        <f>Input!F4</f>
        <v xml:space="preserve"> acres</v>
      </c>
      <c r="E4" s="17"/>
      <c r="F4" s="1"/>
      <c r="G4" s="107">
        <f>Input!H4</f>
        <v>160</v>
      </c>
      <c r="H4" s="108" t="str">
        <f>Input!I4</f>
        <v xml:space="preserve"> acres</v>
      </c>
      <c r="I4" s="17"/>
      <c r="J4" s="1"/>
      <c r="K4" s="1"/>
    </row>
    <row r="5" spans="1:11" ht="18" customHeight="1" x14ac:dyDescent="0.35">
      <c r="A5" s="1"/>
      <c r="B5" s="1"/>
      <c r="C5" s="107"/>
      <c r="E5" s="107" t="str">
        <f>Input!E8&amp;" "&amp;Input!F8&amp;" ("&amp;Input!E10&amp;" ac/hd) @ "&amp;Input!E12&amp;"lbs"</f>
        <v>94 head (1.7 ac/hd) @ 1350lbs</v>
      </c>
      <c r="F5" s="1"/>
      <c r="G5" s="107"/>
      <c r="H5" s="108"/>
      <c r="I5" s="107" t="str">
        <f>Input!H8&amp;" "&amp;Input!I8&amp;" ("&amp;Input!H10&amp;" ac/hd) @ "&amp;Input!H12&amp;"lbs"</f>
        <v>32 head (5 ac/hd) @ 1350lbs</v>
      </c>
      <c r="J5" s="1"/>
      <c r="K5" s="1"/>
    </row>
    <row r="6" spans="1:11" ht="18" customHeight="1" x14ac:dyDescent="0.35">
      <c r="A6" s="1"/>
      <c r="B6" s="1"/>
      <c r="C6" s="107">
        <f>Input!E15</f>
        <v>135</v>
      </c>
      <c r="D6" s="108" t="s">
        <v>191</v>
      </c>
      <c r="E6" s="17"/>
      <c r="F6" s="1"/>
      <c r="G6" s="107">
        <f>Input!H15</f>
        <v>135</v>
      </c>
      <c r="H6" s="108" t="s">
        <v>191</v>
      </c>
      <c r="I6" s="17"/>
      <c r="J6" s="1"/>
      <c r="K6" s="1"/>
    </row>
    <row r="7" spans="1:11" ht="18" customHeight="1" x14ac:dyDescent="0.35">
      <c r="A7" s="1" t="s">
        <v>227</v>
      </c>
      <c r="C7" s="17"/>
      <c r="D7" s="160">
        <f>Input!E19</f>
        <v>529</v>
      </c>
      <c r="E7" s="17"/>
      <c r="F7" s="1"/>
      <c r="G7" s="17"/>
      <c r="H7" s="160">
        <f>Input!H19</f>
        <v>180</v>
      </c>
      <c r="I7" s="17"/>
      <c r="J7" s="1"/>
      <c r="K7" s="1"/>
    </row>
    <row r="8" spans="1:11" ht="18" customHeight="1" x14ac:dyDescent="0.35">
      <c r="A8" s="1" t="s">
        <v>236</v>
      </c>
      <c r="C8" s="17"/>
      <c r="D8" s="109">
        <f>Input!E20</f>
        <v>3.31</v>
      </c>
      <c r="E8" s="17"/>
      <c r="F8" s="1"/>
      <c r="G8" s="17"/>
      <c r="H8" s="109">
        <f>Input!H20</f>
        <v>1.1299999999999999</v>
      </c>
      <c r="I8" s="17"/>
      <c r="J8" s="1"/>
      <c r="K8" s="1"/>
    </row>
    <row r="9" spans="1:11" ht="16.5" customHeight="1" x14ac:dyDescent="0.35">
      <c r="A9" s="1"/>
      <c r="B9" s="1"/>
      <c r="C9" s="17"/>
      <c r="D9" s="109"/>
      <c r="E9" s="17"/>
      <c r="F9" s="1"/>
      <c r="G9" s="17"/>
      <c r="H9" s="109"/>
      <c r="I9" s="17"/>
      <c r="J9" s="1"/>
      <c r="K9" s="1"/>
    </row>
    <row r="10" spans="1:11" ht="16.5" customHeight="1" x14ac:dyDescent="0.35">
      <c r="A10" s="1"/>
      <c r="B10" s="1"/>
      <c r="C10" s="60"/>
      <c r="D10" s="28"/>
      <c r="E10" s="171" t="str">
        <f>TEXT('Fixed Cost Input'!E6,"$#,###")&amp;"/acre = "&amp;TEXT('Fixed Cost Input'!F6,"$#,###")&amp;" Total Cost"</f>
        <v>$1,875/acre = $300,000 Total Cost</v>
      </c>
      <c r="F10" s="1"/>
      <c r="G10" s="60"/>
      <c r="H10" s="28"/>
      <c r="I10" s="60"/>
      <c r="J10" s="171" t="str">
        <f>TEXT('Fixed Cost Input'!I6,"$#,###")&amp;"/acre = "&amp;TEXT('Fixed Cost Input'!J6,"$#,###")&amp;" Total Cost"</f>
        <v>$844/acre = $135,000 Total Cost</v>
      </c>
      <c r="K10" s="1"/>
    </row>
    <row r="11" spans="1:11" ht="15" customHeight="1" x14ac:dyDescent="0.35">
      <c r="A11" s="1"/>
      <c r="B11" s="307" t="str">
        <f>"("&amp;TEXT('Fixed Cost Input'!F6*'Fixed Cost Input'!E9,"$#,###")&amp;" loan @ "&amp;'Fixed Cost Input'!D13*100&amp;"%, "&amp;'Fixed Cost Input'!E13&amp;" years = $"&amp;TEXT('Fixed Cost Input'!F14,"#,###")&amp;" annual pmt)"</f>
        <v>($75,000 loan @ 6%, 25 years = $5,867 annual pmt)</v>
      </c>
      <c r="C11" s="307"/>
      <c r="D11" s="307"/>
      <c r="E11" s="307"/>
      <c r="F11" s="308" t="str">
        <f>"("&amp;TEXT('Fixed Cost Input'!J6*'Fixed Cost Input'!I9,"$#,###")&amp;" loan @ "&amp;'Fixed Cost Input'!H13*100&amp;"%, "&amp;'Fixed Cost Input'!I13&amp;" years = $"&amp;TEXT('Fixed Cost Input'!J14,"#,###")&amp;" annual pmt)"</f>
        <v>($33,750 loan @ 6%, 25 years = $2,640 annual pmt)</v>
      </c>
      <c r="G11" s="308"/>
      <c r="H11" s="308"/>
      <c r="I11" s="308"/>
      <c r="J11" s="308"/>
      <c r="K11" s="308"/>
    </row>
    <row r="12" spans="1:11" ht="18" customHeight="1" x14ac:dyDescent="0.35">
      <c r="A12" s="1"/>
      <c r="B12" s="1"/>
      <c r="C12" s="17"/>
      <c r="D12" s="17"/>
      <c r="E12" s="17"/>
      <c r="F12" s="1"/>
      <c r="G12" s="17"/>
      <c r="H12" s="17"/>
      <c r="I12" s="17"/>
      <c r="J12" s="1"/>
      <c r="K12" s="1"/>
    </row>
    <row r="13" spans="1:11" ht="18" customHeight="1" x14ac:dyDescent="0.35">
      <c r="A13" s="1"/>
      <c r="B13" s="1"/>
      <c r="C13" s="1"/>
      <c r="D13" s="17" t="s">
        <v>27</v>
      </c>
      <c r="E13" s="17" t="s">
        <v>28</v>
      </c>
      <c r="F13" s="17"/>
      <c r="G13" s="1"/>
      <c r="H13" s="17" t="s">
        <v>27</v>
      </c>
      <c r="I13" s="17" t="s">
        <v>28</v>
      </c>
      <c r="J13" s="17"/>
    </row>
    <row r="14" spans="1:11" ht="15.5" x14ac:dyDescent="0.35">
      <c r="A14" s="3" t="s">
        <v>8</v>
      </c>
      <c r="B14" s="1"/>
      <c r="C14" s="15" t="s">
        <v>2</v>
      </c>
      <c r="D14" s="15" t="s">
        <v>26</v>
      </c>
      <c r="E14" s="15" t="s">
        <v>26</v>
      </c>
      <c r="F14" s="15"/>
      <c r="G14" s="15" t="s">
        <v>2</v>
      </c>
      <c r="H14" s="15" t="s">
        <v>26</v>
      </c>
      <c r="I14" s="15" t="s">
        <v>26</v>
      </c>
      <c r="J14" s="15"/>
      <c r="K14" s="15" t="s">
        <v>14</v>
      </c>
    </row>
    <row r="15" spans="1:11" ht="16" thickBot="1" x14ac:dyDescent="0.4">
      <c r="A15" s="1"/>
      <c r="B15" s="1" t="s">
        <v>192</v>
      </c>
      <c r="C15" s="53">
        <f>(Input!F39+Input!I48+Input!I49+Input!L68+IF(Input!L68&gt;0,Input!E74,0)+Input!D83+IF(Input!D83&gt;0,Input!E86,0)-Input!I115)/Input!E41</f>
        <v>21.572427194643488</v>
      </c>
      <c r="D15" s="54">
        <f>ROUND(C15/Input!$E$9,2)</f>
        <v>36.56</v>
      </c>
      <c r="E15" s="53">
        <f>ROUND(D15/Input!$E$15,2)</f>
        <v>0.27</v>
      </c>
      <c r="F15" s="53"/>
      <c r="G15" s="53">
        <f>(Input!J39+Input!I50+Input!L69+IF(Input!L69&gt;0,Input!E74,0)+Input!D84+IF(Input!D84&gt;0,Input!E86,0))/Input!H41</f>
        <v>0</v>
      </c>
      <c r="H15" s="54">
        <f>G15/Input!$H$9</f>
        <v>0</v>
      </c>
      <c r="I15" s="53">
        <f>H15/Input!$H$15</f>
        <v>0</v>
      </c>
      <c r="J15" s="53"/>
      <c r="K15" s="110"/>
    </row>
    <row r="16" spans="1:11" ht="16" thickBot="1" x14ac:dyDescent="0.4">
      <c r="A16" s="1"/>
      <c r="B16" s="1" t="s">
        <v>196</v>
      </c>
      <c r="C16" s="53">
        <f>Input!L67*(Input!E71/Input!E4)</f>
        <v>22.186810976259125</v>
      </c>
      <c r="D16" s="54">
        <f>ROUND(C16/Input!$E$9,2)</f>
        <v>37.6</v>
      </c>
      <c r="E16" s="53">
        <f>ROUND(D16/Input!$E$15,2)</f>
        <v>0.28000000000000003</v>
      </c>
      <c r="F16" s="53"/>
      <c r="G16" s="53">
        <f>Input!L69*(Input!E72/Input!H4)</f>
        <v>0</v>
      </c>
      <c r="H16" s="54">
        <f>G16/Input!$H$9</f>
        <v>0</v>
      </c>
      <c r="I16" s="53">
        <f>H16/Input!$H$15</f>
        <v>0</v>
      </c>
      <c r="J16" s="53"/>
      <c r="K16" s="110"/>
    </row>
    <row r="17" spans="1:11" ht="16" thickBot="1" x14ac:dyDescent="0.4">
      <c r="A17" s="1"/>
      <c r="B17" s="1" t="s">
        <v>193</v>
      </c>
      <c r="C17" s="53">
        <f>Input!H82+IF(Input!D82&gt;0,Input!E86,0)+Input!D82</f>
        <v>1</v>
      </c>
      <c r="D17" s="54">
        <f>ROUND(C17/Input!$E$9,2)</f>
        <v>1.69</v>
      </c>
      <c r="E17" s="53">
        <f>ROUND(D17/Input!$E$15,2)</f>
        <v>0.01</v>
      </c>
      <c r="F17" s="53"/>
      <c r="G17" s="53">
        <f>Input!H84+IF(Input!D84&gt;0,Input!E86,0)+Input!D84</f>
        <v>1</v>
      </c>
      <c r="H17" s="54">
        <f>G17/Input!$H$9</f>
        <v>5</v>
      </c>
      <c r="I17" s="53">
        <f>H17/Input!$H$15</f>
        <v>3.7037037037037035E-2</v>
      </c>
      <c r="J17" s="53"/>
      <c r="K17" s="110"/>
    </row>
    <row r="18" spans="1:11" ht="16" thickBot="1" x14ac:dyDescent="0.4">
      <c r="A18" s="1"/>
      <c r="B18" s="1" t="s">
        <v>174</v>
      </c>
      <c r="C18" s="53">
        <f>Input!E97</f>
        <v>2.4596</v>
      </c>
      <c r="D18" s="54">
        <f>ROUND(C18/Input!$E$9,2)</f>
        <v>4.17</v>
      </c>
      <c r="E18" s="53">
        <f>ROUND(D18/Input!$E$15,2)</f>
        <v>0.03</v>
      </c>
      <c r="F18" s="53"/>
      <c r="G18" s="53">
        <f>Input!I97</f>
        <v>1.8588499999999999</v>
      </c>
      <c r="H18" s="54">
        <f>G18/Input!$H$9</f>
        <v>9.2942499999999981</v>
      </c>
      <c r="I18" s="53">
        <f>H18/Input!$H$15</f>
        <v>6.884629629629628E-2</v>
      </c>
      <c r="J18" s="53"/>
      <c r="K18" s="110"/>
    </row>
    <row r="19" spans="1:11" ht="16" thickBot="1" x14ac:dyDescent="0.4">
      <c r="A19" s="1"/>
      <c r="B19" s="1" t="s">
        <v>199</v>
      </c>
      <c r="C19" s="53">
        <f>Input!E98</f>
        <v>0.5</v>
      </c>
      <c r="D19" s="54">
        <f>ROUND(C19/Input!$E$9,2)</f>
        <v>0.85</v>
      </c>
      <c r="E19" s="53">
        <f>ROUND(D19/Input!$E$15,2)</f>
        <v>0.01</v>
      </c>
      <c r="F19" s="53"/>
      <c r="G19" s="53">
        <f>Input!I98</f>
        <v>0.5</v>
      </c>
      <c r="H19" s="54">
        <f>G19/Input!$H$9</f>
        <v>2.5</v>
      </c>
      <c r="I19" s="53">
        <f>H19/Input!$H$15</f>
        <v>1.8518518518518517E-2</v>
      </c>
      <c r="J19" s="53"/>
      <c r="K19" s="110"/>
    </row>
    <row r="20" spans="1:11" ht="16" thickBot="1" x14ac:dyDescent="0.4">
      <c r="A20" s="1"/>
      <c r="B20" s="1" t="s">
        <v>326</v>
      </c>
      <c r="C20" s="53">
        <f>'Pasture Insurance'!C30</f>
        <v>3.8898022500000011</v>
      </c>
      <c r="D20" s="54">
        <f>'Pasture Insurance'!C31</f>
        <v>6.6209400000000018</v>
      </c>
      <c r="E20" s="53">
        <f>'Pasture Insurance'!C32</f>
        <v>4.9410000000000016E-2</v>
      </c>
      <c r="F20" s="53"/>
      <c r="G20" s="53">
        <f>'Pasture Insurance'!G30</f>
        <v>1.3391122499999999</v>
      </c>
      <c r="H20" s="54">
        <f>'Pasture Insurance'!G31</f>
        <v>6.695561249999999</v>
      </c>
      <c r="I20" s="53">
        <f>'Pasture Insurance'!G32</f>
        <v>4.9966874999999994E-2</v>
      </c>
      <c r="J20" s="53"/>
      <c r="K20" s="110"/>
    </row>
    <row r="21" spans="1:11" ht="16" thickBot="1" x14ac:dyDescent="0.4">
      <c r="A21" s="1"/>
      <c r="B21" s="1" t="s">
        <v>194</v>
      </c>
      <c r="C21" s="53">
        <f>Input!E100</f>
        <v>10</v>
      </c>
      <c r="D21" s="54">
        <f>ROUND(C21/Input!$E$9,2)</f>
        <v>16.95</v>
      </c>
      <c r="E21" s="53">
        <f>ROUND(D21/Input!$E$15,2)</f>
        <v>0.13</v>
      </c>
      <c r="F21" s="53"/>
      <c r="G21" s="53">
        <f>Input!I100</f>
        <v>6</v>
      </c>
      <c r="H21" s="54">
        <f>G21/Input!$H$9</f>
        <v>30</v>
      </c>
      <c r="I21" s="53">
        <f>H21/Input!$H$15</f>
        <v>0.22222222222222221</v>
      </c>
      <c r="J21" s="53"/>
      <c r="K21" s="110"/>
    </row>
    <row r="22" spans="1:11" ht="16" thickBot="1" x14ac:dyDescent="0.4">
      <c r="A22" s="1"/>
      <c r="B22" s="10" t="s">
        <v>172</v>
      </c>
      <c r="C22" s="55">
        <f>Input!E101</f>
        <v>0</v>
      </c>
      <c r="D22" s="56">
        <f>ROUND(C22/Input!$E$9,2)</f>
        <v>0</v>
      </c>
      <c r="E22" s="55">
        <f>ROUND(D22/Input!$E$15,2)</f>
        <v>0</v>
      </c>
      <c r="F22" s="55"/>
      <c r="G22" s="55">
        <f>Input!I101</f>
        <v>0</v>
      </c>
      <c r="H22" s="56">
        <f>G22/Input!$H$9</f>
        <v>0</v>
      </c>
      <c r="I22" s="55">
        <f>H22/Input!$H$15</f>
        <v>0</v>
      </c>
      <c r="J22" s="55"/>
      <c r="K22" s="110"/>
    </row>
    <row r="23" spans="1:11" ht="16" thickBot="1" x14ac:dyDescent="0.4">
      <c r="A23" s="1"/>
      <c r="B23" s="1" t="s">
        <v>197</v>
      </c>
      <c r="C23" s="53">
        <f>SUM(C15:C22)</f>
        <v>61.608640420902617</v>
      </c>
      <c r="D23" s="53">
        <f>SUM(D15:D22)</f>
        <v>104.44094</v>
      </c>
      <c r="E23" s="53">
        <f>SUM(E15:E22)</f>
        <v>0.77941000000000016</v>
      </c>
      <c r="F23" s="54"/>
      <c r="G23" s="53">
        <f>SUM(G15:G22)</f>
        <v>10.69796225</v>
      </c>
      <c r="H23" s="53">
        <f>SUM(H15:H22)</f>
        <v>53.489811249999995</v>
      </c>
      <c r="I23" s="53">
        <f>SUM(I15:I22)</f>
        <v>0.39659094907407405</v>
      </c>
      <c r="J23" s="54"/>
      <c r="K23" s="110"/>
    </row>
    <row r="24" spans="1:11" ht="16" thickBot="1" x14ac:dyDescent="0.4">
      <c r="A24" s="1"/>
      <c r="B24" s="1" t="s">
        <v>19</v>
      </c>
      <c r="C24" s="55">
        <f>(C23/2)*(Input!E103/100)</f>
        <v>2.7723888189406178</v>
      </c>
      <c r="D24" s="56">
        <f>ROUND(C24/Input!$E$9,2)</f>
        <v>4.7</v>
      </c>
      <c r="E24" s="55">
        <f>ROUND(D24/Input!$E$15,2)</f>
        <v>0.03</v>
      </c>
      <c r="F24" s="55"/>
      <c r="G24" s="55">
        <f>(G23/2)*(Input!E103/100)</f>
        <v>0.48140830124999995</v>
      </c>
      <c r="H24" s="56">
        <f>G24/Input!$H$9</f>
        <v>2.4070415062499997</v>
      </c>
      <c r="I24" s="55">
        <f>H24/Input!$H$15</f>
        <v>1.782993708333333E-2</v>
      </c>
      <c r="J24" s="55"/>
      <c r="K24" s="111"/>
    </row>
    <row r="25" spans="1:11" ht="16" thickBot="1" x14ac:dyDescent="0.4">
      <c r="A25" s="1"/>
      <c r="B25" s="3" t="s">
        <v>104</v>
      </c>
      <c r="C25" s="11">
        <f>C23+C24</f>
        <v>64.38102923984323</v>
      </c>
      <c r="D25" s="57">
        <f>C25/Input!$E$9</f>
        <v>109.12038854210718</v>
      </c>
      <c r="E25" s="11">
        <f>E23+E24</f>
        <v>0.80941000000000018</v>
      </c>
      <c r="F25" s="57"/>
      <c r="G25" s="11">
        <f>G23+G24</f>
        <v>11.179370551249999</v>
      </c>
      <c r="H25" s="57">
        <f>H23+H24</f>
        <v>55.896852756249999</v>
      </c>
      <c r="I25" s="11">
        <f>I23+I24</f>
        <v>0.41442088615740735</v>
      </c>
      <c r="J25" s="57"/>
      <c r="K25" s="112" t="str">
        <f>IF(SUM(K15:K24)=0,"",SUM(K15:K24))</f>
        <v/>
      </c>
    </row>
    <row r="26" spans="1:11" ht="15.5" x14ac:dyDescent="0.35">
      <c r="A26" s="1"/>
      <c r="B26" s="3"/>
      <c r="C26" s="11"/>
      <c r="D26" s="54"/>
      <c r="E26" s="1"/>
      <c r="F26" s="1"/>
      <c r="G26" s="11"/>
      <c r="H26" s="54"/>
      <c r="I26" s="1"/>
      <c r="J26" s="1"/>
      <c r="K26" s="1"/>
    </row>
    <row r="27" spans="1:11" ht="15.5" x14ac:dyDescent="0.35">
      <c r="A27" s="3" t="s">
        <v>9</v>
      </c>
      <c r="B27" s="1"/>
      <c r="C27" s="53"/>
      <c r="D27" s="54"/>
      <c r="E27" s="1"/>
      <c r="F27" s="1"/>
      <c r="G27" s="53"/>
      <c r="H27" s="54"/>
      <c r="I27" s="1"/>
      <c r="J27" s="1"/>
      <c r="K27" s="1"/>
    </row>
    <row r="28" spans="1:11" ht="15.5" x14ac:dyDescent="0.35">
      <c r="A28" s="1"/>
      <c r="B28" s="3" t="s">
        <v>10</v>
      </c>
      <c r="C28" s="53"/>
      <c r="D28" s="54"/>
      <c r="E28" s="1"/>
      <c r="F28" s="1"/>
      <c r="G28" s="53"/>
      <c r="H28" s="54"/>
      <c r="I28" s="1"/>
      <c r="J28" s="1"/>
      <c r="K28" s="1"/>
    </row>
    <row r="29" spans="1:11" ht="16" thickBot="1" x14ac:dyDescent="0.4">
      <c r="A29" s="1"/>
      <c r="B29" s="1" t="s">
        <v>1</v>
      </c>
      <c r="C29" s="53">
        <f>'Fixed Cost Input'!E16</f>
        <v>36.66877416200343</v>
      </c>
      <c r="D29" s="54">
        <f>ROUND(C29/Input!$E$9,2)</f>
        <v>62.15</v>
      </c>
      <c r="E29" s="53">
        <f>ROUND(D29/Input!$E$15,2)</f>
        <v>0.46</v>
      </c>
      <c r="F29" s="53"/>
      <c r="G29" s="53">
        <f>'Fixed Cost Input'!I16</f>
        <v>16.500948372901544</v>
      </c>
      <c r="H29" s="54">
        <f>ROUND(G29/Input!$H9,2)</f>
        <v>82.5</v>
      </c>
      <c r="I29" s="53">
        <f>ROUND(H29/Input!$H$15,2)</f>
        <v>0.61</v>
      </c>
      <c r="J29" s="53"/>
      <c r="K29" s="110"/>
    </row>
    <row r="30" spans="1:11" ht="16" thickBot="1" x14ac:dyDescent="0.4">
      <c r="A30" s="1"/>
      <c r="B30" s="1" t="s">
        <v>42</v>
      </c>
      <c r="C30" s="53">
        <f>'Fixed Cost Input'!E35</f>
        <v>2.1622499999999998</v>
      </c>
      <c r="D30" s="54">
        <f>ROUND(C30/Input!$E$9,2)</f>
        <v>3.66</v>
      </c>
      <c r="E30" s="53">
        <f>ROUND(D30/Input!$E$15,2)</f>
        <v>0.03</v>
      </c>
      <c r="F30" s="53"/>
      <c r="G30" s="53">
        <f>'Fixed Cost Input'!I35</f>
        <v>1.7868124999999999</v>
      </c>
      <c r="H30" s="54">
        <f>G30/Input!$H$9</f>
        <v>8.9340624999999996</v>
      </c>
      <c r="I30" s="53">
        <f>H30/Input!$H$15</f>
        <v>6.6178240740740732E-2</v>
      </c>
      <c r="J30" s="53"/>
      <c r="K30" s="110"/>
    </row>
    <row r="31" spans="1:11" ht="15.5" x14ac:dyDescent="0.35">
      <c r="A31" s="1"/>
      <c r="B31" s="3" t="s">
        <v>11</v>
      </c>
      <c r="C31" s="53"/>
      <c r="D31" s="54"/>
      <c r="E31" s="53"/>
      <c r="F31" s="53"/>
      <c r="G31" s="53"/>
      <c r="H31" s="56"/>
      <c r="I31" s="53"/>
      <c r="J31" s="53"/>
      <c r="K31" s="1"/>
    </row>
    <row r="32" spans="1:11" ht="16" thickBot="1" x14ac:dyDescent="0.4">
      <c r="A32" s="1"/>
      <c r="B32" s="1" t="s">
        <v>43</v>
      </c>
      <c r="C32" s="55">
        <f>'Fixed Cost Input'!E36</f>
        <v>8.6489999999999991</v>
      </c>
      <c r="D32" s="56">
        <f>ROUND(C32/Input!$E$9,2)</f>
        <v>14.66</v>
      </c>
      <c r="E32" s="55">
        <f>ROUND(D32/Input!$E$15,2)</f>
        <v>0.11</v>
      </c>
      <c r="F32" s="55"/>
      <c r="G32" s="55">
        <f>'Fixed Cost Input'!I36</f>
        <v>7.147125</v>
      </c>
      <c r="H32" s="56">
        <f>G32/Input!$H$9</f>
        <v>35.735624999999999</v>
      </c>
      <c r="I32" s="55">
        <f>H32/Input!$H$15</f>
        <v>0.26470833333333332</v>
      </c>
      <c r="J32" s="53"/>
      <c r="K32" s="110"/>
    </row>
    <row r="33" spans="1:11" ht="16" thickBot="1" x14ac:dyDescent="0.4">
      <c r="A33" s="1"/>
      <c r="B33" s="3" t="s">
        <v>15</v>
      </c>
      <c r="C33" s="11">
        <f>SUM(C29:C32)</f>
        <v>47.480024162003431</v>
      </c>
      <c r="D33" s="11">
        <f>SUM(D29:D32)</f>
        <v>80.47</v>
      </c>
      <c r="E33" s="11">
        <f>SUM(E29:E32)</f>
        <v>0.6</v>
      </c>
      <c r="F33" s="11"/>
      <c r="G33" s="11">
        <f>SUM(G29:G32)</f>
        <v>25.434885872901543</v>
      </c>
      <c r="H33" s="11">
        <f>SUM(H29:H32)</f>
        <v>127.16968749999999</v>
      </c>
      <c r="I33" s="11">
        <f>SUM(I29:I32)</f>
        <v>0.94088657407407406</v>
      </c>
      <c r="J33" s="11"/>
      <c r="K33" s="112" t="str">
        <f>IF(SUM(K29:K32)=0,"",SUM(K29:K32))</f>
        <v/>
      </c>
    </row>
    <row r="34" spans="1:11" ht="15.5" x14ac:dyDescent="0.35">
      <c r="A34" s="1"/>
      <c r="B34" s="1"/>
      <c r="C34" s="53"/>
      <c r="D34" s="53"/>
      <c r="E34" s="53"/>
      <c r="F34" s="53"/>
      <c r="G34" s="53"/>
      <c r="H34" s="53"/>
      <c r="I34" s="53"/>
      <c r="J34" s="1"/>
      <c r="K34" s="1"/>
    </row>
    <row r="35" spans="1:11" ht="16" thickBot="1" x14ac:dyDescent="0.4">
      <c r="A35" s="3" t="s">
        <v>0</v>
      </c>
      <c r="B35" s="1"/>
      <c r="C35" s="11">
        <f>C25+C33</f>
        <v>111.86105340184666</v>
      </c>
      <c r="D35" s="11">
        <f>D25+D33</f>
        <v>189.59038854210718</v>
      </c>
      <c r="E35" s="11">
        <f>E25+E33</f>
        <v>1.4094100000000003</v>
      </c>
      <c r="F35" s="11"/>
      <c r="G35" s="11">
        <f>G25+G33</f>
        <v>36.614256424151542</v>
      </c>
      <c r="H35" s="11">
        <f>H25+H33</f>
        <v>183.06654025624999</v>
      </c>
      <c r="I35" s="11">
        <f>I25+I33</f>
        <v>1.3553074602314814</v>
      </c>
      <c r="J35" s="57"/>
      <c r="K35" s="112" t="str">
        <f>IF(OR(K25="",K33=""),"",+K25+K33)</f>
        <v/>
      </c>
    </row>
    <row r="36" spans="1:11" ht="15.5" x14ac:dyDescent="0.35">
      <c r="A36" s="1"/>
      <c r="B36" s="1"/>
      <c r="C36" s="53"/>
      <c r="D36" s="53"/>
      <c r="E36" s="53"/>
      <c r="F36" s="53"/>
      <c r="G36" s="53"/>
      <c r="H36" s="53"/>
      <c r="I36" s="53"/>
      <c r="J36" s="1"/>
      <c r="K36" s="1"/>
    </row>
    <row r="37" spans="1:11" ht="16" thickBot="1" x14ac:dyDescent="0.4">
      <c r="A37" s="3" t="s">
        <v>12</v>
      </c>
      <c r="B37" s="1"/>
      <c r="C37" s="11">
        <f>(Input!E107*Input!E108)/Input!E4</f>
        <v>0</v>
      </c>
      <c r="D37" s="11">
        <f>ROUND(C37/Input!$E$9,2)</f>
        <v>0</v>
      </c>
      <c r="E37" s="11">
        <f>D37/Input!$E$15</f>
        <v>0</v>
      </c>
      <c r="F37" s="11"/>
      <c r="G37" s="11">
        <f>(Input!I107*Input!I108)/Input!H4</f>
        <v>0</v>
      </c>
      <c r="H37" s="53">
        <f>G37/Input!$H$9</f>
        <v>0</v>
      </c>
      <c r="I37" s="53">
        <f>H37/Input!$H$15</f>
        <v>0</v>
      </c>
      <c r="J37" s="57"/>
      <c r="K37" s="110"/>
    </row>
    <row r="38" spans="1:11" ht="15.5" x14ac:dyDescent="0.35">
      <c r="A38" s="1"/>
      <c r="B38" s="1"/>
      <c r="C38" s="53"/>
      <c r="D38" s="53"/>
      <c r="E38" s="53"/>
      <c r="F38" s="53"/>
      <c r="G38" s="53"/>
      <c r="H38" s="53"/>
      <c r="I38" s="53"/>
      <c r="J38" s="1"/>
      <c r="K38" s="1"/>
    </row>
    <row r="39" spans="1:11" ht="16" thickBot="1" x14ac:dyDescent="0.4">
      <c r="A39" s="3" t="s">
        <v>13</v>
      </c>
      <c r="B39" s="1"/>
      <c r="C39" s="11">
        <f>C35+C37</f>
        <v>111.86105340184666</v>
      </c>
      <c r="D39" s="11">
        <f>D35+D37</f>
        <v>189.59038854210718</v>
      </c>
      <c r="E39" s="11">
        <f>E35+E37</f>
        <v>1.4094100000000003</v>
      </c>
      <c r="F39" s="11"/>
      <c r="G39" s="11">
        <f>G35+G37</f>
        <v>36.614256424151542</v>
      </c>
      <c r="H39" s="11">
        <f>H35+H37</f>
        <v>183.06654025624999</v>
      </c>
      <c r="I39" s="11">
        <f>I35+I37</f>
        <v>1.3553074602314814</v>
      </c>
      <c r="J39" s="57"/>
      <c r="K39" s="112" t="str">
        <f>IF(K25="","",SUM(K37+K30+K31+K32+K33+K15+K16+K17+K18+K21+K22+K19+K23+K24))</f>
        <v/>
      </c>
    </row>
    <row r="40" spans="1:11" ht="15.5" x14ac:dyDescent="0.35">
      <c r="A40" s="1"/>
      <c r="B40" s="1"/>
      <c r="C40" s="1"/>
      <c r="D40" s="1"/>
      <c r="E40" s="1"/>
      <c r="F40" s="1"/>
      <c r="G40" s="1"/>
      <c r="H40" s="1"/>
      <c r="I40" s="1"/>
      <c r="J40" s="1"/>
      <c r="K40" s="1"/>
    </row>
    <row r="41" spans="1:11" ht="15.5" x14ac:dyDescent="0.35">
      <c r="A41" s="306" t="s">
        <v>201</v>
      </c>
      <c r="B41" s="306"/>
      <c r="C41" s="306"/>
      <c r="D41" s="306"/>
      <c r="E41" s="306"/>
      <c r="F41" s="306"/>
      <c r="G41" s="306"/>
      <c r="H41" s="306"/>
      <c r="I41" s="306"/>
      <c r="J41" s="306"/>
      <c r="K41" s="306"/>
    </row>
    <row r="42" spans="1:11" s="35" customFormat="1" ht="7.5" customHeight="1" x14ac:dyDescent="0.35">
      <c r="A42" s="1"/>
      <c r="B42" s="1"/>
      <c r="C42" s="1"/>
      <c r="D42" s="1"/>
      <c r="E42" s="1"/>
      <c r="F42" s="1"/>
      <c r="G42" s="63"/>
      <c r="H42" s="1"/>
      <c r="I42" s="1"/>
      <c r="J42" s="1"/>
      <c r="K42" s="1"/>
    </row>
    <row r="43" spans="1:11" s="1" customFormat="1" ht="16" thickBot="1" x14ac:dyDescent="0.4">
      <c r="C43" s="310" t="s">
        <v>105</v>
      </c>
      <c r="D43" s="310"/>
      <c r="E43" s="310"/>
      <c r="G43" s="310" t="s">
        <v>106</v>
      </c>
      <c r="H43" s="310"/>
      <c r="I43" s="310"/>
    </row>
    <row r="44" spans="1:11" ht="7.5" customHeight="1" x14ac:dyDescent="0.35">
      <c r="A44" s="1"/>
      <c r="B44" s="1"/>
      <c r="C44" s="17"/>
      <c r="D44" s="17"/>
      <c r="E44" s="17"/>
      <c r="F44" s="1"/>
      <c r="G44" s="17"/>
      <c r="H44" s="17"/>
      <c r="I44" s="17"/>
      <c r="J44" s="1"/>
      <c r="K44" s="1"/>
    </row>
    <row r="45" spans="1:11" ht="16.5" customHeight="1" x14ac:dyDescent="0.35">
      <c r="A45" s="3" t="s">
        <v>253</v>
      </c>
      <c r="B45" s="1"/>
      <c r="D45" s="26">
        <f>SUM(C39*Input!E4)</f>
        <v>17897.768544295464</v>
      </c>
      <c r="E45" s="1"/>
      <c r="F45" s="1"/>
      <c r="H45" s="26">
        <f>SUM(G39*Input!H4)</f>
        <v>5858.2810278642464</v>
      </c>
      <c r="I45" s="1"/>
      <c r="J45" s="1"/>
      <c r="K45" s="1"/>
    </row>
    <row r="46" spans="1:11" s="1" customFormat="1" ht="7.5" customHeight="1" x14ac:dyDescent="0.35">
      <c r="A46" s="3"/>
      <c r="C46" s="26"/>
      <c r="D46" s="3"/>
      <c r="G46" s="26"/>
      <c r="H46" s="3"/>
    </row>
    <row r="47" spans="1:11" s="1" customFormat="1" ht="15.5" x14ac:dyDescent="0.35">
      <c r="A47" s="3" t="s">
        <v>254</v>
      </c>
      <c r="C47" s="26"/>
      <c r="D47" s="11">
        <f>E39</f>
        <v>1.4094100000000003</v>
      </c>
      <c r="G47" s="26"/>
      <c r="H47" s="11">
        <f>I39</f>
        <v>1.3553074602314814</v>
      </c>
    </row>
    <row r="48" spans="1:11" s="1" customFormat="1" ht="7.5" customHeight="1" x14ac:dyDescent="0.35">
      <c r="A48" s="3"/>
      <c r="C48" s="26"/>
      <c r="D48" s="11"/>
      <c r="G48" s="26"/>
      <c r="H48" s="11"/>
    </row>
    <row r="49" spans="1:11" s="1" customFormat="1" ht="15.5" x14ac:dyDescent="0.35">
      <c r="A49" s="3" t="s">
        <v>255</v>
      </c>
      <c r="C49" s="26"/>
      <c r="D49" s="26">
        <f>'Fixed Cost Input'!E19</f>
        <v>3191.4893617021276</v>
      </c>
      <c r="G49" s="26"/>
      <c r="H49" s="26">
        <f>'Fixed Cost Input'!I19</f>
        <v>4218.75</v>
      </c>
    </row>
    <row r="50" spans="1:11" s="1" customFormat="1" ht="7.5" customHeight="1" x14ac:dyDescent="0.35">
      <c r="A50" s="3"/>
      <c r="C50" s="26"/>
      <c r="D50" s="26"/>
      <c r="G50" s="26"/>
      <c r="H50" s="26"/>
    </row>
    <row r="51" spans="1:11" s="1" customFormat="1" ht="15.5" x14ac:dyDescent="0.35">
      <c r="A51" s="3" t="s">
        <v>256</v>
      </c>
      <c r="B51" s="3"/>
      <c r="D51" s="11">
        <f>ROUND(D45/D7,2)</f>
        <v>33.83</v>
      </c>
      <c r="E51" s="139"/>
      <c r="F51" s="3"/>
      <c r="H51" s="11">
        <f>ROUND(H45/H7,2)</f>
        <v>32.549999999999997</v>
      </c>
      <c r="I51" s="3"/>
      <c r="J51" s="3"/>
      <c r="K51" s="3"/>
    </row>
    <row r="52" spans="1:11" s="1" customFormat="1" ht="7.5" customHeight="1" x14ac:dyDescent="0.35">
      <c r="A52" s="3"/>
      <c r="B52" s="3"/>
      <c r="C52" s="11"/>
      <c r="D52" s="3"/>
      <c r="E52" s="3"/>
      <c r="F52" s="3"/>
      <c r="G52" s="11"/>
      <c r="H52" s="3"/>
      <c r="I52" s="3"/>
      <c r="J52" s="3"/>
      <c r="K52" s="3"/>
    </row>
    <row r="53" spans="1:11" s="1" customFormat="1" ht="15.5" x14ac:dyDescent="0.35">
      <c r="A53" s="3" t="s">
        <v>237</v>
      </c>
      <c r="B53" s="3"/>
      <c r="C53" s="11"/>
      <c r="D53" s="26">
        <f>Input!E21</f>
        <v>567.10775047258983</v>
      </c>
      <c r="E53" s="3"/>
      <c r="F53" s="3"/>
      <c r="G53" s="11"/>
      <c r="H53" s="26">
        <f>Input!H21</f>
        <v>750</v>
      </c>
      <c r="I53" s="3"/>
      <c r="J53" s="3"/>
      <c r="K53" s="3"/>
    </row>
    <row r="54" spans="1:11" s="3" customFormat="1" ht="15.5" x14ac:dyDescent="0.35">
      <c r="A54" s="1"/>
      <c r="B54" s="1"/>
      <c r="C54" s="1"/>
      <c r="D54" s="1"/>
      <c r="E54" s="1"/>
      <c r="F54" s="1"/>
      <c r="G54" s="63"/>
      <c r="H54" s="1"/>
      <c r="I54" s="1"/>
      <c r="J54" s="1"/>
      <c r="K54" s="1"/>
    </row>
    <row r="55" spans="1:11" s="1" customFormat="1" ht="26.25" customHeight="1" x14ac:dyDescent="0.35">
      <c r="A55" s="305" t="s">
        <v>107</v>
      </c>
      <c r="B55" s="305"/>
      <c r="C55" s="305"/>
      <c r="D55" s="305"/>
      <c r="E55" s="305"/>
      <c r="F55" s="305"/>
      <c r="G55" s="305"/>
      <c r="H55" s="305"/>
      <c r="I55" s="305"/>
      <c r="J55" s="305"/>
      <c r="K55" s="305"/>
    </row>
    <row r="56" spans="1:11" s="1" customFormat="1" ht="15.5" x14ac:dyDescent="0.35">
      <c r="G56" s="63"/>
    </row>
    <row r="57" spans="1:11" s="1" customFormat="1" ht="19.5" customHeight="1" x14ac:dyDescent="0.35">
      <c r="B57" s="142"/>
      <c r="C57" s="142"/>
      <c r="D57" s="142"/>
      <c r="E57" s="142"/>
      <c r="F57" s="142"/>
      <c r="G57" s="142"/>
      <c r="H57" s="142"/>
      <c r="I57" s="142"/>
      <c r="J57" s="142"/>
      <c r="K57" s="142"/>
    </row>
    <row r="58" spans="1:11" ht="16.5" customHeight="1" x14ac:dyDescent="0.25">
      <c r="A58" s="142"/>
      <c r="B58" s="142"/>
      <c r="C58" s="142"/>
      <c r="D58" s="142"/>
      <c r="E58" s="142"/>
      <c r="F58" s="142"/>
      <c r="G58" s="142"/>
      <c r="H58" s="142"/>
      <c r="I58" s="142"/>
      <c r="J58" s="142"/>
      <c r="K58" s="142"/>
    </row>
  </sheetData>
  <sheetProtection password="C6A6" sheet="1" objects="1" scenarios="1"/>
  <mergeCells count="9">
    <mergeCell ref="A55:K55"/>
    <mergeCell ref="A41:K41"/>
    <mergeCell ref="B11:E11"/>
    <mergeCell ref="F11:K11"/>
    <mergeCell ref="A1:K1"/>
    <mergeCell ref="C3:E3"/>
    <mergeCell ref="G3:I3"/>
    <mergeCell ref="C43:E43"/>
    <mergeCell ref="G43:I43"/>
  </mergeCells>
  <phoneticPr fontId="20" type="noConversion"/>
  <pageMargins left="0.74803149606299213" right="0.74803149606299213" top="0.98425196850393704" bottom="0.98425196850393704" header="0.51181102362204722" footer="0.51181102362204722"/>
  <pageSetup scale="73" firstPageNumber="2" fitToHeight="2" orientation="portrait" useFirstPageNumber="1" r:id="rId1"/>
  <headerFooter scaleWithDoc="0" alignWithMargins="0">
    <oddHeader>&amp;LGuidelines: Pasture Production Costs&amp;R&amp;P</oddHeader>
  </headerFooter>
  <ignoredErrors>
    <ignoredError sqref="D23 E23" formula="1"/>
    <ignoredError sqref="C33 D33 E33"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O48"/>
  <sheetViews>
    <sheetView zoomScaleNormal="100" workbookViewId="0">
      <selection sqref="A1:K1"/>
    </sheetView>
  </sheetViews>
  <sheetFormatPr defaultColWidth="9.08984375" defaultRowHeight="12.5" x14ac:dyDescent="0.25"/>
  <cols>
    <col min="1" max="1" width="3.6328125" customWidth="1"/>
    <col min="2" max="2" width="20" customWidth="1"/>
    <col min="3" max="3" width="10.81640625" customWidth="1"/>
    <col min="4" max="5" width="11.54296875" customWidth="1"/>
    <col min="6" max="6" width="12.08984375" customWidth="1"/>
    <col min="7" max="7" width="4" customWidth="1"/>
    <col min="8" max="8" width="11.54296875" customWidth="1"/>
    <col min="9" max="10" width="12.08984375" customWidth="1"/>
    <col min="11" max="11" width="12.54296875" bestFit="1" customWidth="1"/>
    <col min="12" max="12" width="10.08984375" customWidth="1"/>
    <col min="13" max="13" width="8.81640625" customWidth="1"/>
    <col min="16" max="16" width="11" bestFit="1" customWidth="1"/>
    <col min="19" max="46" width="0" hidden="1" customWidth="1"/>
  </cols>
  <sheetData>
    <row r="1" spans="1:15" s="1" customFormat="1" ht="24" customHeight="1" x14ac:dyDescent="0.35">
      <c r="A1" s="312" t="s">
        <v>264</v>
      </c>
      <c r="B1" s="312"/>
      <c r="C1" s="312"/>
      <c r="D1" s="312"/>
      <c r="E1" s="312"/>
      <c r="F1" s="312"/>
      <c r="G1" s="312"/>
      <c r="H1" s="312"/>
      <c r="I1" s="312"/>
      <c r="J1" s="312"/>
      <c r="K1" s="312"/>
    </row>
    <row r="2" spans="1:15" ht="7.5" customHeight="1" x14ac:dyDescent="0.35">
      <c r="A2" s="1"/>
      <c r="C2" s="1"/>
      <c r="D2" s="13"/>
      <c r="E2" s="13"/>
      <c r="F2" s="1"/>
      <c r="G2" s="1"/>
      <c r="H2" s="13"/>
      <c r="I2" s="1"/>
      <c r="J2" s="1"/>
    </row>
    <row r="3" spans="1:15" ht="15.5" x14ac:dyDescent="0.35">
      <c r="A3" s="1"/>
      <c r="C3" s="1"/>
      <c r="D3" s="311" t="s">
        <v>105</v>
      </c>
      <c r="E3" s="311"/>
      <c r="F3" s="311"/>
      <c r="G3" s="60"/>
      <c r="H3" s="311" t="s">
        <v>106</v>
      </c>
      <c r="I3" s="311"/>
      <c r="J3" s="311"/>
    </row>
    <row r="4" spans="1:15" s="1" customFormat="1" ht="15.75" customHeight="1" x14ac:dyDescent="0.35">
      <c r="D4" s="17"/>
      <c r="E4" s="17"/>
      <c r="F4" s="17" t="s">
        <v>267</v>
      </c>
      <c r="H4" s="17"/>
      <c r="I4" s="17"/>
      <c r="J4" s="17" t="s">
        <v>267</v>
      </c>
    </row>
    <row r="5" spans="1:15" s="1" customFormat="1" ht="15.75" customHeight="1" x14ac:dyDescent="0.35">
      <c r="D5" s="17"/>
      <c r="E5" s="17" t="s">
        <v>262</v>
      </c>
      <c r="F5" s="17" t="s">
        <v>261</v>
      </c>
      <c r="H5" s="17"/>
      <c r="I5" s="17" t="s">
        <v>262</v>
      </c>
      <c r="J5" s="17" t="s">
        <v>261</v>
      </c>
    </row>
    <row r="6" spans="1:15" s="1" customFormat="1" ht="15.75" customHeight="1" x14ac:dyDescent="0.35">
      <c r="E6" s="15" t="s">
        <v>263</v>
      </c>
      <c r="F6" s="15" t="s">
        <v>26</v>
      </c>
      <c r="I6" s="15" t="s">
        <v>263</v>
      </c>
      <c r="J6" s="15" t="s">
        <v>26</v>
      </c>
    </row>
    <row r="7" spans="1:15" s="1" customFormat="1" ht="15.75" customHeight="1" x14ac:dyDescent="0.35">
      <c r="A7" s="1" t="s">
        <v>259</v>
      </c>
      <c r="D7" s="171" t="str">
        <f>"(from "&amp;Input!E8&amp;" hd)"</f>
        <v>(from 94 hd)</v>
      </c>
      <c r="E7" s="76">
        <v>2</v>
      </c>
      <c r="F7" s="296">
        <f>ROUND(ROUND(Summary!C39/ROUND(((Input!E8+Risk!E7)/'Fixed Cost Input'!E4),2),2)/Input!E15,2)</f>
        <v>1.38</v>
      </c>
      <c r="H7" s="171" t="str">
        <f>"(from "&amp;Input!H8&amp;" hd)"</f>
        <v>(from 32 hd)</v>
      </c>
      <c r="I7" s="266">
        <f>E7</f>
        <v>2</v>
      </c>
      <c r="J7" s="296">
        <f>ROUND(ROUND(Summary!G39/ROUND(((Input!H8+Risk!I7)/'Fixed Cost Input'!I4),2),2)/Input!H15,2)</f>
        <v>1.29</v>
      </c>
    </row>
    <row r="8" spans="1:15" s="1" customFormat="1" ht="15.75" customHeight="1" x14ac:dyDescent="0.35">
      <c r="A8" s="1" t="s">
        <v>260</v>
      </c>
      <c r="D8" s="171" t="str">
        <f>"(from "&amp;Input!E15&amp;" days)"</f>
        <v>(from 135 days)</v>
      </c>
      <c r="E8" s="76">
        <v>5</v>
      </c>
      <c r="F8" s="296">
        <f>ROUND(ROUND(Summary!C39/ROUND(((Input!E8)/'Fixed Cost Input'!E4),2),2)/(Input!E15+E8),2)</f>
        <v>1.35</v>
      </c>
      <c r="H8" s="171" t="str">
        <f>"(from "&amp;Input!H15&amp;" days)"</f>
        <v>(from 135 days)</v>
      </c>
      <c r="I8" s="266">
        <f>E8</f>
        <v>5</v>
      </c>
      <c r="J8" s="296">
        <f>ROUND(ROUND(Summary!G39/ROUND(((Input!H8)/'Fixed Cost Input'!I4),2),2)/(Input!H15+I8),2)</f>
        <v>1.31</v>
      </c>
    </row>
    <row r="9" spans="1:15" s="1" customFormat="1" ht="15.75" customHeight="1" x14ac:dyDescent="0.35">
      <c r="D9" s="171"/>
      <c r="E9" s="78"/>
      <c r="F9" s="297"/>
      <c r="H9" s="171"/>
      <c r="I9" s="78"/>
      <c r="J9" s="299"/>
    </row>
    <row r="10" spans="1:15" s="1" customFormat="1" ht="15.75" customHeight="1" x14ac:dyDescent="0.35">
      <c r="A10" s="1" t="s">
        <v>258</v>
      </c>
      <c r="D10" s="171" t="str">
        <f>"(from "&amp;TEXT('Fixed Cost Input'!E6,"$#,###")&amp;")"</f>
        <v>(from $1,875)</v>
      </c>
      <c r="E10" s="172">
        <v>100</v>
      </c>
      <c r="F10" s="296">
        <f>Summary!$E$39-(Summary!$E$29-ROUND((-PMT('Fixed Cost Input'!$D$13,'Fixed Cost Input'!$E$13,('Fixed Cost Input'!$E$6+E10)*'Fixed Cost Input'!$E$9,0)+(('Fixed Cost Input'!$E$6+$E$10)*'Fixed Cost Input'!$E$8*'Fixed Cost Input'!$E$10))/Input!$E$9/Input!$E$15,2))</f>
        <v>1.4294100000000003</v>
      </c>
      <c r="H10" s="171" t="str">
        <f>"(from "&amp;TEXT('Fixed Cost Input'!I6,"$#,###")&amp;")"</f>
        <v>(from $844)</v>
      </c>
      <c r="I10" s="267">
        <f>E10</f>
        <v>100</v>
      </c>
      <c r="J10" s="296">
        <f>Summary!I39-(Summary!$I$29-ROUND((-PMT('Fixed Cost Input'!$H$13,'Fixed Cost Input'!$I$13,('Fixed Cost Input'!$I$6+I10)*'Fixed Cost Input'!$I$9,0)+(('Fixed Cost Input'!$I$6+$I$10)*'Fixed Cost Input'!$I$8*'Fixed Cost Input'!$I$10))/Input!$H$9/Input!$H$15,2))</f>
        <v>1.4253074602314815</v>
      </c>
    </row>
    <row r="11" spans="1:15" s="1" customFormat="1" ht="15.75" customHeight="1" x14ac:dyDescent="0.35">
      <c r="A11" s="313" t="s">
        <v>257</v>
      </c>
      <c r="B11" s="313"/>
      <c r="C11" s="313"/>
      <c r="D11" s="171" t="str">
        <f>"(from "&amp;'Fixed Cost Input'!E8*100&amp;"%)"</f>
        <v>(from 75%)</v>
      </c>
      <c r="E11" s="173">
        <v>-0.05</v>
      </c>
      <c r="F11" s="296">
        <f>Summary!E39-(Summary!$E$29-ROUND((-PMT('Fixed Cost Input'!$D$13,'Fixed Cost Input'!$E$13,'Fixed Cost Input'!$E$6*('Fixed Cost Input'!$E$9-$E$11),0)+('Fixed Cost Input'!$E$6*('Fixed Cost Input'!$E$8+$E$11)*'Fixed Cost Input'!$E$10))/Input!$E$9/Input!$E$15,2))</f>
        <v>1.4994100000000004</v>
      </c>
      <c r="H11" s="171" t="str">
        <f>"(from "&amp;'Fixed Cost Input'!I8*100&amp;"%)"</f>
        <v>(from 75%)</v>
      </c>
      <c r="I11" s="271">
        <f>E11</f>
        <v>-0.05</v>
      </c>
      <c r="J11" s="296">
        <f>Summary!I39-(Summary!$I$29-ROUND((-PMT('Fixed Cost Input'!$H$13,'Fixed Cost Input'!$I$13,'Fixed Cost Input'!$I$6*('Fixed Cost Input'!$I$9-$I$11),0)+('Fixed Cost Input'!$I$6*('Fixed Cost Input'!$I$8+$I$11)*'Fixed Cost Input'!$I$10))/Input!$H$9/Input!$H$15,2))</f>
        <v>1.4753074602314813</v>
      </c>
    </row>
    <row r="12" spans="1:15" ht="15.75" customHeight="1" x14ac:dyDescent="0.25">
      <c r="A12" s="313"/>
      <c r="B12" s="313"/>
      <c r="C12" s="313"/>
      <c r="F12" s="298"/>
      <c r="J12" s="298"/>
    </row>
    <row r="13" spans="1:15" ht="15.75" customHeight="1" x14ac:dyDescent="0.35">
      <c r="A13" s="1" t="s">
        <v>407</v>
      </c>
      <c r="B13" s="260"/>
      <c r="C13" s="260"/>
      <c r="D13" s="171" t="str">
        <f>"(from "&amp;ROUND('Fixed Cost Input'!D13*100,3)&amp;"%)"</f>
        <v>(from 6%)</v>
      </c>
      <c r="E13" s="272">
        <v>5.0000000000000001E-3</v>
      </c>
      <c r="F13" s="297">
        <f>Summary!$E$39-(Summary!$E$29-ROUND((-PMT('Fixed Cost Input'!$D$13+E13,'Fixed Cost Input'!$E$13,('Fixed Cost Input'!$E$6)*'Fixed Cost Input'!$E$9,0)+(('Fixed Cost Input'!$E$6)*'Fixed Cost Input'!$E$8*'Fixed Cost Input'!$E$10))/Input!$E$9/Input!$E$15,2))</f>
        <v>1.4294100000000003</v>
      </c>
      <c r="H13" s="171" t="str">
        <f>"(from "&amp;'Fixed Cost Input'!H13*100&amp;"%)"</f>
        <v>(from 6%)</v>
      </c>
      <c r="I13" s="274">
        <f>E13</f>
        <v>5.0000000000000001E-3</v>
      </c>
      <c r="J13" s="297">
        <f>Summary!I39-(Summary!$I$29-ROUND((-PMT('Fixed Cost Input'!$H$13+I13,'Fixed Cost Input'!$I$13,('Fixed Cost Input'!$I$6)*'Fixed Cost Input'!$I$9,0)+(('Fixed Cost Input'!$I$6)*'Fixed Cost Input'!$I$8*'Fixed Cost Input'!$I$10))/Input!$H$9/Input!$H$15,2))</f>
        <v>1.3853074602314814</v>
      </c>
      <c r="O13" s="273"/>
    </row>
    <row r="14" spans="1:15" x14ac:dyDescent="0.25">
      <c r="J14" s="298"/>
    </row>
    <row r="48" spans="13:13" x14ac:dyDescent="0.25">
      <c r="M48" s="277"/>
    </row>
  </sheetData>
  <sheetProtection algorithmName="SHA-512" hashValue="jy3iJjrW/Bhw3PSMEPR+j4UlfYdDK5ytbUwCRmplefCh6I6UDUCmY3jk+iVquEjQHqbrhyBc2DBU383KQbigxg==" saltValue="C+PiwlHcmeX87EXNarlvqw==" spinCount="100000" sheet="1" objects="1" scenarios="1"/>
  <mergeCells count="4">
    <mergeCell ref="D3:F3"/>
    <mergeCell ref="H3:J3"/>
    <mergeCell ref="A1:K1"/>
    <mergeCell ref="A11:C12"/>
  </mergeCells>
  <pageMargins left="0.74803149606299213" right="0.74803149606299213" top="0.98425196850393704" bottom="0.98425196850393704" header="0.51181102362204722" footer="0.51181102362204722"/>
  <pageSetup scale="65" firstPageNumber="3" orientation="portrait" useFirstPageNumber="1" r:id="rId1"/>
  <headerFooter scaleWithDoc="0">
    <oddHeader>&amp;LGuidelines: Pasture Production Costs&amp;R&amp;P</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0"/>
  <sheetViews>
    <sheetView zoomScaleNormal="100" workbookViewId="0">
      <selection sqref="A1:I1"/>
    </sheetView>
  </sheetViews>
  <sheetFormatPr defaultRowHeight="12.5" x14ac:dyDescent="0.25"/>
  <cols>
    <col min="1" max="1" width="3" customWidth="1"/>
    <col min="2" max="2" width="45.453125" customWidth="1"/>
    <col min="3" max="3" width="13.54296875" customWidth="1"/>
    <col min="4" max="4" width="11.1796875" customWidth="1"/>
    <col min="5" max="5" width="10.08984375" customWidth="1"/>
    <col min="6" max="6" width="12.1796875" customWidth="1"/>
    <col min="7" max="7" width="15.81640625" customWidth="1"/>
    <col min="8" max="8" width="15.6328125" customWidth="1"/>
    <col min="12" max="13" width="9.08984375" hidden="1" customWidth="1"/>
  </cols>
  <sheetData>
    <row r="1" spans="1:16" s="1" customFormat="1" ht="24" customHeight="1" x14ac:dyDescent="0.35">
      <c r="A1" s="312" t="s">
        <v>408</v>
      </c>
      <c r="B1" s="312"/>
      <c r="C1" s="312"/>
      <c r="D1" s="312"/>
      <c r="E1" s="312"/>
      <c r="F1" s="312"/>
      <c r="G1" s="312"/>
      <c r="H1" s="312"/>
      <c r="I1" s="312"/>
    </row>
    <row r="2" spans="1:16" ht="9" customHeight="1" x14ac:dyDescent="0.35">
      <c r="D2" s="1"/>
      <c r="E2" s="1"/>
      <c r="F2" s="1"/>
    </row>
    <row r="3" spans="1:16" s="1" customFormat="1" ht="16" thickBot="1" x14ac:dyDescent="0.4">
      <c r="A3" s="12" t="s">
        <v>312</v>
      </c>
      <c r="C3" s="202"/>
      <c r="F3" s="202"/>
      <c r="L3" s="201" t="s">
        <v>322</v>
      </c>
      <c r="M3" s="201"/>
    </row>
    <row r="4" spans="1:16" s="1" customFormat="1" ht="15.5" x14ac:dyDescent="0.35">
      <c r="B4" s="1" t="s">
        <v>314</v>
      </c>
      <c r="D4" s="235">
        <v>134</v>
      </c>
      <c r="E4" s="1" t="s">
        <v>313</v>
      </c>
      <c r="F4" s="28" t="s">
        <v>335</v>
      </c>
      <c r="G4" s="3">
        <f>ROUND(D4/30,2)</f>
        <v>4.47</v>
      </c>
      <c r="H4" s="1" t="s">
        <v>334</v>
      </c>
      <c r="L4" s="203" t="s">
        <v>309</v>
      </c>
      <c r="M4" s="204">
        <v>0</v>
      </c>
    </row>
    <row r="5" spans="1:16" s="1" customFormat="1" ht="15.5" x14ac:dyDescent="0.35">
      <c r="B5" s="1" t="s">
        <v>315</v>
      </c>
      <c r="D5" s="236">
        <v>0.9</v>
      </c>
      <c r="F5" s="202"/>
      <c r="L5" s="205" t="s">
        <v>306</v>
      </c>
      <c r="M5" s="206">
        <v>1</v>
      </c>
    </row>
    <row r="6" spans="1:16" s="1" customFormat="1" ht="15" customHeight="1" x14ac:dyDescent="0.35">
      <c r="B6" s="1" t="s">
        <v>337</v>
      </c>
      <c r="C6" s="315">
        <v>44702</v>
      </c>
      <c r="D6" s="315"/>
      <c r="F6" s="246" t="s">
        <v>338</v>
      </c>
      <c r="G6" s="220">
        <f>C6+ROUND(D4*D5,0)</f>
        <v>44823</v>
      </c>
      <c r="H6" s="1" t="str">
        <f>", or "&amp;ROUND(C21/D17,0)&amp;" days)"</f>
        <v>, or 121 days)</v>
      </c>
      <c r="L6" s="205" t="s">
        <v>307</v>
      </c>
      <c r="M6" s="206">
        <v>1.3</v>
      </c>
    </row>
    <row r="7" spans="1:16" s="1" customFormat="1" ht="16" thickBot="1" x14ac:dyDescent="0.4">
      <c r="B7" s="139" t="str">
        <f>"Historical grazing period end date ("&amp;D4&amp;" days)"</f>
        <v>Historical grazing period end date (134 days)</v>
      </c>
      <c r="D7" s="314">
        <f>C6+D4</f>
        <v>44836</v>
      </c>
      <c r="E7" s="314"/>
      <c r="F7" s="246"/>
      <c r="G7" s="220"/>
      <c r="L7" s="207" t="s">
        <v>308</v>
      </c>
      <c r="M7" s="208">
        <v>0.6</v>
      </c>
    </row>
    <row r="8" spans="1:16" s="1" customFormat="1" ht="15.5" x14ac:dyDescent="0.35">
      <c r="B8" s="1" t="s">
        <v>316</v>
      </c>
      <c r="D8" s="240">
        <v>2.25</v>
      </c>
      <c r="F8" s="202"/>
      <c r="G8" s="318" t="s">
        <v>364</v>
      </c>
      <c r="H8" s="318"/>
      <c r="I8" s="318"/>
    </row>
    <row r="9" spans="1:16" s="1" customFormat="1" ht="15.5" x14ac:dyDescent="0.35">
      <c r="B9" s="1" t="s">
        <v>323</v>
      </c>
      <c r="D9" s="241">
        <v>4.7E-2</v>
      </c>
      <c r="F9" s="202"/>
      <c r="G9" s="318" t="s">
        <v>405</v>
      </c>
      <c r="H9" s="318"/>
      <c r="I9" s="318"/>
    </row>
    <row r="10" spans="1:16" s="1" customFormat="1" ht="15.5" x14ac:dyDescent="0.35">
      <c r="B10" s="1" t="s">
        <v>324</v>
      </c>
      <c r="D10" s="242">
        <v>0.4</v>
      </c>
      <c r="F10" s="202"/>
    </row>
    <row r="11" spans="1:16" s="1" customFormat="1" ht="7.5" customHeight="1" x14ac:dyDescent="0.35">
      <c r="C11" s="202"/>
      <c r="F11" s="202"/>
      <c r="L11" s="144"/>
      <c r="M11" s="143"/>
    </row>
    <row r="12" spans="1:16" s="1" customFormat="1" ht="16" thickBot="1" x14ac:dyDescent="0.4">
      <c r="A12" s="12"/>
      <c r="C12" s="62" t="s">
        <v>105</v>
      </c>
      <c r="D12" s="209"/>
      <c r="G12" s="62" t="s">
        <v>106</v>
      </c>
      <c r="H12" s="209"/>
      <c r="J12" s="143"/>
      <c r="K12" s="144"/>
      <c r="N12" s="144"/>
      <c r="O12" s="144"/>
      <c r="P12" s="144"/>
    </row>
    <row r="13" spans="1:16" s="1" customFormat="1" ht="7.5" customHeight="1" x14ac:dyDescent="0.35">
      <c r="L13" s="144"/>
      <c r="M13" s="144"/>
    </row>
    <row r="14" spans="1:16" s="1" customFormat="1" ht="15.5" x14ac:dyDescent="0.35">
      <c r="A14" s="12" t="s">
        <v>17</v>
      </c>
      <c r="C14" s="3">
        <f>Input!E4</f>
        <v>160</v>
      </c>
      <c r="D14" s="1" t="s">
        <v>20</v>
      </c>
      <c r="G14" s="3">
        <f>Input!H4</f>
        <v>160</v>
      </c>
      <c r="H14" s="1" t="s">
        <v>20</v>
      </c>
      <c r="J14" s="144"/>
      <c r="K14" s="151"/>
      <c r="L14" s="144"/>
      <c r="M14" s="144"/>
      <c r="N14" s="144"/>
      <c r="O14" s="151"/>
      <c r="P14" s="144"/>
    </row>
    <row r="15" spans="1:16" s="1" customFormat="1" ht="7.5" customHeight="1" x14ac:dyDescent="0.35">
      <c r="C15" s="4"/>
      <c r="G15" s="4"/>
      <c r="J15" s="144"/>
      <c r="K15" s="151"/>
      <c r="N15" s="144"/>
      <c r="O15" s="151"/>
      <c r="P15" s="144"/>
    </row>
    <row r="16" spans="1:16" s="1" customFormat="1" ht="29" thickBot="1" x14ac:dyDescent="0.4">
      <c r="A16" s="12" t="s">
        <v>317</v>
      </c>
      <c r="C16" s="216" t="s">
        <v>310</v>
      </c>
      <c r="D16" s="216" t="s">
        <v>311</v>
      </c>
      <c r="F16" s="213"/>
      <c r="G16" s="216" t="s">
        <v>310</v>
      </c>
      <c r="H16" s="216" t="s">
        <v>311</v>
      </c>
      <c r="I16" s="60"/>
      <c r="J16" s="60"/>
    </row>
    <row r="17" spans="1:13" s="1" customFormat="1" ht="16" thickBot="1" x14ac:dyDescent="0.4">
      <c r="B17" s="261" t="s">
        <v>307</v>
      </c>
      <c r="C17" s="214">
        <f>Input!E8</f>
        <v>94</v>
      </c>
      <c r="D17" s="215">
        <f>IF(ROUND(VLOOKUP(B17,$L$4:$M$7,2,FALSE)*C17,0)&lt;30,0,ROUND(VLOOKUP(B17,$L$4:$M$7,2,FALSE)*C17,0))</f>
        <v>122</v>
      </c>
      <c r="G17" s="214">
        <f>Input!H8</f>
        <v>32</v>
      </c>
      <c r="H17" s="215">
        <f>IF(ROUND(VLOOKUP(B17,$L$4:$M$7,2,FALSE)*G17,0)&lt;30,0,ROUND(VLOOKUP(B17,$L$4:$M$7,2,FALSE)*G17,0))</f>
        <v>42</v>
      </c>
      <c r="L17"/>
      <c r="M17"/>
    </row>
    <row r="18" spans="1:13" ht="7.5" customHeight="1" x14ac:dyDescent="0.35">
      <c r="C18" s="200"/>
      <c r="F18" s="200"/>
      <c r="L18" s="1"/>
      <c r="M18" s="1"/>
    </row>
    <row r="19" spans="1:13" s="1" customFormat="1" ht="15.5" x14ac:dyDescent="0.35">
      <c r="A19" s="12" t="s">
        <v>318</v>
      </c>
      <c r="C19" s="202"/>
      <c r="F19" s="202"/>
    </row>
    <row r="20" spans="1:13" s="1" customFormat="1" ht="15.5" x14ac:dyDescent="0.35">
      <c r="B20" s="1" t="s">
        <v>327</v>
      </c>
      <c r="C20" s="99">
        <f>D17*D4</f>
        <v>16348</v>
      </c>
      <c r="D20" s="60" t="str">
        <f>"("&amp;D17&amp;" AU x "&amp;$D$4&amp;" days)"</f>
        <v>(122 AU x 134 days)</v>
      </c>
      <c r="F20" s="202"/>
      <c r="G20" s="99">
        <f>H17*D4</f>
        <v>5628</v>
      </c>
      <c r="H20" s="60" t="str">
        <f>"("&amp;H17&amp;" AU x "&amp;$D$4&amp;" days)"</f>
        <v>(42 AU x 134 days)</v>
      </c>
    </row>
    <row r="21" spans="1:13" s="1" customFormat="1" ht="15.5" x14ac:dyDescent="0.35">
      <c r="B21" s="1" t="s">
        <v>328</v>
      </c>
      <c r="C21" s="99">
        <f>C20*D5</f>
        <v>14713.2</v>
      </c>
      <c r="D21" s="60" t="str">
        <f>"("&amp;TEXT(C20,"#,###")&amp;" x "&amp;$D$5*100&amp;"% or "&amp;ROUND(C21/D17,0)&amp;" days)"</f>
        <v>(16,348 x 90% or 121 days)</v>
      </c>
      <c r="F21" s="202"/>
      <c r="G21" s="99">
        <f>G20*D5</f>
        <v>5065.2</v>
      </c>
      <c r="H21" s="60" t="str">
        <f>"("&amp;TEXT(G20,"#,###")&amp;" x "&amp;$D$5*100&amp;"% or "&amp;ROUND(G21/H17,0)&amp;" days)"</f>
        <v>(5,628 x 90% or 121 days)</v>
      </c>
    </row>
    <row r="22" spans="1:13" s="1" customFormat="1" ht="15.5" x14ac:dyDescent="0.35">
      <c r="B22" s="1" t="s">
        <v>329</v>
      </c>
      <c r="C22" s="11">
        <f>C21*D8</f>
        <v>33104.700000000004</v>
      </c>
      <c r="D22" s="60" t="str">
        <f>"("&amp;TEXT(C21,"#,###")&amp;" x $"&amp;$D$8&amp;")"</f>
        <v>(14,713 x $2.25)</v>
      </c>
      <c r="F22" s="202"/>
      <c r="G22" s="11">
        <f>G21*D8</f>
        <v>11396.699999999999</v>
      </c>
      <c r="H22" s="60" t="str">
        <f>"("&amp;TEXT(G21,"#,###")&amp;" x $"&amp;$D$8&amp;")"</f>
        <v>(5,065 x $2.25)</v>
      </c>
    </row>
    <row r="23" spans="1:13" s="1" customFormat="1" ht="15.5" x14ac:dyDescent="0.35">
      <c r="B23" s="1" t="s">
        <v>344</v>
      </c>
      <c r="C23" s="11">
        <f>C22/C17</f>
        <v>352.17765957446812</v>
      </c>
      <c r="D23" s="277" t="str">
        <f>"($"&amp;TEXT(C22,"#,###")&amp;" ÷ "&amp;C17&amp;" head)"</f>
        <v>($33,105 ÷ 94 head)</v>
      </c>
      <c r="F23" s="202"/>
      <c r="G23" s="11">
        <f>G22/G17</f>
        <v>356.14687499999997</v>
      </c>
      <c r="H23" s="277" t="str">
        <f>"($"&amp;TEXT(G22,"#,###")&amp;" ÷ "&amp;G17&amp;" head)"</f>
        <v>($11,397 ÷ 32 head)</v>
      </c>
    </row>
    <row r="24" spans="1:13" s="1" customFormat="1" ht="15.5" x14ac:dyDescent="0.35">
      <c r="B24" s="1" t="s">
        <v>345</v>
      </c>
      <c r="C24" s="11">
        <f>C23/D4</f>
        <v>2.6281914893617024</v>
      </c>
      <c r="D24" s="277" t="str">
        <f>"($"&amp;TEXT(C23,"#,###.##")&amp;" ÷ "&amp;D4&amp;" days)"</f>
        <v>($352.18 ÷ 134 days)</v>
      </c>
      <c r="F24" s="202"/>
      <c r="G24" s="11">
        <f>G23/D4</f>
        <v>2.6578124999999999</v>
      </c>
      <c r="H24" s="277" t="str">
        <f>"($"&amp;TEXT(G23,"#,###.##")&amp;" ÷ "&amp;D4&amp;" days)"</f>
        <v>($356.15 ÷ 134 days)</v>
      </c>
    </row>
    <row r="25" spans="1:13" s="1" customFormat="1" ht="7.5" customHeight="1" x14ac:dyDescent="0.35">
      <c r="C25" s="202"/>
      <c r="F25" s="202"/>
    </row>
    <row r="26" spans="1:13" s="1" customFormat="1" ht="15.5" x14ac:dyDescent="0.35">
      <c r="A26" s="12" t="s">
        <v>321</v>
      </c>
      <c r="C26" s="202"/>
      <c r="F26" s="202"/>
    </row>
    <row r="27" spans="1:13" s="1" customFormat="1" ht="15.5" x14ac:dyDescent="0.35">
      <c r="B27" s="1" t="s">
        <v>325</v>
      </c>
      <c r="D27" s="202"/>
      <c r="F27" s="202"/>
    </row>
    <row r="28" spans="1:13" s="1" customFormat="1" ht="15.5" x14ac:dyDescent="0.35">
      <c r="B28" s="1" t="s">
        <v>330</v>
      </c>
      <c r="C28" s="11">
        <f>D4*D17*D5*D8*D9</f>
        <v>1555.9209000000003</v>
      </c>
      <c r="D28" s="60" t="str">
        <f>"("&amp;$D$4&amp;" x "&amp;D17&amp;" X "&amp;$D$5*100&amp;"% x $"&amp;$D$8&amp;" x "&amp;$D$9*100&amp;"%)"</f>
        <v>(134 x 122 X 90% x $2.25 x 4.7%)</v>
      </c>
      <c r="F28" s="202"/>
      <c r="G28" s="11">
        <f>D4*H17*D5*D8*D9</f>
        <v>535.64489999999989</v>
      </c>
      <c r="H28" s="60" t="str">
        <f>"("&amp;$D$4&amp;" x "&amp;H17&amp;" X "&amp;$D$5*100&amp;"% x $"&amp;$D$8&amp;" x "&amp;$D$9*100&amp;"%)"</f>
        <v>(134 x 42 X 90% x $2.25 x 4.7%)</v>
      </c>
    </row>
    <row r="29" spans="1:13" s="1" customFormat="1" ht="15.5" x14ac:dyDescent="0.35">
      <c r="B29" s="1" t="str">
        <f>"Est. Premium: Producer Share ("&amp;(C29/C22)*100&amp;"%)"</f>
        <v>Est. Premium: Producer Share (1.88%)</v>
      </c>
      <c r="C29" s="11">
        <f>C28*D10</f>
        <v>622.36836000000017</v>
      </c>
      <c r="D29" s="60" t="str">
        <f>"($"&amp;TEXT(C28,"#,###.##")&amp;" x "&amp;D10*100&amp;"%)"</f>
        <v>($1,555.92 x 40%)</v>
      </c>
      <c r="F29" s="202"/>
      <c r="G29" s="11">
        <f>G28*D10</f>
        <v>214.25795999999997</v>
      </c>
      <c r="H29" s="60" t="str">
        <f>"($"&amp;TEXT(G28,"#,###.##")&amp;" x "&amp;D10*100&amp;"%)"</f>
        <v>($535.64 x 40%)</v>
      </c>
    </row>
    <row r="30" spans="1:13" s="1" customFormat="1" ht="15.5" x14ac:dyDescent="0.35">
      <c r="B30" s="1" t="s">
        <v>331</v>
      </c>
      <c r="C30" s="11">
        <f>C29/C14</f>
        <v>3.8898022500000011</v>
      </c>
      <c r="D30" s="60" t="str">
        <f>"($"&amp;TEXT(C29,"#,###.##")&amp;" ÷ "&amp;C14&amp;")"</f>
        <v>($622.37 ÷ 160)</v>
      </c>
      <c r="F30" s="202"/>
      <c r="G30" s="11">
        <f>G29/G14</f>
        <v>1.3391122499999999</v>
      </c>
      <c r="H30" s="60" t="str">
        <f>"($"&amp;TEXT(G29,"#,###.##")&amp;" ÷ "&amp;G14&amp;")"</f>
        <v>($214.26 ÷ 160)</v>
      </c>
      <c r="J30" s="218"/>
    </row>
    <row r="31" spans="1:13" s="1" customFormat="1" ht="15.5" x14ac:dyDescent="0.35">
      <c r="B31" s="1" t="s">
        <v>333</v>
      </c>
      <c r="C31" s="11">
        <f>C29/C17</f>
        <v>6.6209400000000018</v>
      </c>
      <c r="D31" s="60" t="str">
        <f>"($"&amp;TEXT(C29,"#,###.##")&amp;" ÷ "&amp;C17&amp;")"</f>
        <v>($622.37 ÷ 94)</v>
      </c>
      <c r="F31" s="202"/>
      <c r="G31" s="11">
        <f>G29/G17</f>
        <v>6.695561249999999</v>
      </c>
      <c r="H31" s="60" t="str">
        <f>"($"&amp;TEXT(G29,"#,###.##")&amp;" ÷ "&amp;G17&amp;")"</f>
        <v>($214.26 ÷ 32)</v>
      </c>
    </row>
    <row r="32" spans="1:13" s="1" customFormat="1" ht="15.5" x14ac:dyDescent="0.35">
      <c r="B32" s="1" t="s">
        <v>332</v>
      </c>
      <c r="C32" s="217">
        <f>C31/D4</f>
        <v>4.9410000000000016E-2</v>
      </c>
      <c r="D32" s="60" t="str">
        <f>"($"&amp;TEXT(C31,"#,###.##")&amp;" ÷ "&amp;D4&amp;")"</f>
        <v>($6.62 ÷ 134)</v>
      </c>
      <c r="F32" s="202"/>
      <c r="G32" s="217">
        <f>G31/D4</f>
        <v>4.9966874999999994E-2</v>
      </c>
      <c r="H32" s="60" t="str">
        <f>"($"&amp;TEXT(G31,"#,###.##")&amp;" ÷ "&amp;D4&amp;")"</f>
        <v>($6.7 ÷ 134)</v>
      </c>
    </row>
    <row r="33" spans="1:13" s="1" customFormat="1" ht="7.5" customHeight="1" x14ac:dyDescent="0.35">
      <c r="C33" s="11"/>
      <c r="D33" s="60"/>
      <c r="F33" s="202"/>
      <c r="G33" s="11"/>
      <c r="H33" s="60"/>
    </row>
    <row r="34" spans="1:13" s="1" customFormat="1" ht="15.5" x14ac:dyDescent="0.35">
      <c r="A34" s="12" t="s">
        <v>336</v>
      </c>
      <c r="F34" s="202"/>
    </row>
    <row r="35" spans="1:13" s="1" customFormat="1" ht="15.5" x14ac:dyDescent="0.35">
      <c r="A35" s="12"/>
      <c r="B35" s="1" t="s">
        <v>347</v>
      </c>
      <c r="E35" s="316">
        <v>44802</v>
      </c>
      <c r="F35" s="316"/>
    </row>
    <row r="36" spans="1:13" s="1" customFormat="1" ht="15.5" x14ac:dyDescent="0.35">
      <c r="B36" s="1" t="s">
        <v>320</v>
      </c>
      <c r="E36" s="99">
        <f>E35-C6</f>
        <v>100</v>
      </c>
      <c r="F36" s="1" t="s">
        <v>313</v>
      </c>
      <c r="G36" s="220" t="str">
        <f>"("&amp;IF(ROUND(D4*D5,0)-E36&lt;0,0,ROUND(D4*D5,0)-E36)&amp;" days of pasture coverage)"</f>
        <v>(21 days of pasture coverage)</v>
      </c>
      <c r="H36" s="220"/>
    </row>
    <row r="37" spans="1:13" s="1" customFormat="1" ht="15.5" x14ac:dyDescent="0.35">
      <c r="B37" s="1" t="s">
        <v>409</v>
      </c>
      <c r="C37" s="99">
        <f>D17*E36</f>
        <v>12200</v>
      </c>
      <c r="D37" s="60" t="str">
        <f>"("&amp;D17&amp;" AU x "&amp;E36&amp;" days)"</f>
        <v>(122 AU x 100 days)</v>
      </c>
      <c r="F37" s="202"/>
      <c r="G37" s="99">
        <f>H17*E36</f>
        <v>4200</v>
      </c>
      <c r="H37" s="60" t="str">
        <f>"("&amp;H17&amp;" AU x "&amp;E36&amp;" days)"</f>
        <v>(42 AU x 100 days)</v>
      </c>
    </row>
    <row r="38" spans="1:13" s="1" customFormat="1" ht="15.5" x14ac:dyDescent="0.35">
      <c r="B38" s="1" t="s">
        <v>410</v>
      </c>
      <c r="C38" s="99">
        <f>C21-C37</f>
        <v>2513.2000000000007</v>
      </c>
      <c r="D38" s="60" t="str">
        <f>"("&amp;TEXT(C21,"#,###")&amp;" - "&amp;TEXT(C37,"#,###")&amp;")"</f>
        <v>(14,713 - 12,200)</v>
      </c>
      <c r="F38" s="202"/>
      <c r="G38" s="99">
        <f>G21-G37</f>
        <v>865.19999999999982</v>
      </c>
      <c r="H38" s="60" t="str">
        <f>"("&amp;TEXT(G21,"#,###")&amp;" - "&amp;TEXT(G37,"#,###")&amp;")"</f>
        <v>(5,065 - 4,200)</v>
      </c>
    </row>
    <row r="39" spans="1:13" s="1" customFormat="1" ht="15.5" x14ac:dyDescent="0.35">
      <c r="B39" s="1" t="s">
        <v>359</v>
      </c>
      <c r="C39" s="11">
        <f>C38*D8</f>
        <v>5654.7000000000016</v>
      </c>
      <c r="D39" s="60" t="str">
        <f>"("&amp;TEXT(C38,"#,###")&amp;" AU Days x $"&amp;$D$8&amp;")"</f>
        <v>(2,513 AU Days x $2.25)</v>
      </c>
      <c r="F39" s="202"/>
      <c r="G39" s="11">
        <f>G38*D8</f>
        <v>1946.6999999999996</v>
      </c>
      <c r="H39" s="60" t="str">
        <f>"("&amp;TEXT(G38,"#,###")&amp;" AU Days x $"&amp;$D$8&amp;")"</f>
        <v>(865 AU Days x $2.25)</v>
      </c>
    </row>
    <row r="40" spans="1:13" s="1" customFormat="1" ht="15.5" x14ac:dyDescent="0.35">
      <c r="B40" s="1" t="s">
        <v>360</v>
      </c>
      <c r="C40" s="11">
        <f>C39/C14</f>
        <v>35.341875000000009</v>
      </c>
      <c r="D40" s="60" t="str">
        <f>"($"&amp;TEXT(C39,"#,###")&amp;" ÷ "&amp;C14&amp;" acres)"</f>
        <v>($5,655 ÷ 160 acres)</v>
      </c>
      <c r="F40" s="202"/>
      <c r="G40" s="11">
        <f>G39/G14</f>
        <v>12.166874999999997</v>
      </c>
      <c r="H40" s="60" t="str">
        <f>"($"&amp;TEXT(G39,"#,###")&amp;" ÷ "&amp;G14&amp;" acres)"</f>
        <v>($1,947 ÷ 160 acres)</v>
      </c>
    </row>
    <row r="41" spans="1:13" s="1" customFormat="1" ht="15.5" x14ac:dyDescent="0.35">
      <c r="B41" s="1" t="s">
        <v>361</v>
      </c>
      <c r="C41" s="11">
        <f>C39/C17</f>
        <v>60.156382978723421</v>
      </c>
      <c r="D41" s="60" t="str">
        <f>"($"&amp;TEXT(C39,"#,###")&amp;" ÷ "&amp;C17&amp;" head)"</f>
        <v>($5,655 ÷ 94 head)</v>
      </c>
      <c r="F41" s="202"/>
      <c r="G41" s="11">
        <f>G39/G17</f>
        <v>60.834374999999987</v>
      </c>
      <c r="H41" s="60" t="str">
        <f>"($"&amp;TEXT(G39,"#,###")&amp;" ÷ "&amp;G17&amp;" head)"</f>
        <v>($1,947 ÷ 32 head)</v>
      </c>
    </row>
    <row r="42" spans="1:13" s="1" customFormat="1" ht="15.5" x14ac:dyDescent="0.35">
      <c r="B42" s="1" t="s">
        <v>362</v>
      </c>
      <c r="C42" s="11">
        <f>IF((ROUND($D$4*$D$5,0)-$E$36)=0,0,C41/(ROUND($D$4*$D$5,0)-$E$36))</f>
        <v>2.8645896656534964</v>
      </c>
      <c r="D42" s="60" t="str">
        <f>"($"&amp;TEXT(C41,"#,###.##")&amp;" ÷ "&amp;(ROUND($D$4*$D$5,0)-$E$36)&amp;" days)"</f>
        <v>($60.16 ÷ 21 days)</v>
      </c>
      <c r="F42" s="202"/>
      <c r="G42" s="11">
        <f>IF((ROUND($D$4*$D$5,0)-$E$36)=0,0,G41/(ROUND($D$4*$D$5,0)-$E$36))</f>
        <v>2.8968749999999992</v>
      </c>
      <c r="H42" s="60" t="str">
        <f>"($"&amp;TEXT(G41,"#,###.##")&amp;" ÷ "&amp;(ROUND($D$4*$D$5,0)-$E$36)&amp;" days)"</f>
        <v>($60.83 ÷ 21 days)</v>
      </c>
    </row>
    <row r="43" spans="1:13" s="1" customFormat="1" ht="7.5" customHeight="1" x14ac:dyDescent="0.35">
      <c r="C43" s="202"/>
      <c r="F43" s="202"/>
      <c r="L43"/>
      <c r="M43"/>
    </row>
    <row r="57" spans="1:10" x14ac:dyDescent="0.25">
      <c r="J57" s="277"/>
    </row>
    <row r="64" spans="1:10" ht="15.5" x14ac:dyDescent="0.35">
      <c r="A64" s="12" t="s">
        <v>350</v>
      </c>
      <c r="B64" s="1"/>
      <c r="C64" s="202"/>
    </row>
    <row r="65" spans="1:8" ht="15.5" x14ac:dyDescent="0.35">
      <c r="A65" s="12"/>
      <c r="B65" s="1" t="str">
        <f>"Est. Breakeven removal date from pasture ("&amp;E65-C6&amp;" days)"</f>
        <v>Est. Breakeven removal date from pasture (119 days)</v>
      </c>
      <c r="E65" s="317">
        <f>$G$6-ROUND((C29/$D$8)/D17,0)</f>
        <v>44821</v>
      </c>
      <c r="F65" s="317"/>
      <c r="G65" s="249"/>
      <c r="H65" s="249"/>
    </row>
    <row r="66" spans="1:8" ht="15.5" x14ac:dyDescent="0.35">
      <c r="A66" s="12"/>
      <c r="B66" s="1" t="str">
        <f>"  (Removal Date Est. Indemnity = Est. Producer Premium)"</f>
        <v xml:space="preserve">  (Removal Date Est. Indemnity = Est. Producer Premium)</v>
      </c>
      <c r="C66" s="220"/>
    </row>
    <row r="67" spans="1:8" ht="7.5" customHeight="1" x14ac:dyDescent="0.35">
      <c r="A67" s="12"/>
      <c r="B67" s="1"/>
      <c r="C67" s="220"/>
    </row>
    <row r="68" spans="1:8" ht="15.5" x14ac:dyDescent="0.35">
      <c r="A68" s="12" t="s">
        <v>240</v>
      </c>
      <c r="C68" s="2"/>
      <c r="D68" s="3"/>
      <c r="E68" s="1"/>
      <c r="G68" s="3"/>
    </row>
    <row r="69" spans="1:8" ht="15.5" x14ac:dyDescent="0.35">
      <c r="A69" s="1" t="s">
        <v>227</v>
      </c>
      <c r="C69" s="158">
        <f>ROUND(C17*(VLOOKUP(B17,$L$4:$M$7,2,FALSE))*$G$4,0)</f>
        <v>546</v>
      </c>
      <c r="G69" s="158">
        <f>ROUND(G17*(VLOOKUP(B17,$L$4:$M$7,2,FALSE))*$G$4,0)</f>
        <v>186</v>
      </c>
    </row>
    <row r="70" spans="1:8" ht="15.5" x14ac:dyDescent="0.35">
      <c r="A70" s="1" t="s">
        <v>236</v>
      </c>
      <c r="C70" s="138">
        <f>ROUND(C69/C14,2)</f>
        <v>3.41</v>
      </c>
      <c r="G70" s="138">
        <f>ROUND(G69/G14,2)</f>
        <v>1.1599999999999999</v>
      </c>
    </row>
  </sheetData>
  <sheetProtection algorithmName="SHA-512" hashValue="vQLaezXvqt0cBx+mzabGMszV58KhC/TPgVGiTmINBNiiJ9Zjw7iUKCnz9uWp1xG6QJ/hS8Xu9WrnMQI0xJEMug==" saltValue="UkGEEQFa3NTlJT2Nfe3Kmg==" spinCount="100000" sheet="1" objects="1" scenarios="1"/>
  <mergeCells count="7">
    <mergeCell ref="A1:I1"/>
    <mergeCell ref="D7:E7"/>
    <mergeCell ref="C6:D6"/>
    <mergeCell ref="E35:F35"/>
    <mergeCell ref="E65:F65"/>
    <mergeCell ref="G8:I8"/>
    <mergeCell ref="G9:I9"/>
  </mergeCells>
  <dataValidations count="1">
    <dataValidation type="list" allowBlank="1" showInputMessage="1" showErrorMessage="1" sqref="B17" xr:uid="{00000000-0002-0000-0300-000000000000}">
      <formula1>$L$4:$L$7</formula1>
    </dataValidation>
  </dataValidations>
  <hyperlinks>
    <hyperlink ref="G8" r:id="rId1" display="MASC Patsure Days Insurance Factsheet" xr:uid="{00000000-0004-0000-0300-000000000000}"/>
    <hyperlink ref="G9" r:id="rId2" display="https://www.masc.mb.ca/masc.nsf/calculator_pasture_days.html" xr:uid="{00000000-0004-0000-0300-000001000000}"/>
    <hyperlink ref="G9:I9" r:id="rId3" display="MASC Pasture Days Insurance Calculator" xr:uid="{00000000-0004-0000-0300-000002000000}"/>
  </hyperlinks>
  <pageMargins left="0.70866141732283472" right="0.70866141732283472" top="0.74803149606299213" bottom="0.74803149606299213" header="0.31496062992125984" footer="0.31496062992125984"/>
  <pageSetup scale="67" firstPageNumber="4" orientation="portrait" useFirstPageNumber="1" horizontalDpi="1200" verticalDpi="1200" r:id="rId4"/>
  <headerFooter scaleWithDoc="0">
    <oddHeader>&amp;LGuidelines: Pasture Production Costs&amp;R&amp;P</oddHead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AT115"/>
  <sheetViews>
    <sheetView zoomScaleNormal="100" workbookViewId="0">
      <selection sqref="A1:L1"/>
    </sheetView>
  </sheetViews>
  <sheetFormatPr defaultColWidth="9.08984375" defaultRowHeight="12.5" x14ac:dyDescent="0.25"/>
  <cols>
    <col min="1" max="1" width="3.6328125" customWidth="1"/>
    <col min="2" max="2" width="17.6328125" customWidth="1"/>
    <col min="3" max="3" width="15.08984375" customWidth="1"/>
    <col min="4" max="4" width="16.08984375" customWidth="1"/>
    <col min="5" max="5" width="11.54296875" customWidth="1"/>
    <col min="6" max="6" width="12.08984375" customWidth="1"/>
    <col min="7" max="7" width="5.08984375" customWidth="1"/>
    <col min="8" max="8" width="11.54296875" customWidth="1"/>
    <col min="9" max="10" width="12.08984375" customWidth="1"/>
    <col min="11" max="11" width="10.08984375" bestFit="1" customWidth="1"/>
    <col min="12" max="12" width="10.54296875" customWidth="1"/>
    <col min="13" max="13" width="9.08984375" customWidth="1"/>
    <col min="14" max="14" width="7.1796875" customWidth="1"/>
    <col min="15" max="15" width="21" customWidth="1"/>
    <col min="16" max="16" width="13.81640625" customWidth="1"/>
    <col min="19" max="46" width="0" hidden="1" customWidth="1"/>
  </cols>
  <sheetData>
    <row r="1" spans="1:17" s="1" customFormat="1" ht="24" customHeight="1" x14ac:dyDescent="0.35">
      <c r="A1" s="312" t="s">
        <v>141</v>
      </c>
      <c r="B1" s="312"/>
      <c r="C1" s="312"/>
      <c r="D1" s="312"/>
      <c r="E1" s="312"/>
      <c r="F1" s="312"/>
      <c r="G1" s="312"/>
      <c r="H1" s="312"/>
      <c r="I1" s="312"/>
      <c r="J1" s="312"/>
      <c r="K1" s="312"/>
      <c r="L1" s="312"/>
    </row>
    <row r="2" spans="1:17" ht="9" customHeight="1" x14ac:dyDescent="0.35">
      <c r="C2" s="1"/>
      <c r="E2" s="1"/>
      <c r="F2" s="1"/>
      <c r="G2" s="1"/>
    </row>
    <row r="3" spans="1:17" ht="16" thickBot="1" x14ac:dyDescent="0.4">
      <c r="A3" s="12" t="s">
        <v>143</v>
      </c>
      <c r="B3" s="2"/>
      <c r="D3" s="1"/>
      <c r="E3" s="62" t="s">
        <v>105</v>
      </c>
      <c r="F3" s="61"/>
      <c r="G3" s="60"/>
      <c r="H3" s="62" t="s">
        <v>106</v>
      </c>
      <c r="I3" s="61"/>
      <c r="K3" s="143"/>
      <c r="L3" s="144"/>
      <c r="M3" s="144"/>
      <c r="N3" s="143"/>
      <c r="O3" s="144"/>
      <c r="P3" s="144"/>
      <c r="Q3" s="144"/>
    </row>
    <row r="4" spans="1:17" ht="15.5" x14ac:dyDescent="0.35">
      <c r="A4" s="1" t="s">
        <v>17</v>
      </c>
      <c r="D4" s="1"/>
      <c r="E4" s="4">
        <v>160</v>
      </c>
      <c r="F4" s="1" t="s">
        <v>20</v>
      </c>
      <c r="H4" s="4">
        <v>160</v>
      </c>
      <c r="I4" s="1" t="s">
        <v>20</v>
      </c>
      <c r="K4" s="144"/>
      <c r="L4" s="151"/>
      <c r="M4" s="144"/>
      <c r="N4" s="144"/>
      <c r="O4" s="144"/>
      <c r="P4" s="151"/>
      <c r="Q4" s="144"/>
    </row>
    <row r="5" spans="1:17" ht="15.5" x14ac:dyDescent="0.35">
      <c r="A5" s="1" t="s">
        <v>205</v>
      </c>
      <c r="C5" s="1"/>
      <c r="D5" s="13"/>
      <c r="E5" s="26">
        <f>'Fixed Cost Input'!E6</f>
        <v>1875</v>
      </c>
      <c r="F5" s="26">
        <f>'Fixed Cost Input'!F6</f>
        <v>300000</v>
      </c>
      <c r="G5" s="1"/>
      <c r="H5" s="26">
        <f>'Fixed Cost Input'!I6</f>
        <v>843.75</v>
      </c>
      <c r="I5" s="26">
        <f>'Fixed Cost Input'!J6</f>
        <v>135000</v>
      </c>
    </row>
    <row r="6" spans="1:17" ht="15.5" x14ac:dyDescent="0.35">
      <c r="K6" s="144"/>
      <c r="L6" s="71"/>
      <c r="M6" s="144"/>
      <c r="N6" s="144"/>
      <c r="O6" s="144"/>
      <c r="P6" s="71"/>
      <c r="Q6" s="144"/>
    </row>
    <row r="7" spans="1:17" ht="15.5" x14ac:dyDescent="0.35">
      <c r="E7" s="58" t="s">
        <v>91</v>
      </c>
      <c r="F7" s="38"/>
      <c r="H7" s="58" t="s">
        <v>91</v>
      </c>
      <c r="I7" s="38"/>
      <c r="K7" s="144"/>
      <c r="L7" s="146"/>
      <c r="M7" s="144"/>
      <c r="N7" s="144"/>
      <c r="O7" s="145"/>
      <c r="P7" s="146"/>
      <c r="Q7" s="144"/>
    </row>
    <row r="8" spans="1:17" ht="15.5" x14ac:dyDescent="0.35">
      <c r="A8" s="1" t="s">
        <v>40</v>
      </c>
      <c r="E8" s="4">
        <v>94</v>
      </c>
      <c r="F8" s="1" t="s">
        <v>111</v>
      </c>
      <c r="H8" s="4">
        <v>32</v>
      </c>
      <c r="I8" s="1" t="s">
        <v>111</v>
      </c>
      <c r="K8" s="144"/>
      <c r="L8" s="147"/>
      <c r="M8" s="144"/>
      <c r="N8" s="144"/>
      <c r="O8" s="144"/>
      <c r="P8" s="147"/>
      <c r="Q8" s="144"/>
    </row>
    <row r="9" spans="1:17" ht="15.5" x14ac:dyDescent="0.35">
      <c r="A9" s="1" t="s">
        <v>41</v>
      </c>
      <c r="E9" s="18">
        <f>ROUND(E8/E4,2)</f>
        <v>0.59</v>
      </c>
      <c r="F9" s="1" t="s">
        <v>112</v>
      </c>
      <c r="H9" s="18">
        <f>ROUND(H8/H4,2)</f>
        <v>0.2</v>
      </c>
      <c r="I9" s="1" t="s">
        <v>112</v>
      </c>
      <c r="K9" s="144"/>
      <c r="L9" s="148"/>
      <c r="N9" s="144"/>
      <c r="O9" s="144"/>
      <c r="P9" s="148"/>
    </row>
    <row r="10" spans="1:17" ht="15.5" x14ac:dyDescent="0.35">
      <c r="A10" s="1" t="s">
        <v>244</v>
      </c>
      <c r="E10" s="169">
        <f>ROUND(E4/E8,1)</f>
        <v>1.7</v>
      </c>
      <c r="F10" s="1" t="s">
        <v>243</v>
      </c>
      <c r="H10" s="169">
        <f>ROUND(H4/H8,1)</f>
        <v>5</v>
      </c>
      <c r="I10" s="1" t="s">
        <v>243</v>
      </c>
      <c r="K10" s="149"/>
      <c r="L10" s="150"/>
      <c r="M10" s="144"/>
      <c r="N10" s="149"/>
      <c r="O10" s="144"/>
      <c r="P10" s="150"/>
      <c r="Q10" s="144"/>
    </row>
    <row r="11" spans="1:17" ht="15.5" x14ac:dyDescent="0.35">
      <c r="A11" s="1"/>
      <c r="E11" s="18"/>
      <c r="F11" s="1"/>
      <c r="H11" s="18"/>
      <c r="I11" s="1"/>
      <c r="K11" s="149"/>
      <c r="L11" s="150"/>
      <c r="M11" s="144"/>
      <c r="N11" s="149"/>
      <c r="O11" s="144"/>
      <c r="P11" s="150"/>
      <c r="Q11" s="144"/>
    </row>
    <row r="12" spans="1:17" ht="17.25" customHeight="1" x14ac:dyDescent="0.35">
      <c r="A12" s="1" t="s">
        <v>36</v>
      </c>
      <c r="E12" s="4">
        <v>1350</v>
      </c>
      <c r="F12" s="1" t="s">
        <v>110</v>
      </c>
      <c r="H12" s="4">
        <v>1350</v>
      </c>
      <c r="I12" s="1" t="s">
        <v>110</v>
      </c>
      <c r="M12" s="144"/>
    </row>
    <row r="13" spans="1:17" ht="17.25" customHeight="1" x14ac:dyDescent="0.35">
      <c r="A13" s="1" t="s">
        <v>221</v>
      </c>
      <c r="E13" s="138">
        <f>ROUND((E12^0.75/1000^0.75),2)</f>
        <v>1.25</v>
      </c>
      <c r="F13" s="1"/>
      <c r="H13" s="138">
        <f>ROUND((H12^0.75/1000^0.75),2)</f>
        <v>1.25</v>
      </c>
      <c r="I13" s="1"/>
      <c r="M13" s="144"/>
    </row>
    <row r="14" spans="1:17" ht="17.25" customHeight="1" x14ac:dyDescent="0.35">
      <c r="A14" s="1"/>
      <c r="E14" s="3"/>
      <c r="F14" s="1"/>
      <c r="H14" s="3"/>
      <c r="I14" s="1"/>
    </row>
    <row r="15" spans="1:17" ht="15.5" x14ac:dyDescent="0.35">
      <c r="A15" s="1" t="s">
        <v>23</v>
      </c>
      <c r="C15" s="28" t="s">
        <v>24</v>
      </c>
      <c r="D15" s="2"/>
      <c r="E15" s="4">
        <v>135</v>
      </c>
      <c r="F15" s="1" t="s">
        <v>30</v>
      </c>
      <c r="H15" s="4">
        <v>135</v>
      </c>
      <c r="I15" s="1" t="s">
        <v>30</v>
      </c>
    </row>
    <row r="16" spans="1:17" ht="15" customHeight="1" x14ac:dyDescent="0.35">
      <c r="C16" s="28" t="s">
        <v>25</v>
      </c>
      <c r="D16" s="2"/>
      <c r="E16" s="3">
        <f>ROUND(E15/30,2)</f>
        <v>4.5</v>
      </c>
      <c r="F16" s="1" t="s">
        <v>31</v>
      </c>
      <c r="H16" s="3">
        <f>ROUND(H15/30,2)</f>
        <v>4.5</v>
      </c>
      <c r="I16" s="1" t="s">
        <v>31</v>
      </c>
    </row>
    <row r="17" spans="1:13" ht="15" customHeight="1" x14ac:dyDescent="0.35">
      <c r="C17" s="28"/>
      <c r="D17" s="2"/>
      <c r="E17" s="3"/>
      <c r="F17" s="1"/>
      <c r="H17" s="3"/>
      <c r="I17" s="1"/>
    </row>
    <row r="18" spans="1:13" ht="15" customHeight="1" x14ac:dyDescent="0.35">
      <c r="A18" s="12" t="s">
        <v>240</v>
      </c>
      <c r="C18" s="28"/>
      <c r="D18" s="2"/>
      <c r="E18" s="3"/>
      <c r="F18" s="1"/>
      <c r="H18" s="3"/>
      <c r="I18" s="1"/>
    </row>
    <row r="19" spans="1:13" ht="15.5" x14ac:dyDescent="0.35">
      <c r="A19" s="1" t="s">
        <v>227</v>
      </c>
      <c r="E19" s="158">
        <f>ROUND(E8*(E13)*E16,0)</f>
        <v>529</v>
      </c>
      <c r="H19" s="158">
        <f>ROUND(H8*(H13)*H16,0)</f>
        <v>180</v>
      </c>
    </row>
    <row r="20" spans="1:13" ht="15.5" x14ac:dyDescent="0.35">
      <c r="A20" s="1" t="s">
        <v>236</v>
      </c>
      <c r="E20" s="138">
        <f>ROUND(E19/E4,2)</f>
        <v>3.31</v>
      </c>
      <c r="H20" s="138">
        <f>ROUND(H19/H4,2)</f>
        <v>1.1299999999999999</v>
      </c>
    </row>
    <row r="21" spans="1:13" ht="15.5" x14ac:dyDescent="0.35">
      <c r="A21" s="1" t="s">
        <v>237</v>
      </c>
      <c r="C21" s="1"/>
      <c r="D21" s="1"/>
      <c r="E21" s="26">
        <f>'Fixed Cost Input'!F6/E19</f>
        <v>567.10775047258983</v>
      </c>
      <c r="F21" s="1"/>
      <c r="G21" s="1"/>
      <c r="H21" s="26">
        <f>'Fixed Cost Input'!J6/H19</f>
        <v>750</v>
      </c>
      <c r="K21" s="149"/>
    </row>
    <row r="22" spans="1:13" ht="15.5" x14ac:dyDescent="0.35">
      <c r="A22" s="1" t="s">
        <v>200</v>
      </c>
      <c r="E22" s="11">
        <f>ROUND(Summary!D45/Input!E19,2)</f>
        <v>33.83</v>
      </c>
      <c r="F22" s="1"/>
      <c r="G22" s="1"/>
      <c r="H22" s="11">
        <f>ROUND(Summary!H45/Input!H19,2)</f>
        <v>32.549999999999997</v>
      </c>
      <c r="K22" s="149"/>
    </row>
    <row r="23" spans="1:13" ht="15.5" x14ac:dyDescent="0.35">
      <c r="A23" s="3"/>
    </row>
    <row r="24" spans="1:13" ht="16.5" customHeight="1" x14ac:dyDescent="0.35">
      <c r="A24" s="12" t="s">
        <v>241</v>
      </c>
      <c r="B24" s="1"/>
      <c r="C24" s="1"/>
      <c r="D24" s="1"/>
      <c r="E24" s="53"/>
      <c r="F24" s="1"/>
      <c r="G24" s="1"/>
      <c r="H24" s="53"/>
      <c r="I24" s="2"/>
      <c r="J24" s="2"/>
      <c r="M24" s="1"/>
    </row>
    <row r="25" spans="1:13" ht="15.5" x14ac:dyDescent="0.35">
      <c r="A25" s="1" t="s">
        <v>44</v>
      </c>
      <c r="E25" s="158">
        <f>E12*E9</f>
        <v>796.5</v>
      </c>
      <c r="H25" s="158">
        <f>H12*H9</f>
        <v>270</v>
      </c>
      <c r="L25" s="2"/>
    </row>
    <row r="26" spans="1:13" ht="15.5" x14ac:dyDescent="0.35">
      <c r="A26" s="2" t="s">
        <v>72</v>
      </c>
      <c r="B26" s="2"/>
      <c r="C26" s="2"/>
      <c r="D26" s="2"/>
      <c r="E26" s="99">
        <f>$E$4*E25</f>
        <v>127440</v>
      </c>
      <c r="G26" s="2"/>
      <c r="H26" s="99">
        <f>Input!$H$4*H25</f>
        <v>43200</v>
      </c>
      <c r="L26" s="2"/>
    </row>
    <row r="27" spans="1:13" ht="15.75" customHeight="1" x14ac:dyDescent="0.35">
      <c r="A27" s="2"/>
      <c r="B27" s="2"/>
      <c r="C27" s="2"/>
      <c r="D27" s="2"/>
      <c r="E27" s="2"/>
      <c r="F27" s="2"/>
      <c r="G27" s="2"/>
      <c r="H27" s="2"/>
      <c r="L27" s="29"/>
      <c r="M27" s="1"/>
    </row>
    <row r="28" spans="1:13" ht="15.5" x14ac:dyDescent="0.35">
      <c r="A28" s="161" t="s">
        <v>266</v>
      </c>
      <c r="C28" s="1"/>
      <c r="D28" s="13"/>
      <c r="E28" s="91">
        <f>Summary!E39</f>
        <v>1.4094100000000003</v>
      </c>
      <c r="F28" s="1" t="s">
        <v>245</v>
      </c>
      <c r="G28" s="1"/>
      <c r="H28" s="91">
        <f>Summary!I39</f>
        <v>1.3553074602314814</v>
      </c>
      <c r="I28" s="1" t="s">
        <v>245</v>
      </c>
    </row>
    <row r="30" spans="1:13" s="1" customFormat="1" ht="24" customHeight="1" x14ac:dyDescent="0.35">
      <c r="A30" s="312" t="s">
        <v>162</v>
      </c>
      <c r="B30" s="312"/>
      <c r="C30" s="312"/>
      <c r="D30" s="312"/>
      <c r="E30" s="312"/>
      <c r="F30" s="312"/>
      <c r="G30" s="312"/>
      <c r="H30" s="312"/>
      <c r="I30" s="312"/>
      <c r="J30" s="312"/>
      <c r="K30" s="312"/>
      <c r="L30" s="312"/>
    </row>
    <row r="32" spans="1:13" ht="15.5" x14ac:dyDescent="0.35">
      <c r="D32" s="311" t="s">
        <v>105</v>
      </c>
      <c r="E32" s="311"/>
      <c r="F32" s="311"/>
      <c r="G32" s="60"/>
      <c r="H32" s="311" t="s">
        <v>106</v>
      </c>
      <c r="I32" s="311"/>
      <c r="J32" s="311"/>
    </row>
    <row r="33" spans="1:15" ht="31" x14ac:dyDescent="0.35">
      <c r="A33" s="58" t="s">
        <v>114</v>
      </c>
      <c r="B33" s="79"/>
      <c r="D33" s="65" t="s">
        <v>116</v>
      </c>
      <c r="E33" s="89" t="s">
        <v>113</v>
      </c>
      <c r="F33" s="58" t="s">
        <v>117</v>
      </c>
      <c r="G33" s="1"/>
      <c r="H33" s="65" t="s">
        <v>116</v>
      </c>
      <c r="I33" s="89" t="s">
        <v>113</v>
      </c>
      <c r="J33" s="58" t="s">
        <v>117</v>
      </c>
      <c r="M33" s="2"/>
    </row>
    <row r="34" spans="1:15" ht="15.5" x14ac:dyDescent="0.35">
      <c r="A34" s="20"/>
      <c r="B34" s="1" t="s">
        <v>142</v>
      </c>
      <c r="D34" s="7">
        <v>25</v>
      </c>
      <c r="E34" s="25">
        <v>3</v>
      </c>
      <c r="F34" s="11">
        <f>SUM(D34*E34)</f>
        <v>75</v>
      </c>
      <c r="G34" s="1"/>
      <c r="H34" s="7">
        <v>0</v>
      </c>
      <c r="I34" s="25">
        <v>0</v>
      </c>
      <c r="J34" s="11">
        <f>SUM(H34*I34)</f>
        <v>0</v>
      </c>
      <c r="K34" s="1"/>
    </row>
    <row r="35" spans="1:15" ht="15.5" x14ac:dyDescent="0.35">
      <c r="A35" s="20"/>
      <c r="B35" s="1" t="s">
        <v>115</v>
      </c>
      <c r="D35" s="7">
        <v>0</v>
      </c>
      <c r="E35" s="25">
        <v>0</v>
      </c>
      <c r="F35" s="11">
        <f>SUM(D35*E35)</f>
        <v>0</v>
      </c>
      <c r="G35" s="1"/>
      <c r="H35" s="7">
        <v>0</v>
      </c>
      <c r="I35" s="25">
        <v>0</v>
      </c>
      <c r="J35" s="11">
        <f>SUM(H35*I35)</f>
        <v>0</v>
      </c>
      <c r="K35" s="1"/>
    </row>
    <row r="36" spans="1:15" ht="15.5" x14ac:dyDescent="0.35">
      <c r="A36" s="20"/>
      <c r="B36" s="1" t="s">
        <v>118</v>
      </c>
      <c r="D36" s="7">
        <v>15</v>
      </c>
      <c r="E36" s="25">
        <v>2</v>
      </c>
      <c r="F36" s="11">
        <f>SUM(D36*E36)</f>
        <v>30</v>
      </c>
      <c r="G36" s="1"/>
      <c r="H36" s="7">
        <v>0</v>
      </c>
      <c r="I36" s="25">
        <v>0</v>
      </c>
      <c r="J36" s="11">
        <f>SUM(H36*I36)</f>
        <v>0</v>
      </c>
      <c r="K36" s="1"/>
    </row>
    <row r="37" spans="1:15" ht="15.5" x14ac:dyDescent="0.35">
      <c r="A37" s="20"/>
      <c r="B37" s="1" t="s">
        <v>3</v>
      </c>
      <c r="D37" s="7">
        <v>28</v>
      </c>
      <c r="E37" s="25">
        <v>1</v>
      </c>
      <c r="F37" s="11">
        <f>SUM(D37*E37)</f>
        <v>28</v>
      </c>
      <c r="G37" s="1"/>
      <c r="H37" s="7">
        <v>0</v>
      </c>
      <c r="I37" s="25">
        <v>0</v>
      </c>
      <c r="J37" s="11">
        <f>SUM(H37*I37)</f>
        <v>0</v>
      </c>
    </row>
    <row r="38" spans="1:15" ht="15.5" x14ac:dyDescent="0.35">
      <c r="A38" s="20"/>
      <c r="B38" s="1" t="s">
        <v>161</v>
      </c>
      <c r="D38" s="7">
        <v>0</v>
      </c>
      <c r="E38" s="25">
        <v>0</v>
      </c>
      <c r="F38" s="88">
        <f>SUM(D38*E38)</f>
        <v>0</v>
      </c>
      <c r="G38" s="1"/>
      <c r="H38" s="7">
        <v>0</v>
      </c>
      <c r="I38" s="25">
        <v>0</v>
      </c>
      <c r="J38" s="88">
        <f>SUM(H38*I38)</f>
        <v>0</v>
      </c>
    </row>
    <row r="39" spans="1:15" ht="15.5" x14ac:dyDescent="0.35">
      <c r="A39" s="20"/>
      <c r="B39" s="1"/>
      <c r="C39" s="7"/>
      <c r="D39" s="25"/>
      <c r="E39" s="11"/>
      <c r="F39" s="11">
        <f>SUM(F34:F38)</f>
        <v>133</v>
      </c>
      <c r="G39" s="1"/>
      <c r="H39" s="19"/>
      <c r="I39" s="1"/>
      <c r="J39" s="11">
        <f>SUM(J34:J38)</f>
        <v>0</v>
      </c>
    </row>
    <row r="40" spans="1:15" ht="15.5" x14ac:dyDescent="0.35">
      <c r="A40" s="20"/>
      <c r="B40" s="1"/>
      <c r="C40" s="7"/>
      <c r="D40" s="25"/>
      <c r="E40" s="11"/>
      <c r="F40" s="11"/>
      <c r="G40" s="1"/>
      <c r="H40" s="19"/>
      <c r="I40" s="1"/>
      <c r="J40" s="11"/>
    </row>
    <row r="41" spans="1:15" ht="15.5" x14ac:dyDescent="0.35">
      <c r="A41" s="3" t="s">
        <v>153</v>
      </c>
      <c r="D41" s="1"/>
      <c r="E41" s="4">
        <v>10</v>
      </c>
      <c r="F41" s="1" t="s">
        <v>35</v>
      </c>
      <c r="G41" s="1"/>
      <c r="H41" s="4">
        <v>10</v>
      </c>
      <c r="I41" s="1" t="s">
        <v>35</v>
      </c>
      <c r="J41" s="1"/>
    </row>
    <row r="42" spans="1:15" ht="15.5" x14ac:dyDescent="0.35">
      <c r="A42" s="1"/>
      <c r="B42" s="170" t="s">
        <v>158</v>
      </c>
      <c r="D42" s="1"/>
      <c r="E42" s="4"/>
      <c r="F42" s="1"/>
      <c r="G42" s="1"/>
      <c r="H42" s="4"/>
      <c r="I42" s="1"/>
      <c r="J42" s="1"/>
    </row>
    <row r="43" spans="1:15" s="1" customFormat="1" ht="24" customHeight="1" x14ac:dyDescent="0.35">
      <c r="A43" s="312" t="s">
        <v>163</v>
      </c>
      <c r="B43" s="312"/>
      <c r="C43" s="312"/>
      <c r="D43" s="312"/>
      <c r="E43" s="312"/>
      <c r="F43" s="312"/>
      <c r="G43" s="312"/>
      <c r="H43" s="312"/>
      <c r="I43" s="312"/>
      <c r="J43" s="312"/>
      <c r="K43" s="312"/>
      <c r="L43" s="312"/>
      <c r="M43"/>
      <c r="N43"/>
      <c r="O43"/>
    </row>
    <row r="44" spans="1:15" ht="15.75" customHeight="1" x14ac:dyDescent="0.35">
      <c r="A44" s="20"/>
      <c r="B44" s="2"/>
      <c r="E44" s="25"/>
      <c r="F44" s="1"/>
      <c r="G44" s="1"/>
      <c r="H44" s="25"/>
      <c r="I44" s="1"/>
      <c r="J44" s="1"/>
    </row>
    <row r="45" spans="1:15" s="1" customFormat="1" ht="15.5" x14ac:dyDescent="0.35">
      <c r="D45" s="80" t="s">
        <v>144</v>
      </c>
      <c r="F45" s="80" t="s">
        <v>145</v>
      </c>
      <c r="I45" s="80" t="s">
        <v>146</v>
      </c>
    </row>
    <row r="46" spans="1:15" s="1" customFormat="1" ht="15.5" x14ac:dyDescent="0.35">
      <c r="A46" s="81"/>
      <c r="D46" s="82" t="s">
        <v>147</v>
      </c>
      <c r="F46" s="82" t="s">
        <v>148</v>
      </c>
      <c r="I46" s="82" t="s">
        <v>147</v>
      </c>
    </row>
    <row r="47" spans="1:15" s="1" customFormat="1" ht="15.5" x14ac:dyDescent="0.35">
      <c r="A47" s="75" t="s">
        <v>136</v>
      </c>
      <c r="D47" s="25"/>
      <c r="F47" s="84"/>
      <c r="I47" s="73"/>
    </row>
    <row r="48" spans="1:15" s="1" customFormat="1" ht="15.5" x14ac:dyDescent="0.35">
      <c r="B48" s="60" t="s">
        <v>226</v>
      </c>
      <c r="D48" s="4">
        <v>10</v>
      </c>
      <c r="E48" s="1" t="s">
        <v>149</v>
      </c>
      <c r="F48" s="83">
        <v>4.25</v>
      </c>
      <c r="G48" s="1" t="s">
        <v>151</v>
      </c>
      <c r="I48" s="73">
        <f>ROUND(D48*F48,2)</f>
        <v>42.5</v>
      </c>
    </row>
    <row r="49" spans="1:46" s="1" customFormat="1" ht="15.5" x14ac:dyDescent="0.35">
      <c r="B49" s="60" t="s">
        <v>135</v>
      </c>
      <c r="D49" s="85">
        <v>1.25</v>
      </c>
      <c r="E49" s="1" t="s">
        <v>152</v>
      </c>
      <c r="F49" s="83">
        <v>9</v>
      </c>
      <c r="G49" s="1" t="s">
        <v>150</v>
      </c>
      <c r="I49" s="73">
        <f>ROUND(D49*F49,2)</f>
        <v>11.25</v>
      </c>
    </row>
    <row r="50" spans="1:46" s="1" customFormat="1" ht="15.5" x14ac:dyDescent="0.35">
      <c r="A50" s="74" t="s">
        <v>137</v>
      </c>
      <c r="D50" s="4">
        <v>0</v>
      </c>
      <c r="E50" s="1" t="s">
        <v>149</v>
      </c>
      <c r="F50" s="83">
        <v>0</v>
      </c>
      <c r="G50" s="1" t="s">
        <v>151</v>
      </c>
      <c r="I50" s="73">
        <f>ROUND(D50*F50,2)</f>
        <v>0</v>
      </c>
    </row>
    <row r="51" spans="1:46" ht="15.75" customHeight="1" x14ac:dyDescent="0.35">
      <c r="A51" s="20"/>
      <c r="B51" s="2"/>
      <c r="E51" s="25"/>
      <c r="F51" s="1"/>
      <c r="G51" s="1"/>
      <c r="H51" s="25"/>
      <c r="I51" s="1"/>
      <c r="J51" s="1"/>
    </row>
    <row r="52" spans="1:46" s="1" customFormat="1" ht="24" customHeight="1" x14ac:dyDescent="0.4">
      <c r="A52" s="320" t="s">
        <v>140</v>
      </c>
      <c r="B52" s="321"/>
      <c r="C52" s="321"/>
      <c r="D52" s="321"/>
      <c r="E52" s="321"/>
      <c r="F52" s="321"/>
      <c r="G52" s="321"/>
      <c r="H52" s="321"/>
      <c r="I52" s="321"/>
      <c r="J52" s="321"/>
      <c r="K52" s="321"/>
      <c r="L52" s="321"/>
      <c r="M52"/>
      <c r="N52"/>
      <c r="O52"/>
      <c r="P52" s="66"/>
    </row>
    <row r="53" spans="1:46" s="1" customFormat="1" ht="15.5" x14ac:dyDescent="0.35">
      <c r="D53" s="17" t="s">
        <v>119</v>
      </c>
      <c r="F53" s="17" t="s">
        <v>120</v>
      </c>
      <c r="H53" s="17" t="s">
        <v>38</v>
      </c>
      <c r="J53" s="17" t="s">
        <v>121</v>
      </c>
      <c r="M53" s="67"/>
    </row>
    <row r="54" spans="1:46" s="1" customFormat="1" ht="15.5" x14ac:dyDescent="0.35">
      <c r="A54" s="12" t="s">
        <v>122</v>
      </c>
      <c r="D54" s="12" t="s">
        <v>123</v>
      </c>
      <c r="F54" s="15" t="s">
        <v>21</v>
      </c>
      <c r="H54" s="15" t="s">
        <v>124</v>
      </c>
      <c r="J54" s="15" t="s">
        <v>124</v>
      </c>
    </row>
    <row r="55" spans="1:46" s="1" customFormat="1" ht="15.5" x14ac:dyDescent="0.35">
      <c r="A55" s="1" t="s">
        <v>125</v>
      </c>
      <c r="D55" s="179">
        <v>900</v>
      </c>
      <c r="E55" s="68"/>
      <c r="F55" s="69">
        <f>SUM(D55/(2204.5855*0.46))</f>
        <v>0.8874782761341915</v>
      </c>
      <c r="H55" s="71">
        <v>1</v>
      </c>
      <c r="J55" s="72" t="s">
        <v>126</v>
      </c>
    </row>
    <row r="56" spans="1:46" s="1" customFormat="1" ht="15.5" x14ac:dyDescent="0.35">
      <c r="A56" s="1" t="s">
        <v>127</v>
      </c>
      <c r="D56" s="179">
        <v>1300</v>
      </c>
      <c r="F56" s="69">
        <f>SUM(D56/(2204.5855*0.82))</f>
        <v>0.71912196358840996</v>
      </c>
      <c r="H56" s="71">
        <v>0</v>
      </c>
      <c r="J56" s="72" t="s">
        <v>126</v>
      </c>
    </row>
    <row r="57" spans="1:46" s="1" customFormat="1" ht="15.5" x14ac:dyDescent="0.35">
      <c r="A57" s="1" t="s">
        <v>128</v>
      </c>
      <c r="D57" s="179">
        <v>550</v>
      </c>
      <c r="F57" s="69">
        <f>SUM(D57/(2204.5855*0.28))</f>
        <v>0.89100001532520001</v>
      </c>
      <c r="H57" s="71">
        <v>0</v>
      </c>
      <c r="J57" s="72" t="s">
        <v>126</v>
      </c>
    </row>
    <row r="58" spans="1:46" s="1" customFormat="1" ht="15.5" x14ac:dyDescent="0.35">
      <c r="A58" s="1" t="s">
        <v>129</v>
      </c>
      <c r="D58" s="179">
        <v>1250</v>
      </c>
      <c r="F58" s="69">
        <f>SUM((D58-(F55*(0.11*2204.5855)))/(2204.5855*0.52))</f>
        <v>0.90264884495699815</v>
      </c>
      <c r="H58" s="72" t="s">
        <v>126</v>
      </c>
      <c r="J58" s="72" t="s">
        <v>126</v>
      </c>
    </row>
    <row r="59" spans="1:46" s="1" customFormat="1" ht="15.5" x14ac:dyDescent="0.35">
      <c r="A59" s="1" t="s">
        <v>130</v>
      </c>
      <c r="D59" s="179">
        <v>650</v>
      </c>
      <c r="F59" s="69">
        <f>SUM(D59/(2204.5855*0.6))</f>
        <v>0.49140000845208009</v>
      </c>
      <c r="H59" s="72" t="s">
        <v>126</v>
      </c>
      <c r="J59" s="72" t="s">
        <v>126</v>
      </c>
    </row>
    <row r="60" spans="1:46" s="1" customFormat="1" ht="15.5" x14ac:dyDescent="0.35">
      <c r="A60" s="1" t="s">
        <v>131</v>
      </c>
      <c r="D60" s="179">
        <v>850</v>
      </c>
      <c r="F60" s="69">
        <f>SUM((D60-(F55*(0.205*2204.5855)))/(2204.5855*0.24))</f>
        <v>0.8484456667671787</v>
      </c>
      <c r="H60" s="72" t="s">
        <v>126</v>
      </c>
      <c r="J60" s="71">
        <v>1</v>
      </c>
    </row>
    <row r="61" spans="1:46" s="1" customFormat="1" ht="17.5" x14ac:dyDescent="0.35">
      <c r="A61" s="1" t="s">
        <v>271</v>
      </c>
      <c r="B61" s="35"/>
      <c r="D61" s="179">
        <v>1220</v>
      </c>
      <c r="E61" s="187"/>
      <c r="F61" s="69">
        <f>SUM((D61-(F55*(0.13*2204.5855))-(F58*(0.33*2204.5855)))/(2204.5855*0.15))</f>
        <v>0.93430476523392147</v>
      </c>
      <c r="H61" s="72" t="s">
        <v>126</v>
      </c>
      <c r="J61" s="71">
        <v>0</v>
      </c>
      <c r="K61" s="188"/>
    </row>
    <row r="62" spans="1:46" s="1" customFormat="1" ht="7.5" customHeight="1" x14ac:dyDescent="0.35">
      <c r="B62" s="35"/>
      <c r="D62" s="179"/>
      <c r="E62" s="187"/>
      <c r="F62" s="69"/>
      <c r="G62" s="188"/>
      <c r="H62" s="188"/>
      <c r="I62" s="72"/>
      <c r="J62" s="188"/>
      <c r="K62" s="188"/>
      <c r="L62" s="71"/>
      <c r="S62" s="189" t="s">
        <v>272</v>
      </c>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44"/>
    </row>
    <row r="63" spans="1:46" s="1" customFormat="1" ht="16" thickBot="1" x14ac:dyDescent="0.4">
      <c r="B63" s="14"/>
      <c r="C63" s="311" t="s">
        <v>132</v>
      </c>
      <c r="D63" s="311"/>
      <c r="E63" s="311"/>
      <c r="F63" s="311"/>
      <c r="G63" s="311"/>
      <c r="H63" s="311"/>
      <c r="I63" s="311"/>
      <c r="J63" s="311"/>
      <c r="K63" s="311"/>
      <c r="L63" s="3"/>
      <c r="M63"/>
      <c r="N63"/>
      <c r="S63" s="144"/>
      <c r="T63" s="144" t="s">
        <v>273</v>
      </c>
      <c r="U63" s="144"/>
      <c r="V63" s="144"/>
      <c r="W63" s="144"/>
      <c r="X63" s="144" t="s">
        <v>274</v>
      </c>
      <c r="Y63" s="144"/>
      <c r="Z63" s="144"/>
      <c r="AA63" s="144"/>
      <c r="AB63" s="144"/>
      <c r="AC63" s="144"/>
      <c r="AD63" s="144" t="s">
        <v>275</v>
      </c>
      <c r="AE63" s="144"/>
      <c r="AF63" s="144"/>
      <c r="AG63" s="144"/>
      <c r="AH63" s="144" t="s">
        <v>276</v>
      </c>
      <c r="AI63" s="144"/>
      <c r="AJ63" s="144"/>
      <c r="AK63" s="144" t="s">
        <v>277</v>
      </c>
      <c r="AL63" s="144"/>
      <c r="AM63" s="144"/>
      <c r="AN63" s="144" t="s">
        <v>278</v>
      </c>
      <c r="AO63" s="144"/>
      <c r="AP63" s="144"/>
      <c r="AQ63" s="144" t="s">
        <v>279</v>
      </c>
      <c r="AR63" s="144"/>
      <c r="AS63" s="144"/>
      <c r="AT63" s="144"/>
    </row>
    <row r="64" spans="1:46" s="1" customFormat="1" ht="15.5" x14ac:dyDescent="0.35">
      <c r="C64" s="319" t="s">
        <v>38</v>
      </c>
      <c r="D64" s="319"/>
      <c r="E64" s="319" t="s">
        <v>133</v>
      </c>
      <c r="F64" s="319"/>
      <c r="H64" s="319" t="s">
        <v>39</v>
      </c>
      <c r="I64" s="319"/>
      <c r="J64" s="319" t="s">
        <v>121</v>
      </c>
      <c r="K64" s="319"/>
      <c r="L64" s="17" t="s">
        <v>7</v>
      </c>
      <c r="S64" s="191" t="s">
        <v>280</v>
      </c>
      <c r="T64" s="192" t="s">
        <v>280</v>
      </c>
      <c r="U64" s="193" t="s">
        <v>280</v>
      </c>
      <c r="V64" s="194" t="s">
        <v>280</v>
      </c>
      <c r="W64" s="191" t="s">
        <v>281</v>
      </c>
      <c r="X64" s="192" t="s">
        <v>281</v>
      </c>
      <c r="Y64" s="193" t="s">
        <v>281</v>
      </c>
      <c r="Z64" s="194" t="s">
        <v>281</v>
      </c>
      <c r="AA64" s="192" t="s">
        <v>282</v>
      </c>
      <c r="AB64" s="193" t="s">
        <v>283</v>
      </c>
      <c r="AC64" s="193" t="s">
        <v>283</v>
      </c>
      <c r="AD64" s="191" t="s">
        <v>283</v>
      </c>
      <c r="AE64" s="192" t="s">
        <v>283</v>
      </c>
      <c r="AF64" s="193" t="s">
        <v>283</v>
      </c>
      <c r="AG64" s="194" t="s">
        <v>283</v>
      </c>
      <c r="AH64" s="192" t="s">
        <v>283</v>
      </c>
      <c r="AI64" s="193" t="s">
        <v>283</v>
      </c>
      <c r="AJ64" s="194" t="s">
        <v>283</v>
      </c>
      <c r="AK64" s="192" t="s">
        <v>282</v>
      </c>
      <c r="AL64" s="193" t="s">
        <v>283</v>
      </c>
      <c r="AM64" s="194" t="s">
        <v>283</v>
      </c>
      <c r="AN64" s="192" t="s">
        <v>282</v>
      </c>
      <c r="AO64" s="193" t="s">
        <v>283</v>
      </c>
      <c r="AP64" s="194" t="s">
        <v>283</v>
      </c>
      <c r="AQ64" s="192" t="s">
        <v>282</v>
      </c>
      <c r="AR64" s="193" t="s">
        <v>283</v>
      </c>
      <c r="AS64" s="194" t="s">
        <v>283</v>
      </c>
      <c r="AT64" s="144" t="s">
        <v>284</v>
      </c>
    </row>
    <row r="65" spans="1:46" s="1" customFormat="1" ht="15.5" x14ac:dyDescent="0.35">
      <c r="A65" s="12"/>
      <c r="C65" s="15" t="s">
        <v>134</v>
      </c>
      <c r="D65" s="15" t="s">
        <v>22</v>
      </c>
      <c r="E65" s="15" t="s">
        <v>134</v>
      </c>
      <c r="F65" s="15" t="s">
        <v>22</v>
      </c>
      <c r="G65" s="15"/>
      <c r="H65" s="15" t="s">
        <v>134</v>
      </c>
      <c r="I65" s="15" t="s">
        <v>22</v>
      </c>
      <c r="J65" s="15" t="s">
        <v>134</v>
      </c>
      <c r="K65" s="15" t="s">
        <v>22</v>
      </c>
      <c r="L65" s="15" t="s">
        <v>22</v>
      </c>
      <c r="S65" s="195" t="s">
        <v>285</v>
      </c>
      <c r="T65" s="196" t="s">
        <v>286</v>
      </c>
      <c r="U65" s="144" t="s">
        <v>287</v>
      </c>
      <c r="V65" s="197" t="s">
        <v>288</v>
      </c>
      <c r="W65" s="195" t="s">
        <v>285</v>
      </c>
      <c r="X65" s="196" t="s">
        <v>286</v>
      </c>
      <c r="Y65" s="144" t="s">
        <v>287</v>
      </c>
      <c r="Z65" s="197" t="s">
        <v>288</v>
      </c>
      <c r="AA65" s="196" t="s">
        <v>284</v>
      </c>
      <c r="AB65" s="198" t="s">
        <v>289</v>
      </c>
      <c r="AC65" s="198" t="s">
        <v>290</v>
      </c>
      <c r="AD65" s="195" t="s">
        <v>291</v>
      </c>
      <c r="AE65" s="196" t="s">
        <v>286</v>
      </c>
      <c r="AF65" s="144" t="s">
        <v>287</v>
      </c>
      <c r="AG65" s="197" t="s">
        <v>288</v>
      </c>
      <c r="AH65" s="196" t="s">
        <v>292</v>
      </c>
      <c r="AI65" s="144" t="s">
        <v>293</v>
      </c>
      <c r="AJ65" s="197" t="s">
        <v>294</v>
      </c>
      <c r="AK65" s="196" t="s">
        <v>295</v>
      </c>
      <c r="AL65" s="144" t="s">
        <v>296</v>
      </c>
      <c r="AM65" s="197" t="s">
        <v>297</v>
      </c>
      <c r="AN65" s="196" t="s">
        <v>298</v>
      </c>
      <c r="AO65" s="144" t="s">
        <v>299</v>
      </c>
      <c r="AP65" s="197" t="s">
        <v>300</v>
      </c>
      <c r="AQ65" s="196" t="s">
        <v>301</v>
      </c>
      <c r="AR65" s="144" t="s">
        <v>302</v>
      </c>
      <c r="AS65" s="197" t="s">
        <v>303</v>
      </c>
      <c r="AT65" s="144" t="s">
        <v>134</v>
      </c>
    </row>
    <row r="66" spans="1:46" s="1" customFormat="1" ht="15.5" x14ac:dyDescent="0.35">
      <c r="A66" s="75" t="s">
        <v>136</v>
      </c>
      <c r="C66" s="78"/>
      <c r="D66" s="72"/>
      <c r="E66" s="78"/>
      <c r="F66" s="72"/>
      <c r="G66" s="28"/>
      <c r="H66" s="78"/>
      <c r="I66" s="72"/>
      <c r="J66" s="78"/>
      <c r="K66" s="72"/>
      <c r="L66" s="77"/>
      <c r="S66" s="199">
        <f>SUM(C66*$H$56)</f>
        <v>0</v>
      </c>
      <c r="T66" s="1">
        <f>MAXA(0,(S66)/(0.82))</f>
        <v>0</v>
      </c>
      <c r="U66" s="1">
        <f>(T66)/2204.6</f>
        <v>0</v>
      </c>
      <c r="V66" s="11">
        <f>SUM(U66*$D$56)</f>
        <v>0</v>
      </c>
      <c r="W66" s="199">
        <f>SUM(C66*$H$57)</f>
        <v>0</v>
      </c>
      <c r="X66" s="1">
        <f>MAXA(0,(W66)/(0.28))</f>
        <v>0</v>
      </c>
      <c r="Y66" s="1">
        <f>(X66)/2204.6</f>
        <v>0</v>
      </c>
      <c r="Z66" s="11">
        <f>SUM(Y66*$D$57)</f>
        <v>0</v>
      </c>
      <c r="AA66" s="1">
        <f>SUM(AH66*0.11)</f>
        <v>0</v>
      </c>
      <c r="AB66" s="1">
        <f>SUM(AN66*0.205)</f>
        <v>0</v>
      </c>
      <c r="AC66" s="1">
        <f>SUM(AQ66*0.13)</f>
        <v>0</v>
      </c>
      <c r="AD66" s="1">
        <f>SUM(C66-(AA66+AB66+AC66+W66+S66))</f>
        <v>0</v>
      </c>
      <c r="AE66" s="1">
        <f>MAXA(0,(AD66)/(0.46))</f>
        <v>0</v>
      </c>
      <c r="AF66" s="1">
        <f>(AE66)/2204.6</f>
        <v>0</v>
      </c>
      <c r="AG66" s="11">
        <f>SUM(AF66*$D$55)</f>
        <v>0</v>
      </c>
      <c r="AH66" s="1">
        <f>MAXA(0,(E66-(AQ66*0.33))/0.52)</f>
        <v>0</v>
      </c>
      <c r="AI66" s="1">
        <f>(AH66)/2204.6</f>
        <v>0</v>
      </c>
      <c r="AJ66" s="11">
        <f>SUM(AI66*$D$58)</f>
        <v>0</v>
      </c>
      <c r="AK66" s="1">
        <f>SUM(H66/0.6)</f>
        <v>0</v>
      </c>
      <c r="AL66" s="1">
        <f>(AK66)/2204.6</f>
        <v>0</v>
      </c>
      <c r="AM66" s="11">
        <f>SUM(AL66*$D$59)</f>
        <v>0</v>
      </c>
      <c r="AN66" s="1">
        <f>MAXA(0,SUM(J66*$J$60)/0.24)</f>
        <v>0</v>
      </c>
      <c r="AO66" s="1">
        <f>(AN66)/2204.6</f>
        <v>0</v>
      </c>
      <c r="AP66" s="11">
        <f>SUM(AO66*$D$60)</f>
        <v>0</v>
      </c>
      <c r="AQ66" s="18">
        <f>MAXA(0,SUM(J66*$J$61)/0.15)</f>
        <v>0</v>
      </c>
      <c r="AR66" s="1">
        <f>(AQ66)/2204.6</f>
        <v>0</v>
      </c>
      <c r="AS66" s="11">
        <f>SUM(AR66*$D$61)</f>
        <v>0</v>
      </c>
    </row>
    <row r="67" spans="1:46" s="1" customFormat="1" ht="15.5" x14ac:dyDescent="0.35">
      <c r="B67" s="140" t="s">
        <v>224</v>
      </c>
      <c r="C67" s="76">
        <v>50</v>
      </c>
      <c r="D67" s="72">
        <f>IF(SUM($H$55:$H$57)&lt;&gt;100%,"ERROR",SUM(V67+Z67+AG67))</f>
        <v>44.373621952518249</v>
      </c>
      <c r="E67" s="76">
        <v>0</v>
      </c>
      <c r="F67" s="72">
        <f>AJ67</f>
        <v>0</v>
      </c>
      <c r="G67" s="28"/>
      <c r="H67" s="76">
        <v>0</v>
      </c>
      <c r="I67" s="72">
        <f>AM67</f>
        <v>0</v>
      </c>
      <c r="J67" s="76">
        <v>0</v>
      </c>
      <c r="K67" s="72">
        <f>IF(SUM($J$60:$J$61)&lt;&gt;100%,"ERROR",AP67+AS67)</f>
        <v>0</v>
      </c>
      <c r="L67" s="77">
        <f>D67+F67+I67+K67</f>
        <v>44.373621952518249</v>
      </c>
      <c r="S67" s="199">
        <f>SUM(C67*$H$56)</f>
        <v>0</v>
      </c>
      <c r="T67" s="1">
        <f>MAXA(0,(S67)/(0.82))</f>
        <v>0</v>
      </c>
      <c r="U67" s="1">
        <f>(T67)/2204.6</f>
        <v>0</v>
      </c>
      <c r="V67" s="11">
        <f>SUM(U67*$D$56)</f>
        <v>0</v>
      </c>
      <c r="W67" s="199">
        <f>SUM(C67*$H$57)</f>
        <v>0</v>
      </c>
      <c r="X67" s="1">
        <f>MAXA(0,(W67)/(0.28))</f>
        <v>0</v>
      </c>
      <c r="Y67" s="1">
        <f>(X67)/2204.6</f>
        <v>0</v>
      </c>
      <c r="Z67" s="11">
        <f>SUM(Y67*$D$57)</f>
        <v>0</v>
      </c>
      <c r="AA67" s="1">
        <f>SUM(AH67*0.11)</f>
        <v>0</v>
      </c>
      <c r="AB67" s="1">
        <f>SUM(AN67*0.205)</f>
        <v>0</v>
      </c>
      <c r="AC67" s="1">
        <f>SUM(AQ67*0.13)</f>
        <v>0</v>
      </c>
      <c r="AD67" s="1">
        <f>SUM(C67-(AA67+AB67+AC67+W67+S67))</f>
        <v>50</v>
      </c>
      <c r="AE67" s="1">
        <f>MAXA(0,(AD67)/(0.46))</f>
        <v>108.69565217391303</v>
      </c>
      <c r="AF67" s="1">
        <f>(AE67)/2204.6</f>
        <v>4.9304024391686942E-2</v>
      </c>
      <c r="AG67" s="11">
        <f>SUM(AF67*$D$55)</f>
        <v>44.373621952518249</v>
      </c>
      <c r="AH67" s="1">
        <f>MAXA(0,(E67-(AQ67*0.33))/0.52)</f>
        <v>0</v>
      </c>
      <c r="AI67" s="1">
        <f>(AH67)/2204.6</f>
        <v>0</v>
      </c>
      <c r="AJ67" s="11">
        <f>SUM(AI67*$D$58)</f>
        <v>0</v>
      </c>
      <c r="AK67" s="1">
        <f>SUM(H67/0.6)</f>
        <v>0</v>
      </c>
      <c r="AL67" s="1">
        <f>(AK67)/2204.6</f>
        <v>0</v>
      </c>
      <c r="AM67" s="11">
        <f>SUM(AL67*$D$59)</f>
        <v>0</v>
      </c>
      <c r="AN67" s="1">
        <f>MAXA(0,SUM(J67*$J$60)/0.24)</f>
        <v>0</v>
      </c>
      <c r="AO67" s="1">
        <f>(AN67)/2204.6</f>
        <v>0</v>
      </c>
      <c r="AP67" s="11">
        <f>SUM(AO67*$D$60)</f>
        <v>0</v>
      </c>
      <c r="AQ67" s="18">
        <f>MAXA(0,SUM(J67*$J$61)/0.15)</f>
        <v>0</v>
      </c>
      <c r="AR67" s="1">
        <f>(AQ67)/2204.6</f>
        <v>0</v>
      </c>
      <c r="AS67" s="11">
        <f>SUM(AR67*$D$61)</f>
        <v>0</v>
      </c>
    </row>
    <row r="68" spans="1:46" s="1" customFormat="1" ht="15.5" x14ac:dyDescent="0.35">
      <c r="B68" s="140" t="s">
        <v>139</v>
      </c>
      <c r="C68" s="76">
        <v>50</v>
      </c>
      <c r="D68" s="72">
        <f>IF(SUM($H$55:$H$57)&lt;&gt;100%,"ERROR",SUM(V68+Z68+AG68))</f>
        <v>23.616153606460436</v>
      </c>
      <c r="E68" s="76">
        <v>50</v>
      </c>
      <c r="F68" s="72">
        <f>AJ68</f>
        <v>54.518873125423063</v>
      </c>
      <c r="G68" s="28"/>
      <c r="H68" s="76">
        <v>30</v>
      </c>
      <c r="I68" s="72">
        <f>AM68</f>
        <v>14.741903293114397</v>
      </c>
      <c r="J68" s="76">
        <v>15</v>
      </c>
      <c r="K68" s="72">
        <f>IF(SUM($J$60:$J$61)&lt;&gt;100%,"ERROR",AP68+AS68)</f>
        <v>24.097341921436996</v>
      </c>
      <c r="L68" s="77">
        <f>D68+F68+I68+K68</f>
        <v>116.9742719464349</v>
      </c>
      <c r="S68" s="199">
        <f>SUM(C68*$H$56)</f>
        <v>0</v>
      </c>
      <c r="T68" s="1">
        <f>MAXA(0,(S68)/(0.82))</f>
        <v>0</v>
      </c>
      <c r="U68" s="1">
        <f>(T68)/2204.6</f>
        <v>0</v>
      </c>
      <c r="V68" s="11">
        <f>SUM(U68*$D$56)</f>
        <v>0</v>
      </c>
      <c r="W68" s="199">
        <f>SUM(C68*$H$57)</f>
        <v>0</v>
      </c>
      <c r="X68" s="1">
        <f>MAXA(0,(W68)/(0.28))</f>
        <v>0</v>
      </c>
      <c r="Y68" s="1">
        <f>(X68)/2204.6</f>
        <v>0</v>
      </c>
      <c r="Z68" s="11">
        <f>SUM(Y68*$D$57)</f>
        <v>0</v>
      </c>
      <c r="AA68" s="1">
        <f>SUM(AH68*0.11)</f>
        <v>10.576923076923077</v>
      </c>
      <c r="AB68" s="1">
        <f>SUM(AN68*0.205)</f>
        <v>12.8125</v>
      </c>
      <c r="AC68" s="1">
        <f>SUM(AQ68*0.13)</f>
        <v>0</v>
      </c>
      <c r="AD68" s="1">
        <f>SUM(C68-(AA68+AB68+AC68+W68+S68))</f>
        <v>26.610576923076923</v>
      </c>
      <c r="AE68" s="1">
        <f>MAXA(0,(AD68)/(0.46))</f>
        <v>57.849080267558527</v>
      </c>
      <c r="AF68" s="1">
        <f>(AE68)/2204.6</f>
        <v>2.6240170673844928E-2</v>
      </c>
      <c r="AG68" s="11">
        <f>SUM(AF68*$D$55)</f>
        <v>23.616153606460436</v>
      </c>
      <c r="AH68" s="1">
        <f>MAXA(0,(E68-(AQ68*0.33))/0.52)</f>
        <v>96.153846153846146</v>
      </c>
      <c r="AI68" s="1">
        <f>(AH68)/2204.6</f>
        <v>4.3615098500338449E-2</v>
      </c>
      <c r="AJ68" s="11">
        <f>SUM(AI68*$D$58)</f>
        <v>54.518873125423063</v>
      </c>
      <c r="AK68" s="1">
        <f>SUM(H68/0.6)</f>
        <v>50</v>
      </c>
      <c r="AL68" s="1">
        <f>(AK68)/2204.6</f>
        <v>2.2679851220175996E-2</v>
      </c>
      <c r="AM68" s="11">
        <f>SUM(AL68*$D$59)</f>
        <v>14.741903293114397</v>
      </c>
      <c r="AN68" s="1">
        <f>MAXA(0,SUM(J68*$J$60)/0.24)</f>
        <v>62.5</v>
      </c>
      <c r="AO68" s="1">
        <f>(AN68)/2204.6</f>
        <v>2.8349814025219997E-2</v>
      </c>
      <c r="AP68" s="11">
        <f>SUM(AO68*$D$60)</f>
        <v>24.097341921436996</v>
      </c>
      <c r="AQ68" s="18">
        <f>MAXA(0,SUM(J68*$J$61)/0.15)</f>
        <v>0</v>
      </c>
      <c r="AR68" s="1">
        <f>(AQ68)/2204.6</f>
        <v>0</v>
      </c>
      <c r="AS68" s="11">
        <f>SUM(AR68*$D$61)</f>
        <v>0</v>
      </c>
    </row>
    <row r="69" spans="1:46" s="1" customFormat="1" ht="15.5" x14ac:dyDescent="0.35">
      <c r="A69" s="74" t="s">
        <v>137</v>
      </c>
      <c r="C69" s="76">
        <v>0</v>
      </c>
      <c r="D69" s="72">
        <f>IF(SUM($H$55:$H$57)&lt;&gt;100%,"ERROR",SUM(V69+Z69+AG69))</f>
        <v>0</v>
      </c>
      <c r="E69" s="76">
        <v>0</v>
      </c>
      <c r="F69" s="72">
        <f>AJ69</f>
        <v>0</v>
      </c>
      <c r="G69" s="28"/>
      <c r="H69" s="76">
        <v>0</v>
      </c>
      <c r="I69" s="72">
        <f>AM69</f>
        <v>0</v>
      </c>
      <c r="J69" s="76">
        <v>0</v>
      </c>
      <c r="K69" s="72">
        <f>IF(SUM($J$60:$J$61)&lt;&gt;100%,"ERROR",AP69+AS69)</f>
        <v>0</v>
      </c>
      <c r="L69" s="77">
        <f>D69+F69+I69+K69</f>
        <v>0</v>
      </c>
      <c r="S69" s="199">
        <f>SUM(C69*$H$56)</f>
        <v>0</v>
      </c>
      <c r="T69" s="1">
        <f>MAXA(0,(S69)/(0.82))</f>
        <v>0</v>
      </c>
      <c r="U69" s="1">
        <f>(T69)/2204.6</f>
        <v>0</v>
      </c>
      <c r="V69" s="11">
        <f>SUM(U69*$D$56)</f>
        <v>0</v>
      </c>
      <c r="W69" s="199">
        <f>SUM(C69*$H$57)</f>
        <v>0</v>
      </c>
      <c r="X69" s="1">
        <f>MAXA(0,(W69)/(0.28))</f>
        <v>0</v>
      </c>
      <c r="Y69" s="1">
        <f>(X69)/2204.6</f>
        <v>0</v>
      </c>
      <c r="Z69" s="11">
        <f>SUM(Y69*$D$57)</f>
        <v>0</v>
      </c>
      <c r="AA69" s="1">
        <f>SUM(AH69*0.11)</f>
        <v>0</v>
      </c>
      <c r="AB69" s="1">
        <f>SUM(AN69*0.205)</f>
        <v>0</v>
      </c>
      <c r="AC69" s="1">
        <f>SUM(AQ69*0.13)</f>
        <v>0</v>
      </c>
      <c r="AD69" s="1">
        <f>SUM(C69-(AA69+AB69+AC69+W69+S69))</f>
        <v>0</v>
      </c>
      <c r="AE69" s="1">
        <f>MAXA(0,(AD69)/(0.46))</f>
        <v>0</v>
      </c>
      <c r="AF69" s="1">
        <f>(AE69)/2204.6</f>
        <v>0</v>
      </c>
      <c r="AG69" s="11">
        <f>SUM(AF69*$D$55)</f>
        <v>0</v>
      </c>
      <c r="AH69" s="1">
        <f>MAXA(0,(E69-(AQ69*0.33))/0.52)</f>
        <v>0</v>
      </c>
      <c r="AI69" s="1">
        <f>(AH69)/2204.6</f>
        <v>0</v>
      </c>
      <c r="AJ69" s="11">
        <f>SUM(AI69*$D$58)</f>
        <v>0</v>
      </c>
      <c r="AK69" s="1">
        <f>SUM(H69/0.6)</f>
        <v>0</v>
      </c>
      <c r="AL69" s="1">
        <f>(AK69)/2204.6</f>
        <v>0</v>
      </c>
      <c r="AM69" s="11">
        <f>SUM(AL69*$D$59)</f>
        <v>0</v>
      </c>
      <c r="AN69" s="1">
        <f>MAXA(0,SUM(J69*$J$60)/0.24)</f>
        <v>0</v>
      </c>
      <c r="AO69" s="1">
        <f>(AN69)/2204.6</f>
        <v>0</v>
      </c>
      <c r="AP69" s="11">
        <f>SUM(AO69*$D$60)</f>
        <v>0</v>
      </c>
      <c r="AQ69" s="18">
        <f>MAXA(0,SUM(J69*$J$61)/0.15)</f>
        <v>0</v>
      </c>
      <c r="AR69" s="1">
        <f>(AQ69)/2204.6</f>
        <v>0</v>
      </c>
      <c r="AS69" s="11">
        <f>SUM(AR69*$D$61)</f>
        <v>0</v>
      </c>
    </row>
    <row r="70" spans="1:46" s="1" customFormat="1" ht="15.5" x14ac:dyDescent="0.35">
      <c r="A70" s="74"/>
      <c r="C70" s="76"/>
      <c r="D70" s="72"/>
      <c r="E70" s="76"/>
      <c r="F70" s="72"/>
      <c r="G70" s="28"/>
      <c r="H70" s="76"/>
      <c r="I70" s="72"/>
      <c r="J70" s="76"/>
      <c r="K70" s="72"/>
      <c r="L70" s="77"/>
    </row>
    <row r="71" spans="1:46" ht="15.5" x14ac:dyDescent="0.35">
      <c r="A71" s="75" t="s">
        <v>165</v>
      </c>
      <c r="B71" s="64"/>
      <c r="E71" s="4">
        <v>80</v>
      </c>
      <c r="F71" s="1" t="s">
        <v>18</v>
      </c>
    </row>
    <row r="72" spans="1:46" ht="15.5" x14ac:dyDescent="0.35">
      <c r="A72" s="75" t="s">
        <v>177</v>
      </c>
      <c r="B72" s="64"/>
      <c r="E72" s="4">
        <v>0</v>
      </c>
      <c r="F72" s="1" t="s">
        <v>18</v>
      </c>
      <c r="H72" s="4"/>
      <c r="I72" s="1"/>
    </row>
    <row r="73" spans="1:46" ht="7.5" customHeight="1" x14ac:dyDescent="0.35">
      <c r="A73" s="75"/>
      <c r="B73" s="64"/>
      <c r="E73" s="4"/>
      <c r="F73" s="1"/>
      <c r="H73" s="4"/>
      <c r="I73" s="1"/>
    </row>
    <row r="74" spans="1:46" ht="15.5" x14ac:dyDescent="0.35">
      <c r="A74" s="75" t="s">
        <v>164</v>
      </c>
      <c r="B74" s="64"/>
      <c r="E74" s="7">
        <v>10</v>
      </c>
      <c r="F74" s="27" t="s">
        <v>6</v>
      </c>
      <c r="H74" s="7"/>
      <c r="I74" s="27"/>
    </row>
    <row r="75" spans="1:46" ht="7.5" customHeight="1" x14ac:dyDescent="0.25"/>
    <row r="76" spans="1:46" s="1" customFormat="1" ht="24" customHeight="1" x14ac:dyDescent="0.35">
      <c r="A76" s="312" t="s">
        <v>154</v>
      </c>
      <c r="B76" s="312"/>
      <c r="C76" s="312"/>
      <c r="D76" s="312"/>
      <c r="E76" s="312"/>
      <c r="F76" s="312"/>
      <c r="G76" s="312"/>
      <c r="H76" s="312"/>
      <c r="I76" s="312"/>
      <c r="J76" s="312"/>
      <c r="K76" s="312"/>
      <c r="L76" s="312"/>
      <c r="M76" s="4"/>
      <c r="N76" s="70"/>
    </row>
    <row r="77" spans="1:46" s="1" customFormat="1" ht="7.5" customHeight="1" x14ac:dyDescent="0.35">
      <c r="D77" s="4"/>
      <c r="E77" s="70"/>
      <c r="G77" s="4"/>
      <c r="H77" s="70"/>
      <c r="J77" s="4"/>
      <c r="K77" s="70"/>
      <c r="M77" s="4"/>
      <c r="N77" s="70"/>
      <c r="P77" s="73"/>
    </row>
    <row r="78" spans="1:46" s="1" customFormat="1" ht="15.5" x14ac:dyDescent="0.35">
      <c r="D78" s="17" t="s">
        <v>155</v>
      </c>
      <c r="E78" s="17" t="s">
        <v>159</v>
      </c>
      <c r="F78" s="17" t="s">
        <v>156</v>
      </c>
      <c r="H78" s="17" t="s">
        <v>7</v>
      </c>
      <c r="I78" s="3"/>
    </row>
    <row r="79" spans="1:46" s="1" customFormat="1" ht="15.5" x14ac:dyDescent="0.35">
      <c r="D79" s="17" t="s">
        <v>157</v>
      </c>
      <c r="E79" s="17" t="s">
        <v>160</v>
      </c>
      <c r="F79" s="17" t="s">
        <v>157</v>
      </c>
      <c r="H79" s="17" t="s">
        <v>146</v>
      </c>
      <c r="I79" s="3"/>
    </row>
    <row r="80" spans="1:46" s="1" customFormat="1" ht="15.5" x14ac:dyDescent="0.35">
      <c r="A80" s="12"/>
      <c r="D80" s="15" t="s">
        <v>22</v>
      </c>
      <c r="E80" s="15" t="s">
        <v>22</v>
      </c>
      <c r="F80" s="15" t="s">
        <v>22</v>
      </c>
      <c r="H80" s="15" t="s">
        <v>22</v>
      </c>
      <c r="I80" s="12"/>
    </row>
    <row r="81" spans="1:16" s="1" customFormat="1" ht="15.5" x14ac:dyDescent="0.35">
      <c r="A81" s="75" t="s">
        <v>136</v>
      </c>
      <c r="D81" s="86"/>
      <c r="E81" s="84"/>
      <c r="F81" s="84"/>
      <c r="H81" s="11"/>
      <c r="K81" s="87"/>
    </row>
    <row r="82" spans="1:16" s="1" customFormat="1" ht="15.5" x14ac:dyDescent="0.35">
      <c r="B82" s="60" t="s">
        <v>138</v>
      </c>
      <c r="D82" s="83">
        <v>0</v>
      </c>
      <c r="E82" s="7">
        <v>1</v>
      </c>
      <c r="F82" s="7">
        <v>0</v>
      </c>
      <c r="H82" s="11">
        <f>D82+E82+F82</f>
        <v>1</v>
      </c>
      <c r="K82" s="87"/>
    </row>
    <row r="83" spans="1:16" s="1" customFormat="1" ht="15.5" x14ac:dyDescent="0.35">
      <c r="B83" s="60" t="s">
        <v>139</v>
      </c>
      <c r="D83" s="83">
        <v>14</v>
      </c>
      <c r="E83" s="7">
        <v>0</v>
      </c>
      <c r="F83" s="7">
        <v>0</v>
      </c>
      <c r="H83" s="11">
        <f>D83+E83+F83</f>
        <v>14</v>
      </c>
      <c r="K83" s="87"/>
    </row>
    <row r="84" spans="1:16" s="1" customFormat="1" ht="15.5" x14ac:dyDescent="0.35">
      <c r="A84" s="74" t="s">
        <v>137</v>
      </c>
      <c r="D84" s="83">
        <v>0</v>
      </c>
      <c r="E84" s="7">
        <v>1</v>
      </c>
      <c r="F84" s="7">
        <v>0</v>
      </c>
      <c r="H84" s="11">
        <f>D84+E84+F84</f>
        <v>1</v>
      </c>
      <c r="K84" s="87"/>
    </row>
    <row r="85" spans="1:16" s="1" customFormat="1" ht="15.5" x14ac:dyDescent="0.35">
      <c r="A85" s="74"/>
      <c r="D85" s="83"/>
      <c r="E85" s="7"/>
      <c r="F85" s="7"/>
      <c r="H85" s="11"/>
      <c r="K85" s="87"/>
    </row>
    <row r="86" spans="1:16" ht="15.5" x14ac:dyDescent="0.35">
      <c r="A86" s="75" t="s">
        <v>178</v>
      </c>
      <c r="B86" s="64"/>
      <c r="E86" s="7">
        <v>8</v>
      </c>
      <c r="F86" s="27" t="s">
        <v>6</v>
      </c>
      <c r="H86" s="7"/>
      <c r="I86" s="27"/>
    </row>
    <row r="87" spans="1:16" s="1" customFormat="1" ht="7.5" customHeight="1" x14ac:dyDescent="0.35">
      <c r="D87" s="4"/>
      <c r="E87" s="70"/>
      <c r="G87" s="4"/>
      <c r="H87" s="70"/>
      <c r="J87" s="4"/>
      <c r="K87" s="70"/>
      <c r="M87" s="4"/>
      <c r="N87" s="70"/>
      <c r="P87" s="73"/>
    </row>
    <row r="88" spans="1:16" s="1" customFormat="1" ht="24" customHeight="1" x14ac:dyDescent="0.35">
      <c r="A88" s="312" t="s">
        <v>108</v>
      </c>
      <c r="B88" s="312"/>
      <c r="C88" s="312"/>
      <c r="D88" s="312"/>
      <c r="E88" s="312"/>
      <c r="F88" s="312"/>
      <c r="G88" s="312"/>
      <c r="H88" s="312"/>
      <c r="I88" s="312"/>
      <c r="J88" s="312"/>
      <c r="K88" s="312"/>
      <c r="L88" s="312"/>
    </row>
    <row r="89" spans="1:16" ht="7.5" customHeight="1" x14ac:dyDescent="0.25"/>
    <row r="90" spans="1:16" ht="15.5" x14ac:dyDescent="0.35">
      <c r="A90" s="3" t="s">
        <v>173</v>
      </c>
      <c r="B90" s="1"/>
      <c r="C90" s="1"/>
      <c r="D90" s="13"/>
      <c r="E90" s="59"/>
      <c r="F90" s="1"/>
      <c r="G90" s="1"/>
      <c r="H90" s="96"/>
      <c r="I90" s="1"/>
      <c r="J90" s="1"/>
    </row>
    <row r="91" spans="1:16" ht="15.5" x14ac:dyDescent="0.35">
      <c r="A91" s="2"/>
      <c r="B91" s="1" t="s">
        <v>175</v>
      </c>
      <c r="C91" s="1"/>
      <c r="D91" s="13"/>
      <c r="F91" s="59">
        <v>2</v>
      </c>
      <c r="G91" s="1" t="s">
        <v>4</v>
      </c>
      <c r="H91" s="96"/>
      <c r="I91" s="1"/>
      <c r="J91" s="1"/>
    </row>
    <row r="92" spans="1:16" ht="15.5" x14ac:dyDescent="0.35">
      <c r="A92" s="2"/>
      <c r="B92" s="1" t="s">
        <v>198</v>
      </c>
      <c r="C92" s="1"/>
      <c r="D92" s="13"/>
      <c r="E92" s="59"/>
      <c r="F92" s="59">
        <v>1</v>
      </c>
      <c r="G92" s="1" t="s">
        <v>4</v>
      </c>
      <c r="H92" s="96"/>
      <c r="I92" s="1"/>
      <c r="J92" s="1"/>
    </row>
    <row r="93" spans="1:16" ht="7.5" customHeight="1" x14ac:dyDescent="0.35">
      <c r="A93" s="2"/>
      <c r="B93" s="1"/>
      <c r="C93" s="1"/>
      <c r="D93" s="13"/>
      <c r="E93" s="59"/>
      <c r="F93" s="1"/>
      <c r="G93" s="1"/>
      <c r="H93" s="96"/>
      <c r="I93" s="1"/>
      <c r="J93" s="1"/>
    </row>
    <row r="94" spans="1:16" ht="15.5" x14ac:dyDescent="0.35">
      <c r="D94" s="311" t="s">
        <v>105</v>
      </c>
      <c r="E94" s="311"/>
      <c r="F94" s="311"/>
      <c r="G94" s="60"/>
      <c r="H94" s="311" t="s">
        <v>106</v>
      </c>
      <c r="I94" s="311"/>
      <c r="J94" s="311"/>
    </row>
    <row r="95" spans="1:16" ht="15.5" x14ac:dyDescent="0.35">
      <c r="A95" s="1"/>
      <c r="C95" s="1"/>
      <c r="E95" s="95" t="s">
        <v>2</v>
      </c>
      <c r="F95" s="95" t="s">
        <v>7</v>
      </c>
      <c r="G95" s="60"/>
      <c r="I95" s="95" t="s">
        <v>2</v>
      </c>
      <c r="J95" s="95" t="s">
        <v>7</v>
      </c>
    </row>
    <row r="96" spans="1:16" ht="15.5" x14ac:dyDescent="0.35">
      <c r="A96" s="3" t="s">
        <v>173</v>
      </c>
      <c r="B96" s="1"/>
      <c r="C96" s="1"/>
      <c r="D96" s="7"/>
      <c r="J96" s="1"/>
    </row>
    <row r="97" spans="1:15" ht="15.5" x14ac:dyDescent="0.35">
      <c r="A97" s="2"/>
      <c r="B97" s="1" t="s">
        <v>174</v>
      </c>
      <c r="C97" s="39"/>
      <c r="D97" s="13"/>
      <c r="E97" s="11">
        <f>SUM(F97/Input!E4)</f>
        <v>2.4596</v>
      </c>
      <c r="F97" s="11">
        <f>SUM(($F$91/100)*('Fixed Cost Input'!D29))</f>
        <v>393.536</v>
      </c>
      <c r="G97" s="1"/>
      <c r="I97" s="11">
        <f>SUM(J97/Input!H4)</f>
        <v>1.8588499999999999</v>
      </c>
      <c r="J97" s="11">
        <f>SUM(($F$91/100)*('Fixed Cost Input'!H29))</f>
        <v>297.416</v>
      </c>
    </row>
    <row r="98" spans="1:15" ht="15.5" x14ac:dyDescent="0.35">
      <c r="A98" s="2"/>
      <c r="B98" s="1" t="s">
        <v>195</v>
      </c>
      <c r="C98" s="1"/>
      <c r="D98" s="13"/>
      <c r="E98" s="11">
        <f>SUM(F98/Input!E4)</f>
        <v>0.5</v>
      </c>
      <c r="F98" s="11">
        <f>SUM(($F$92/100)*('Fixed Cost Input'!D27+'Fixed Cost Input'!D28))</f>
        <v>80</v>
      </c>
      <c r="G98" s="1"/>
      <c r="I98" s="11">
        <f>SUM(J98/Input!H4)</f>
        <v>0.5</v>
      </c>
      <c r="J98" s="11">
        <f>SUM(($F$92/100)*('Fixed Cost Input'!H27+'Fixed Cost Input'!H28))</f>
        <v>80</v>
      </c>
    </row>
    <row r="99" spans="1:15" ht="7.5" customHeight="1" x14ac:dyDescent="0.35">
      <c r="A99" s="2"/>
      <c r="B99" s="1"/>
      <c r="C99" s="1"/>
      <c r="D99" s="13"/>
      <c r="E99" s="11"/>
      <c r="F99" s="11"/>
      <c r="G99" s="1"/>
      <c r="I99" s="11"/>
      <c r="J99" s="11"/>
    </row>
    <row r="100" spans="1:15" ht="15.5" x14ac:dyDescent="0.35">
      <c r="A100" s="3" t="s">
        <v>166</v>
      </c>
      <c r="B100" s="1"/>
      <c r="C100" s="1"/>
      <c r="D100" s="13"/>
      <c r="E100" s="7">
        <v>10</v>
      </c>
      <c r="F100" s="8" t="s">
        <v>22</v>
      </c>
      <c r="G100" s="1"/>
      <c r="I100" s="7">
        <v>6</v>
      </c>
      <c r="J100" s="8" t="s">
        <v>22</v>
      </c>
    </row>
    <row r="101" spans="1:15" ht="15.5" x14ac:dyDescent="0.35">
      <c r="A101" s="3" t="s">
        <v>172</v>
      </c>
      <c r="B101" s="1"/>
      <c r="C101" s="1"/>
      <c r="D101" s="13"/>
      <c r="E101" s="7">
        <v>0</v>
      </c>
      <c r="F101" s="8" t="s">
        <v>22</v>
      </c>
      <c r="G101" s="1"/>
      <c r="I101" s="7">
        <v>0</v>
      </c>
      <c r="J101" s="8" t="s">
        <v>22</v>
      </c>
    </row>
    <row r="102" spans="1:15" ht="7.5" customHeight="1" x14ac:dyDescent="0.35">
      <c r="A102" s="3"/>
      <c r="B102" s="1"/>
      <c r="C102" s="1"/>
      <c r="D102" s="13"/>
      <c r="E102" s="7"/>
      <c r="F102" s="8"/>
      <c r="G102" s="1"/>
      <c r="H102" s="7"/>
      <c r="I102" s="8"/>
      <c r="J102" s="1"/>
    </row>
    <row r="103" spans="1:15" ht="15.5" x14ac:dyDescent="0.35">
      <c r="A103" s="3" t="s">
        <v>19</v>
      </c>
      <c r="B103" s="1"/>
      <c r="C103" s="1"/>
      <c r="D103" s="13"/>
      <c r="E103" s="59">
        <v>9</v>
      </c>
      <c r="F103" s="1" t="s">
        <v>4</v>
      </c>
      <c r="G103" s="1"/>
      <c r="H103" s="96"/>
      <c r="I103" s="1"/>
      <c r="J103" s="1"/>
    </row>
    <row r="104" spans="1:15" ht="7.5" customHeight="1" x14ac:dyDescent="0.35">
      <c r="A104" s="1"/>
      <c r="B104" s="1"/>
      <c r="C104" s="1"/>
      <c r="D104" s="13"/>
      <c r="E104" s="13"/>
      <c r="F104" s="37"/>
      <c r="G104" s="1"/>
      <c r="H104" s="13"/>
      <c r="I104" s="1"/>
      <c r="J104" s="1"/>
    </row>
    <row r="105" spans="1:15" s="1" customFormat="1" ht="24" customHeight="1" x14ac:dyDescent="0.35">
      <c r="A105" s="312" t="s">
        <v>169</v>
      </c>
      <c r="B105" s="312"/>
      <c r="C105" s="312"/>
      <c r="D105" s="312"/>
      <c r="E105" s="312"/>
      <c r="F105" s="312"/>
      <c r="G105" s="312"/>
      <c r="H105" s="312"/>
      <c r="I105" s="312"/>
      <c r="J105" s="312"/>
      <c r="K105" s="312"/>
      <c r="L105" s="312"/>
    </row>
    <row r="106" spans="1:15" ht="15.5" x14ac:dyDescent="0.35">
      <c r="A106" s="1"/>
      <c r="C106" s="1"/>
      <c r="D106" s="311" t="s">
        <v>105</v>
      </c>
      <c r="E106" s="311"/>
      <c r="F106" s="311"/>
      <c r="G106" s="60"/>
      <c r="H106" s="311" t="s">
        <v>109</v>
      </c>
      <c r="I106" s="311"/>
      <c r="J106" s="311"/>
    </row>
    <row r="107" spans="1:15" ht="15.5" x14ac:dyDescent="0.35">
      <c r="A107" s="322" t="s">
        <v>170</v>
      </c>
      <c r="B107" s="322"/>
      <c r="C107" s="1"/>
      <c r="E107" s="5">
        <v>0</v>
      </c>
      <c r="F107" s="1"/>
      <c r="G107" s="1"/>
      <c r="I107" s="5">
        <v>0</v>
      </c>
      <c r="J107" s="1"/>
    </row>
    <row r="108" spans="1:15" ht="15.5" x14ac:dyDescent="0.35">
      <c r="A108" s="1" t="s">
        <v>171</v>
      </c>
      <c r="C108" s="1"/>
      <c r="E108" s="7">
        <v>27</v>
      </c>
      <c r="F108" s="1"/>
      <c r="G108" s="1"/>
      <c r="I108" s="7">
        <v>27</v>
      </c>
      <c r="J108" s="1"/>
    </row>
    <row r="109" spans="1:15" ht="7.5" customHeight="1" x14ac:dyDescent="0.25"/>
    <row r="110" spans="1:15" s="1" customFormat="1" ht="24" customHeight="1" x14ac:dyDescent="0.35">
      <c r="A110" s="312" t="s">
        <v>208</v>
      </c>
      <c r="B110" s="312"/>
      <c r="C110" s="312"/>
      <c r="D110" s="312"/>
      <c r="E110" s="312"/>
      <c r="F110" s="312"/>
      <c r="G110" s="312"/>
      <c r="H110" s="312"/>
      <c r="I110" s="312"/>
      <c r="J110" s="312"/>
      <c r="K110" s="312"/>
      <c r="L110" s="312"/>
      <c r="M110"/>
      <c r="N110"/>
      <c r="O110"/>
    </row>
    <row r="111" spans="1:15" ht="7.5" customHeight="1" x14ac:dyDescent="0.35">
      <c r="A111" s="20"/>
      <c r="B111" s="2"/>
      <c r="E111" s="25"/>
      <c r="F111" s="1"/>
      <c r="G111" s="1"/>
      <c r="H111" s="25"/>
      <c r="I111" s="1"/>
      <c r="J111" s="1"/>
    </row>
    <row r="112" spans="1:15" s="1" customFormat="1" ht="15.5" x14ac:dyDescent="0.35">
      <c r="D112" s="80" t="s">
        <v>210</v>
      </c>
      <c r="F112" s="80" t="s">
        <v>145</v>
      </c>
      <c r="I112" s="80" t="s">
        <v>34</v>
      </c>
    </row>
    <row r="113" spans="1:10" s="1" customFormat="1" ht="15.5" x14ac:dyDescent="0.35">
      <c r="A113" s="81"/>
      <c r="D113" s="82" t="s">
        <v>147</v>
      </c>
      <c r="F113" s="82" t="s">
        <v>148</v>
      </c>
      <c r="I113" s="82" t="s">
        <v>147</v>
      </c>
    </row>
    <row r="114" spans="1:10" s="1" customFormat="1" ht="15.5" x14ac:dyDescent="0.35">
      <c r="A114" s="75" t="s">
        <v>136</v>
      </c>
      <c r="D114" s="25"/>
      <c r="F114" s="84"/>
      <c r="I114" s="73"/>
    </row>
    <row r="115" spans="1:10" s="1" customFormat="1" ht="15.5" x14ac:dyDescent="0.35">
      <c r="B115" s="60" t="s">
        <v>135</v>
      </c>
      <c r="D115" s="85">
        <v>1.5</v>
      </c>
      <c r="E115" s="1" t="s">
        <v>209</v>
      </c>
      <c r="F115" s="174">
        <v>0.04</v>
      </c>
      <c r="G115" s="1" t="s">
        <v>151</v>
      </c>
      <c r="I115" s="73">
        <f>ROUND(D115*2000*F115,2)</f>
        <v>120</v>
      </c>
      <c r="J115" s="60" t="s">
        <v>211</v>
      </c>
    </row>
  </sheetData>
  <sheetProtection password="C6A6" sheet="1" objects="1" scenarios="1"/>
  <mergeCells count="20">
    <mergeCell ref="A110:L110"/>
    <mergeCell ref="C63:K63"/>
    <mergeCell ref="C64:D64"/>
    <mergeCell ref="E64:F64"/>
    <mergeCell ref="H64:I64"/>
    <mergeCell ref="A107:B107"/>
    <mergeCell ref="A1:L1"/>
    <mergeCell ref="D106:F106"/>
    <mergeCell ref="H106:J106"/>
    <mergeCell ref="J64:K64"/>
    <mergeCell ref="A76:L76"/>
    <mergeCell ref="A88:L88"/>
    <mergeCell ref="D94:F94"/>
    <mergeCell ref="H94:J94"/>
    <mergeCell ref="A105:L105"/>
    <mergeCell ref="A30:L30"/>
    <mergeCell ref="D32:F32"/>
    <mergeCell ref="H32:J32"/>
    <mergeCell ref="A43:L43"/>
    <mergeCell ref="A52:L52"/>
  </mergeCells>
  <phoneticPr fontId="20" type="noConversion"/>
  <pageMargins left="0.74803149606299213" right="0.74803149606299213" top="0.98425196850393704" bottom="0.98425196850393704" header="0.51181102362204722" footer="0.51181102362204722"/>
  <pageSetup scale="65" firstPageNumber="5" fitToHeight="2" orientation="portrait" useFirstPageNumber="1" r:id="rId1"/>
  <headerFooter scaleWithDoc="0">
    <oddHeader>&amp;LGuidelines: Pasture Production Costs&amp;R&amp;P</oddHeader>
  </headerFooter>
  <rowBreaks count="1" manualBreakCount="1">
    <brk id="51"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T51"/>
  <sheetViews>
    <sheetView zoomScaleNormal="100" workbookViewId="0">
      <selection sqref="A1:L1"/>
    </sheetView>
  </sheetViews>
  <sheetFormatPr defaultColWidth="9.08984375" defaultRowHeight="12.5" x14ac:dyDescent="0.25"/>
  <cols>
    <col min="1" max="1" width="3.6328125" customWidth="1"/>
    <col min="2" max="2" width="20" customWidth="1"/>
    <col min="3" max="3" width="10.81640625" customWidth="1"/>
    <col min="4" max="5" width="11.54296875" customWidth="1"/>
    <col min="6" max="6" width="12.08984375" customWidth="1"/>
    <col min="7" max="7" width="4" customWidth="1"/>
    <col min="8" max="8" width="11.54296875" customWidth="1"/>
    <col min="9" max="10" width="12.08984375" customWidth="1"/>
    <col min="11" max="11" width="12.54296875" bestFit="1" customWidth="1"/>
    <col min="12" max="12" width="10.08984375" customWidth="1"/>
    <col min="13" max="13" width="8.81640625" customWidth="1"/>
    <col min="16" max="16" width="11" bestFit="1" customWidth="1"/>
  </cols>
  <sheetData>
    <row r="1" spans="1:20" s="1" customFormat="1" ht="24" customHeight="1" x14ac:dyDescent="0.35">
      <c r="A1" s="312" t="s">
        <v>246</v>
      </c>
      <c r="B1" s="312"/>
      <c r="C1" s="312"/>
      <c r="D1" s="312"/>
      <c r="E1" s="312"/>
      <c r="F1" s="312"/>
      <c r="G1" s="312"/>
      <c r="H1" s="312"/>
      <c r="I1" s="312"/>
      <c r="J1" s="312"/>
      <c r="K1" s="312"/>
      <c r="L1" s="312"/>
    </row>
    <row r="2" spans="1:20" ht="7.5" customHeight="1" x14ac:dyDescent="0.35">
      <c r="A2" s="1"/>
      <c r="C2" s="1"/>
      <c r="D2" s="13"/>
      <c r="E2" s="13"/>
      <c r="F2" s="1"/>
      <c r="G2" s="1"/>
      <c r="H2" s="13"/>
      <c r="I2" s="1"/>
      <c r="J2" s="1"/>
    </row>
    <row r="3" spans="1:20" ht="15.5" x14ac:dyDescent="0.35">
      <c r="A3" s="1"/>
      <c r="C3" s="1"/>
      <c r="D3" s="311" t="s">
        <v>105</v>
      </c>
      <c r="E3" s="311"/>
      <c r="F3" s="311"/>
      <c r="G3" s="60"/>
      <c r="H3" s="311" t="s">
        <v>106</v>
      </c>
      <c r="I3" s="311"/>
      <c r="J3" s="311"/>
    </row>
    <row r="4" spans="1:20" ht="15.5" x14ac:dyDescent="0.35">
      <c r="A4" s="143"/>
      <c r="D4" s="1"/>
      <c r="E4" s="3">
        <f>Input!E4</f>
        <v>160</v>
      </c>
      <c r="F4" s="1" t="s">
        <v>20</v>
      </c>
      <c r="I4" s="3">
        <f>Input!H4</f>
        <v>160</v>
      </c>
      <c r="J4" s="1" t="s">
        <v>20</v>
      </c>
    </row>
    <row r="5" spans="1:20" ht="15.5" x14ac:dyDescent="0.35">
      <c r="A5" s="1"/>
      <c r="C5" s="1"/>
      <c r="E5" s="95" t="s">
        <v>2</v>
      </c>
      <c r="F5" s="95" t="s">
        <v>7</v>
      </c>
      <c r="G5" s="60"/>
      <c r="I5" s="95" t="s">
        <v>2</v>
      </c>
      <c r="J5" s="95" t="s">
        <v>7</v>
      </c>
      <c r="R5" s="144"/>
      <c r="S5" s="144"/>
      <c r="T5" s="144"/>
    </row>
    <row r="6" spans="1:20" ht="15.5" x14ac:dyDescent="0.35">
      <c r="A6" s="1" t="s">
        <v>205</v>
      </c>
      <c r="C6" s="1"/>
      <c r="D6" s="13"/>
      <c r="E6" s="26">
        <f>F6/Input!E4</f>
        <v>1875</v>
      </c>
      <c r="F6" s="19">
        <v>300000</v>
      </c>
      <c r="G6" s="1"/>
      <c r="H6" s="13"/>
      <c r="I6" s="26">
        <f>J6/Input!H4</f>
        <v>843.75</v>
      </c>
      <c r="J6" s="19">
        <v>135000</v>
      </c>
    </row>
    <row r="7" spans="1:20" ht="7.5" customHeight="1" x14ac:dyDescent="0.35">
      <c r="A7" s="1"/>
      <c r="C7" s="1"/>
      <c r="D7" s="13"/>
      <c r="E7" s="13"/>
      <c r="F7" s="1"/>
      <c r="G7" s="1"/>
      <c r="H7" s="13"/>
      <c r="I7" s="1"/>
      <c r="J7" s="1"/>
    </row>
    <row r="8" spans="1:20" ht="15.5" x14ac:dyDescent="0.35">
      <c r="A8" s="144" t="s">
        <v>233</v>
      </c>
      <c r="B8" s="144"/>
      <c r="E8" s="71">
        <v>0.75</v>
      </c>
      <c r="G8" s="144"/>
      <c r="H8" s="144"/>
      <c r="I8" s="71">
        <v>0.75</v>
      </c>
    </row>
    <row r="9" spans="1:20" ht="15.5" x14ac:dyDescent="0.35">
      <c r="A9" s="144" t="s">
        <v>234</v>
      </c>
      <c r="B9" s="144"/>
      <c r="E9" s="152">
        <f>SUM(1-E8)</f>
        <v>0.25</v>
      </c>
      <c r="G9" s="144"/>
      <c r="H9" s="144"/>
      <c r="I9" s="152">
        <f>SUM(1-I8)</f>
        <v>0.25</v>
      </c>
    </row>
    <row r="10" spans="1:20" ht="15.5" x14ac:dyDescent="0.35">
      <c r="A10" s="144" t="s">
        <v>235</v>
      </c>
      <c r="B10" s="1"/>
      <c r="E10" s="153">
        <v>0</v>
      </c>
      <c r="G10" s="144"/>
      <c r="H10" s="144"/>
      <c r="I10" s="153">
        <v>0</v>
      </c>
    </row>
    <row r="11" spans="1:20" ht="7.5" customHeight="1" x14ac:dyDescent="0.35">
      <c r="A11" s="144"/>
      <c r="B11" s="1"/>
      <c r="E11" s="153"/>
      <c r="G11" s="144"/>
      <c r="H11" s="144"/>
      <c r="I11" s="153"/>
    </row>
    <row r="12" spans="1:20" ht="15.5" x14ac:dyDescent="0.35">
      <c r="A12" s="143" t="s">
        <v>238</v>
      </c>
      <c r="B12" s="144"/>
      <c r="F12" s="144"/>
      <c r="G12" s="144"/>
      <c r="H12" s="143"/>
      <c r="I12" s="144"/>
      <c r="J12" s="144"/>
    </row>
    <row r="13" spans="1:20" ht="15.5" x14ac:dyDescent="0.35">
      <c r="A13" s="144" t="s">
        <v>228</v>
      </c>
      <c r="D13" s="145">
        <v>0.06</v>
      </c>
      <c r="E13" s="146">
        <v>25</v>
      </c>
      <c r="F13" s="144" t="s">
        <v>229</v>
      </c>
      <c r="H13" s="145">
        <v>0.06</v>
      </c>
      <c r="I13" s="146">
        <v>25</v>
      </c>
      <c r="J13" s="144" t="s">
        <v>229</v>
      </c>
    </row>
    <row r="14" spans="1:20" ht="15.5" x14ac:dyDescent="0.35">
      <c r="A14" s="144" t="s">
        <v>230</v>
      </c>
      <c r="B14" s="144"/>
      <c r="E14" s="147">
        <f>-PMT(D13,E13,E6*E9,0)</f>
        <v>36.66877416200343</v>
      </c>
      <c r="F14" s="155">
        <f>SUM(E14*$E$4)</f>
        <v>5867.0038659205493</v>
      </c>
      <c r="G14" s="144"/>
      <c r="H14" s="144"/>
      <c r="I14" s="147">
        <f>-PMT(H13,I13,I6*I9,0)</f>
        <v>16.500948372901544</v>
      </c>
      <c r="J14" s="155">
        <f>SUM(I14*$I$4)</f>
        <v>2640.1517396642471</v>
      </c>
    </row>
    <row r="15" spans="1:20" ht="15.5" x14ac:dyDescent="0.35">
      <c r="A15" s="144" t="s">
        <v>231</v>
      </c>
      <c r="B15" s="144"/>
      <c r="E15" s="148">
        <f>SUM(E6*E8)*(E10)</f>
        <v>0</v>
      </c>
      <c r="F15" s="156">
        <f>SUM(E15*$E$4)</f>
        <v>0</v>
      </c>
      <c r="H15" s="144"/>
      <c r="I15" s="148">
        <f>SUM(I6*I8)*(I10)</f>
        <v>0</v>
      </c>
      <c r="J15" s="156">
        <f>SUM(I15*$I$4)</f>
        <v>0</v>
      </c>
    </row>
    <row r="16" spans="1:20" ht="15.5" x14ac:dyDescent="0.35">
      <c r="A16" s="149" t="s">
        <v>232</v>
      </c>
      <c r="B16" s="144"/>
      <c r="E16" s="91">
        <f>SUM(E14:E15)</f>
        <v>36.66877416200343</v>
      </c>
      <c r="F16" s="157">
        <f>SUM(F14:F15)</f>
        <v>5867.0038659205493</v>
      </c>
      <c r="G16" s="144"/>
      <c r="H16" s="149"/>
      <c r="I16" s="91">
        <f>SUM(I14:I15)</f>
        <v>16.500948372901544</v>
      </c>
      <c r="J16" s="157">
        <f>SUM(J14:J15)</f>
        <v>2640.1517396642471</v>
      </c>
    </row>
    <row r="17" spans="1:13" ht="15.5" x14ac:dyDescent="0.35">
      <c r="A17" s="149"/>
      <c r="B17" s="144"/>
      <c r="E17" s="91"/>
      <c r="F17" s="157"/>
      <c r="G17" s="144"/>
      <c r="H17" s="149"/>
      <c r="I17" s="91"/>
      <c r="J17" s="157"/>
    </row>
    <row r="18" spans="1:13" ht="15.5" x14ac:dyDescent="0.35">
      <c r="A18" s="90" t="s">
        <v>266</v>
      </c>
      <c r="C18" s="1"/>
      <c r="D18" s="13"/>
      <c r="E18" s="91">
        <f>Summary!E39</f>
        <v>1.4094100000000003</v>
      </c>
      <c r="F18" s="1" t="s">
        <v>245</v>
      </c>
      <c r="G18" s="1"/>
      <c r="H18" s="13"/>
      <c r="I18" s="91">
        <f>Summary!I39</f>
        <v>1.3553074602314814</v>
      </c>
      <c r="J18" s="1" t="s">
        <v>245</v>
      </c>
      <c r="L18" s="60"/>
    </row>
    <row r="19" spans="1:13" ht="15.5" x14ac:dyDescent="0.35">
      <c r="A19" s="1" t="s">
        <v>239</v>
      </c>
      <c r="C19" s="1"/>
      <c r="D19" s="1"/>
      <c r="E19" s="26">
        <f>'Fixed Cost Input'!F6/Input!E8</f>
        <v>3191.4893617021276</v>
      </c>
      <c r="F19" s="1" t="s">
        <v>6</v>
      </c>
      <c r="G19" s="1"/>
      <c r="I19" s="26">
        <f>'Fixed Cost Input'!J6/Input!H8</f>
        <v>4218.75</v>
      </c>
      <c r="J19" s="1" t="s">
        <v>6</v>
      </c>
      <c r="K19" s="149"/>
      <c r="M19" s="60"/>
    </row>
    <row r="20" spans="1:13" ht="15.5" x14ac:dyDescent="0.35">
      <c r="A20" s="1"/>
      <c r="C20" s="1"/>
      <c r="D20" s="1"/>
      <c r="E20" s="26"/>
      <c r="F20" s="1"/>
      <c r="G20" s="1"/>
      <c r="I20" s="26"/>
      <c r="J20" s="1"/>
      <c r="K20" s="149"/>
      <c r="M20" s="60"/>
    </row>
    <row r="21" spans="1:13" ht="15.5" x14ac:dyDescent="0.35">
      <c r="A21" s="1"/>
      <c r="C21" s="1"/>
      <c r="D21" s="1"/>
      <c r="E21" s="26"/>
      <c r="F21" s="1"/>
      <c r="G21" s="1"/>
      <c r="I21" s="26"/>
      <c r="J21" s="1"/>
      <c r="K21" s="149"/>
      <c r="M21" s="60"/>
    </row>
    <row r="22" spans="1:13" s="1" customFormat="1" ht="24" customHeight="1" x14ac:dyDescent="0.35">
      <c r="A22" s="312" t="s">
        <v>167</v>
      </c>
      <c r="B22" s="312"/>
      <c r="C22" s="312"/>
      <c r="D22" s="312"/>
      <c r="E22" s="312"/>
      <c r="F22" s="312"/>
      <c r="G22" s="312"/>
      <c r="H22" s="312"/>
      <c r="I22" s="312"/>
      <c r="J22" s="312"/>
      <c r="K22" s="312"/>
      <c r="L22" s="312"/>
    </row>
    <row r="23" spans="1:13" ht="7.5" customHeight="1" x14ac:dyDescent="0.35">
      <c r="A23" s="1"/>
      <c r="C23" s="1"/>
      <c r="D23" s="13"/>
      <c r="E23" s="13"/>
      <c r="F23" s="1"/>
      <c r="G23" s="1"/>
      <c r="H23" s="13"/>
      <c r="I23" s="1"/>
      <c r="J23" s="1"/>
    </row>
    <row r="24" spans="1:13" ht="15.5" x14ac:dyDescent="0.35">
      <c r="A24" s="1"/>
      <c r="C24" s="1"/>
      <c r="D24" s="311" t="s">
        <v>105</v>
      </c>
      <c r="E24" s="311"/>
      <c r="F24" s="311"/>
      <c r="G24" s="60"/>
      <c r="H24" s="311" t="s">
        <v>106</v>
      </c>
      <c r="I24" s="311"/>
      <c r="J24" s="311"/>
    </row>
    <row r="25" spans="1:13" ht="20" x14ac:dyDescent="0.4">
      <c r="A25" s="12"/>
      <c r="B25" s="15"/>
      <c r="C25" s="15"/>
      <c r="E25" s="17" t="s">
        <v>33</v>
      </c>
      <c r="F25" s="17" t="s">
        <v>16</v>
      </c>
      <c r="I25" s="17" t="s">
        <v>33</v>
      </c>
      <c r="J25" s="17" t="s">
        <v>16</v>
      </c>
      <c r="K25" s="93"/>
    </row>
    <row r="26" spans="1:13" ht="15.5" x14ac:dyDescent="0.35">
      <c r="A26" s="12" t="s">
        <v>167</v>
      </c>
      <c r="D26" s="15" t="s">
        <v>34</v>
      </c>
      <c r="E26" s="15" t="s">
        <v>46</v>
      </c>
      <c r="F26" s="15" t="s">
        <v>45</v>
      </c>
      <c r="G26" s="1"/>
      <c r="H26" s="15" t="s">
        <v>34</v>
      </c>
      <c r="I26" s="15" t="s">
        <v>46</v>
      </c>
      <c r="J26" s="15" t="s">
        <v>45</v>
      </c>
    </row>
    <row r="27" spans="1:13" ht="15.5" x14ac:dyDescent="0.35">
      <c r="A27" s="2" t="s">
        <v>32</v>
      </c>
      <c r="C27" s="21"/>
      <c r="D27" s="19">
        <v>8000</v>
      </c>
      <c r="E27" s="6">
        <v>20</v>
      </c>
      <c r="F27" s="92">
        <v>0</v>
      </c>
      <c r="G27" s="14"/>
      <c r="H27" s="19">
        <v>8000</v>
      </c>
      <c r="I27" s="6">
        <v>20</v>
      </c>
      <c r="J27" s="92">
        <v>0</v>
      </c>
    </row>
    <row r="28" spans="1:13" ht="15.5" x14ac:dyDescent="0.35">
      <c r="A28" s="2" t="s">
        <v>37</v>
      </c>
      <c r="C28" s="40"/>
      <c r="D28" s="19">
        <v>0</v>
      </c>
      <c r="E28" s="4">
        <v>20</v>
      </c>
      <c r="F28" s="4">
        <v>0</v>
      </c>
      <c r="G28" s="1"/>
      <c r="H28" s="19">
        <v>0</v>
      </c>
      <c r="I28" s="4">
        <v>20</v>
      </c>
      <c r="J28" s="4">
        <v>0</v>
      </c>
    </row>
    <row r="29" spans="1:13" ht="15.5" x14ac:dyDescent="0.35">
      <c r="A29" s="1" t="s">
        <v>190</v>
      </c>
      <c r="C29" s="106"/>
      <c r="D29" s="98">
        <f>K48</f>
        <v>19676.8</v>
      </c>
      <c r="E29" s="97">
        <v>20</v>
      </c>
      <c r="F29" s="97">
        <v>0</v>
      </c>
      <c r="G29" s="1"/>
      <c r="H29" s="98">
        <f>L48</f>
        <v>14870.8</v>
      </c>
      <c r="I29" s="97">
        <v>20</v>
      </c>
      <c r="J29" s="97">
        <v>0</v>
      </c>
    </row>
    <row r="30" spans="1:13" ht="15.5" x14ac:dyDescent="0.35">
      <c r="A30" s="3" t="s">
        <v>168</v>
      </c>
      <c r="C30" s="21"/>
      <c r="D30" s="26">
        <f>SUM(D27:D29)</f>
        <v>27676.799999999999</v>
      </c>
      <c r="E30" s="99">
        <f>SUM(E27:E29)/3</f>
        <v>20</v>
      </c>
      <c r="F30" s="99">
        <f>SUM(F27:F29)/3</f>
        <v>0</v>
      </c>
      <c r="G30" s="14"/>
      <c r="H30" s="26">
        <f>SUM(H27:H29)</f>
        <v>22870.799999999999</v>
      </c>
      <c r="I30" s="99">
        <f>SUM(I27:I29)/3</f>
        <v>20</v>
      </c>
      <c r="J30" s="99">
        <f>SUM(J27:J29)/3</f>
        <v>0</v>
      </c>
    </row>
    <row r="31" spans="1:13" ht="15" customHeight="1" x14ac:dyDescent="0.35">
      <c r="A31" s="2"/>
      <c r="C31" s="21"/>
      <c r="D31" s="23"/>
      <c r="E31" s="24"/>
      <c r="F31" s="22"/>
      <c r="G31" s="14"/>
      <c r="H31" s="23"/>
      <c r="I31" s="24"/>
      <c r="J31" s="22"/>
    </row>
    <row r="32" spans="1:13" ht="15.5" x14ac:dyDescent="0.35">
      <c r="A32" s="3" t="s">
        <v>5</v>
      </c>
      <c r="B32" s="1"/>
      <c r="C32" s="1"/>
      <c r="D32" s="13"/>
      <c r="E32" s="59">
        <v>2.5</v>
      </c>
      <c r="F32" s="1" t="s">
        <v>4</v>
      </c>
      <c r="G32" s="1"/>
      <c r="H32" s="59"/>
      <c r="I32" s="1"/>
      <c r="J32" s="1"/>
    </row>
    <row r="33" spans="1:20" ht="7.5" customHeight="1" x14ac:dyDescent="0.35">
      <c r="A33" s="16"/>
      <c r="B33" s="16"/>
      <c r="C33" s="16"/>
      <c r="D33" s="16"/>
      <c r="E33" s="16"/>
      <c r="F33" s="16"/>
      <c r="G33" s="16"/>
      <c r="H33" s="16"/>
      <c r="I33" s="16"/>
      <c r="J33" s="16"/>
      <c r="K33" s="16"/>
      <c r="L33" s="13"/>
    </row>
    <row r="34" spans="1:20" ht="15.5" x14ac:dyDescent="0.35">
      <c r="A34" s="1"/>
      <c r="C34" s="1"/>
      <c r="E34" s="95" t="s">
        <v>2</v>
      </c>
      <c r="F34" s="95" t="s">
        <v>7</v>
      </c>
      <c r="G34" s="60"/>
      <c r="I34" s="95" t="s">
        <v>2</v>
      </c>
      <c r="J34" s="95" t="s">
        <v>7</v>
      </c>
      <c r="R34" s="144"/>
      <c r="S34" s="144"/>
      <c r="T34" s="144"/>
    </row>
    <row r="35" spans="1:20" ht="15.5" x14ac:dyDescent="0.35">
      <c r="A35" s="90" t="str">
        <f>"Other Capital Investment Cost @ "&amp;E32&amp;"%"</f>
        <v>Other Capital Investment Cost @ 2.5%</v>
      </c>
      <c r="B35" s="90"/>
      <c r="E35" s="91">
        <f>SUM(F35/Input!E4)</f>
        <v>2.1622499999999998</v>
      </c>
      <c r="F35" s="91">
        <f>ROUND((((D30+((F30/100)*D30))/2)*($E$32/100)),2)</f>
        <v>345.96</v>
      </c>
      <c r="I35" s="91">
        <f>SUM(J35/Input!H4)</f>
        <v>1.7868124999999999</v>
      </c>
      <c r="J35" s="91">
        <f>ROUND((((H30+((J30/100)*H30))/2)*($E$32/100)),2)</f>
        <v>285.89</v>
      </c>
      <c r="K35" s="16"/>
      <c r="L35" s="13"/>
    </row>
    <row r="36" spans="1:20" ht="15.5" x14ac:dyDescent="0.35">
      <c r="A36" s="90" t="s">
        <v>176</v>
      </c>
      <c r="C36" s="1"/>
      <c r="D36" s="13"/>
      <c r="E36" s="91">
        <f>SUM(F36/Input!E4)</f>
        <v>8.6489999999999991</v>
      </c>
      <c r="F36" s="91">
        <f>ROUND(((D30-((F30/100)*D30))/E30),2)</f>
        <v>1383.84</v>
      </c>
      <c r="G36" s="1"/>
      <c r="H36" s="13"/>
      <c r="I36" s="91">
        <f>SUM(J36/Input!H4)</f>
        <v>7.147125</v>
      </c>
      <c r="J36" s="91">
        <f>ROUND(((H30-((J30/100)*H30))/I30),2)</f>
        <v>1143.54</v>
      </c>
      <c r="L36" s="60"/>
    </row>
    <row r="37" spans="1:20" ht="15.5" x14ac:dyDescent="0.35">
      <c r="A37" s="90"/>
      <c r="C37" s="1"/>
      <c r="D37" s="13"/>
      <c r="E37" s="91"/>
      <c r="F37" s="91"/>
      <c r="G37" s="1"/>
      <c r="H37" s="13"/>
      <c r="I37" s="91"/>
      <c r="J37" s="91"/>
      <c r="L37" s="60"/>
    </row>
    <row r="38" spans="1:20" ht="15.5" x14ac:dyDescent="0.35">
      <c r="A38" s="90"/>
      <c r="C38" s="1"/>
      <c r="D38" s="13"/>
      <c r="E38" s="91"/>
      <c r="F38" s="94"/>
      <c r="G38" s="1"/>
      <c r="H38" s="13"/>
      <c r="I38" s="91"/>
      <c r="J38" s="94"/>
    </row>
    <row r="39" spans="1:20" s="1" customFormat="1" ht="24" customHeight="1" x14ac:dyDescent="0.35">
      <c r="A39" s="312" t="s">
        <v>96</v>
      </c>
      <c r="B39" s="312"/>
      <c r="C39" s="312"/>
      <c r="D39" s="312"/>
      <c r="E39" s="312"/>
      <c r="F39" s="312"/>
      <c r="G39" s="312"/>
      <c r="H39" s="312"/>
      <c r="I39" s="312"/>
      <c r="J39" s="312"/>
      <c r="K39" s="312"/>
      <c r="L39" s="312"/>
    </row>
    <row r="40" spans="1:20" ht="15.5" x14ac:dyDescent="0.35">
      <c r="A40" s="90"/>
      <c r="C40" s="1"/>
      <c r="D40" s="13"/>
      <c r="E40" s="91"/>
      <c r="F40" s="94"/>
      <c r="G40" s="1"/>
      <c r="H40" s="13"/>
      <c r="I40" s="91"/>
      <c r="J40" s="94"/>
    </row>
    <row r="41" spans="1:20" ht="27" customHeight="1" x14ac:dyDescent="0.35">
      <c r="A41" s="90"/>
      <c r="C41" s="1"/>
      <c r="E41" s="323" t="s">
        <v>182</v>
      </c>
      <c r="F41" s="323"/>
      <c r="G41" s="1"/>
      <c r="H41" s="324" t="s">
        <v>186</v>
      </c>
      <c r="I41" s="324"/>
      <c r="J41" s="324"/>
      <c r="K41" s="325" t="s">
        <v>188</v>
      </c>
      <c r="L41" s="325" t="s">
        <v>189</v>
      </c>
    </row>
    <row r="42" spans="1:20" ht="27" customHeight="1" x14ac:dyDescent="0.35">
      <c r="A42" s="90"/>
      <c r="C42" s="1"/>
      <c r="D42" s="103"/>
      <c r="E42" s="105" t="s">
        <v>136</v>
      </c>
      <c r="F42" s="105" t="s">
        <v>137</v>
      </c>
      <c r="G42" s="1"/>
      <c r="H42" s="100" t="s">
        <v>183</v>
      </c>
      <c r="I42" s="101" t="s">
        <v>184</v>
      </c>
      <c r="J42" s="102" t="s">
        <v>185</v>
      </c>
      <c r="K42" s="326"/>
      <c r="L42" s="326"/>
    </row>
    <row r="43" spans="1:20" ht="15.5" x14ac:dyDescent="0.35">
      <c r="A43" s="90" t="s">
        <v>225</v>
      </c>
      <c r="C43" s="1"/>
      <c r="D43" s="13"/>
      <c r="E43" s="59">
        <v>2</v>
      </c>
      <c r="F43" s="59">
        <v>2</v>
      </c>
      <c r="G43" s="1"/>
      <c r="H43" s="278">
        <v>5147</v>
      </c>
      <c r="I43" s="278">
        <v>1118</v>
      </c>
      <c r="J43" s="278">
        <v>1170.4000000000001</v>
      </c>
      <c r="K43" s="26">
        <f>SUM(H43:J43)*E43</f>
        <v>14870.8</v>
      </c>
      <c r="L43" s="26">
        <f>SUM(H43:J43)*F43</f>
        <v>14870.8</v>
      </c>
    </row>
    <row r="44" spans="1:20" ht="15.5" x14ac:dyDescent="0.35">
      <c r="A44" s="90" t="s">
        <v>179</v>
      </c>
      <c r="C44" s="1"/>
      <c r="D44" s="13"/>
      <c r="E44" s="59">
        <v>0</v>
      </c>
      <c r="F44" s="59">
        <v>0</v>
      </c>
      <c r="G44" s="1"/>
      <c r="H44" s="278">
        <v>2510</v>
      </c>
      <c r="I44" s="278">
        <v>500</v>
      </c>
      <c r="J44" s="278">
        <v>490</v>
      </c>
      <c r="K44" s="26">
        <f>SUM(H44:J44)*E44</f>
        <v>0</v>
      </c>
      <c r="L44" s="26">
        <f>SUM(H44:J44)*F44</f>
        <v>0</v>
      </c>
    </row>
    <row r="45" spans="1:20" ht="15.5" x14ac:dyDescent="0.35">
      <c r="A45" s="90" t="s">
        <v>180</v>
      </c>
      <c r="C45" s="1"/>
      <c r="D45" s="13"/>
      <c r="E45" s="59">
        <v>0</v>
      </c>
      <c r="F45" s="59">
        <v>0</v>
      </c>
      <c r="G45" s="1"/>
      <c r="H45" s="278">
        <v>1993</v>
      </c>
      <c r="I45" s="278">
        <v>412</v>
      </c>
      <c r="J45" s="278">
        <v>435</v>
      </c>
      <c r="K45" s="26">
        <f>SUM(H45:J45)*E45</f>
        <v>0</v>
      </c>
      <c r="L45" s="26">
        <f>SUM(H45:J45)*F45</f>
        <v>0</v>
      </c>
    </row>
    <row r="46" spans="1:20" ht="15.5" x14ac:dyDescent="0.35">
      <c r="A46" s="90" t="s">
        <v>217</v>
      </c>
      <c r="C46" s="1"/>
      <c r="D46" s="13"/>
      <c r="E46" s="59">
        <v>2</v>
      </c>
      <c r="F46" s="59">
        <v>0</v>
      </c>
      <c r="G46" s="1"/>
      <c r="H46" s="278">
        <v>1625</v>
      </c>
      <c r="I46" s="278">
        <v>370</v>
      </c>
      <c r="J46" s="278">
        <v>408</v>
      </c>
      <c r="K46" s="26">
        <f>SUM(H46:J46)*E46</f>
        <v>4806</v>
      </c>
      <c r="L46" s="26">
        <f>SUM(H46:J46)*F46</f>
        <v>0</v>
      </c>
    </row>
    <row r="47" spans="1:20" ht="15.5" x14ac:dyDescent="0.35">
      <c r="A47" s="90" t="s">
        <v>181</v>
      </c>
      <c r="C47" s="1"/>
      <c r="D47" s="13"/>
      <c r="E47" s="59">
        <v>0</v>
      </c>
      <c r="F47" s="59">
        <v>0</v>
      </c>
      <c r="G47" s="1"/>
      <c r="H47" s="278">
        <v>9259</v>
      </c>
      <c r="I47" s="278">
        <v>2344</v>
      </c>
      <c r="J47" s="278">
        <v>2320</v>
      </c>
      <c r="K47" s="98">
        <f>SUM(H47:J47)*E47</f>
        <v>0</v>
      </c>
      <c r="L47" s="98">
        <f>SUM(H47:J47)*F47</f>
        <v>0</v>
      </c>
    </row>
    <row r="48" spans="1:20" ht="15.5" x14ac:dyDescent="0.35">
      <c r="A48" s="90"/>
      <c r="C48" s="1"/>
      <c r="D48" s="13"/>
      <c r="E48" s="91"/>
      <c r="F48" s="94"/>
      <c r="G48" s="1"/>
      <c r="H48" s="13"/>
      <c r="I48" s="91"/>
      <c r="J48" s="104" t="s">
        <v>7</v>
      </c>
      <c r="K48" s="26">
        <f>SUM(K43:K47)</f>
        <v>19676.8</v>
      </c>
      <c r="L48" s="26">
        <f>SUM(L43:L47)</f>
        <v>14870.8</v>
      </c>
    </row>
    <row r="49" spans="1:12" ht="15.5" x14ac:dyDescent="0.35">
      <c r="A49" s="90"/>
      <c r="C49" s="1"/>
      <c r="D49" s="13"/>
      <c r="E49" s="91"/>
      <c r="F49" s="94"/>
      <c r="G49" s="1"/>
      <c r="H49" s="13"/>
      <c r="I49" s="91"/>
      <c r="J49" s="104"/>
      <c r="K49" s="26"/>
    </row>
    <row r="50" spans="1:12" ht="15.75" customHeight="1" x14ac:dyDescent="0.3">
      <c r="A50" s="114" t="s">
        <v>187</v>
      </c>
      <c r="B50" s="79"/>
      <c r="C50" s="115"/>
      <c r="D50" s="115"/>
      <c r="E50" s="79"/>
      <c r="F50" s="79"/>
      <c r="G50" s="79"/>
      <c r="H50" s="79"/>
      <c r="I50" s="79"/>
      <c r="J50" s="79"/>
      <c r="K50" s="79"/>
      <c r="L50" s="79"/>
    </row>
    <row r="51" spans="1:12" ht="15.5" x14ac:dyDescent="0.35">
      <c r="A51" s="1"/>
      <c r="C51" s="1"/>
      <c r="D51" s="13"/>
      <c r="E51" s="13"/>
      <c r="F51" s="1"/>
      <c r="G51" s="1"/>
      <c r="H51" s="13"/>
      <c r="I51" s="1"/>
      <c r="J51" s="1"/>
    </row>
  </sheetData>
  <sheetProtection algorithmName="SHA-512" hashValue="fhfzLx87+uRTd1ZQcKyrtESFzs9kfLZ38Av5Kb0Jry7XwwxGfUqy00ZQGEaRU135JSnSKzJHAsUKRpzgM01bpQ==" saltValue="XR6l83kIuZMtczUJOiqLFA==" spinCount="100000" sheet="1" objects="1" scenarios="1"/>
  <mergeCells count="11">
    <mergeCell ref="A39:L39"/>
    <mergeCell ref="E41:F41"/>
    <mergeCell ref="H41:J41"/>
    <mergeCell ref="K41:K42"/>
    <mergeCell ref="L41:L42"/>
    <mergeCell ref="H24:J24"/>
    <mergeCell ref="A22:L22"/>
    <mergeCell ref="D3:F3"/>
    <mergeCell ref="H3:J3"/>
    <mergeCell ref="A1:L1"/>
    <mergeCell ref="D24:F24"/>
  </mergeCells>
  <pageMargins left="0.74803149606299213" right="0.74803149606299213" top="0.98425196850393704" bottom="0.98425196850393704" header="0.51181102362204722" footer="0.51181102362204722"/>
  <pageSetup scale="67" firstPageNumber="7" orientation="portrait" useFirstPageNumber="1" r:id="rId1"/>
  <headerFooter scaleWithDoc="0">
    <oddHeader>&amp;LGuidelines: Pasture Production Costs&amp;R&amp;P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1">
    <pageSetUpPr fitToPage="1"/>
  </sheetPr>
  <dimension ref="A1:Q63"/>
  <sheetViews>
    <sheetView showGridLines="0" zoomScaleNormal="100" workbookViewId="0">
      <selection sqref="A1:H1"/>
    </sheetView>
  </sheetViews>
  <sheetFormatPr defaultColWidth="11.453125" defaultRowHeight="15.5" x14ac:dyDescent="0.25"/>
  <cols>
    <col min="1" max="1" width="3.81640625" style="41" customWidth="1"/>
    <col min="2" max="2" width="27.08984375" style="41" customWidth="1"/>
    <col min="3" max="3" width="8.81640625" style="41" customWidth="1"/>
    <col min="4" max="6" width="11.453125" style="41"/>
    <col min="7" max="7" width="11.453125" style="41" customWidth="1"/>
    <col min="8" max="8" width="18" style="41" customWidth="1"/>
    <col min="9" max="9" width="4.81640625" style="41" customWidth="1"/>
    <col min="10" max="16384" width="11.453125" style="41"/>
  </cols>
  <sheetData>
    <row r="1" spans="1:8" ht="20" x14ac:dyDescent="0.25">
      <c r="A1" s="327" t="s">
        <v>202</v>
      </c>
      <c r="B1" s="327"/>
      <c r="C1" s="327"/>
      <c r="D1" s="327"/>
      <c r="E1" s="327"/>
      <c r="F1" s="327"/>
      <c r="G1" s="327"/>
      <c r="H1" s="327"/>
    </row>
    <row r="2" spans="1:8" ht="7.5" customHeight="1" x14ac:dyDescent="0.25">
      <c r="A2" s="116"/>
    </row>
    <row r="3" spans="1:8" ht="15" customHeight="1" x14ac:dyDescent="0.25">
      <c r="A3" s="116"/>
      <c r="B3" s="117" t="s">
        <v>212</v>
      </c>
    </row>
    <row r="4" spans="1:8" ht="15" customHeight="1" x14ac:dyDescent="0.25">
      <c r="A4" s="116"/>
      <c r="B4" s="300" t="str">
        <f>"Includes:   (eg. ($"&amp;TEXT(Input!F39,"0.00")&amp;" custom land preparation + $"&amp;TEXT(Input!I48,"0.00")&amp;" grass seed + $"&amp;TEXT(Input!I49,"0.00")&amp;" oat nurse crop seed + $"&amp;TEXT(Input!L68,"0.00")&amp;" est. fertilizer + $"&amp;TEXT(Input!E74,"0.00")&amp;" custom fertilizer applic. + $"&amp;TEXT(Input!H83,"0.00")&amp;" est. herbicide + $"&amp;TEXT(Input!E86,"0.00")&amp;" custom herbicide applic. - $"&amp;TEXT(Input!I115,"0.00")&amp;" greenfeed forage value) / "&amp;Input!E41&amp;" productive years = $"&amp;TEXT(Summary!C15,"0.00")&amp;" cost per acre annually)"</f>
        <v>Includes:   (eg. ($133.00 custom land preparation + $42.50 grass seed + $11.25 oat nurse crop seed + $116.97 est. fertilizer + $10.00 custom fertilizer applic. + $14.00 est. herbicide + $8.00 custom herbicide applic. - $120.00 greenfeed forage value) / 10 productive years = $21.57 cost per acre annually)</v>
      </c>
      <c r="C4" s="300"/>
      <c r="D4" s="300"/>
      <c r="E4" s="300"/>
      <c r="F4" s="300"/>
      <c r="G4" s="300"/>
      <c r="H4" s="300"/>
    </row>
    <row r="5" spans="1:8" ht="15" customHeight="1" x14ac:dyDescent="0.25">
      <c r="A5" s="116"/>
      <c r="B5" s="300"/>
      <c r="C5" s="300"/>
      <c r="D5" s="300"/>
      <c r="E5" s="300"/>
      <c r="F5" s="300"/>
      <c r="G5" s="300"/>
      <c r="H5" s="300"/>
    </row>
    <row r="6" spans="1:8" ht="15" customHeight="1" x14ac:dyDescent="0.25">
      <c r="A6" s="116"/>
      <c r="B6" s="300"/>
      <c r="C6" s="300"/>
      <c r="D6" s="300"/>
      <c r="E6" s="300"/>
      <c r="F6" s="300"/>
      <c r="G6" s="300"/>
      <c r="H6" s="300"/>
    </row>
    <row r="7" spans="1:8" ht="7.5" customHeight="1" x14ac:dyDescent="0.25">
      <c r="A7" s="116"/>
    </row>
    <row r="8" spans="1:8" x14ac:dyDescent="0.25">
      <c r="A8" s="116"/>
      <c r="B8" s="117" t="s">
        <v>213</v>
      </c>
    </row>
    <row r="9" spans="1:8" ht="15" customHeight="1" x14ac:dyDescent="0.25">
      <c r="A9" s="116"/>
      <c r="B9" s="41" t="str">
        <f>"Assumes "&amp;Input!F91&amp;"% of fence value for annual maintenance &amp; repair."</f>
        <v>Assumes 2% of fence value for annual maintenance &amp; repair.</v>
      </c>
    </row>
    <row r="10" spans="1:8" ht="15" customHeight="1" x14ac:dyDescent="0.25">
      <c r="A10" s="116"/>
      <c r="B10" s="113" t="str">
        <f>"  (eg. ($"&amp;TEXT('Fixed Cost Input'!D29,"#,###")&amp;" total fence cost x "&amp;Input!F91&amp;"% annual repair cost) / "&amp;Input!E4&amp;" pasture acres = $"&amp;TEXT(Summary!C18,"0.00")&amp;" cost per acre)"</f>
        <v xml:space="preserve">  (eg. ($19,677 total fence cost x 2% annual repair cost) / 160 pasture acres = $2.46 cost per acre)</v>
      </c>
    </row>
    <row r="11" spans="1:8" ht="7.5" customHeight="1" x14ac:dyDescent="0.25">
      <c r="A11" s="116"/>
    </row>
    <row r="12" spans="1:8" x14ac:dyDescent="0.25">
      <c r="A12" s="116"/>
      <c r="B12" s="117" t="s">
        <v>214</v>
      </c>
    </row>
    <row r="13" spans="1:8" ht="15" customHeight="1" x14ac:dyDescent="0.25">
      <c r="A13" s="116"/>
      <c r="B13" s="41" t="str">
        <f>"Assumes "&amp;Input!F92&amp;"% of other capital costs for annual maintenance &amp; repair."</f>
        <v>Assumes 1% of other capital costs for annual maintenance &amp; repair.</v>
      </c>
    </row>
    <row r="14" spans="1:8" ht="15" customHeight="1" x14ac:dyDescent="0.25">
      <c r="A14" s="116"/>
      <c r="B14" s="113" t="str">
        <f>"  (eg. ($"&amp;TEXT('Fixed Cost Input'!D27+'Fixed Cost Input'!D28,"#,###")&amp;" total facilites cost x "&amp;Input!F92&amp;"% annual repair cost) / "&amp;Input!E4&amp;" pasture acres = $"&amp;TEXT(Summary!C19,"0.00")&amp;" cost per acre)"</f>
        <v xml:space="preserve">  (eg. ($8,000 total facilites cost x 1% annual repair cost) / 160 pasture acres = $0.50 cost per acre)</v>
      </c>
    </row>
    <row r="15" spans="1:8" ht="7.5" customHeight="1" x14ac:dyDescent="0.25">
      <c r="A15" s="116"/>
    </row>
    <row r="16" spans="1:8" x14ac:dyDescent="0.25">
      <c r="A16" s="116"/>
      <c r="B16" s="117" t="s">
        <v>206</v>
      </c>
    </row>
    <row r="17" spans="1:12" ht="15.75" customHeight="1" x14ac:dyDescent="0.25">
      <c r="B17" s="329" t="s">
        <v>207</v>
      </c>
      <c r="C17" s="330"/>
      <c r="D17" s="330"/>
      <c r="E17" s="330"/>
      <c r="F17" s="330"/>
      <c r="G17" s="330"/>
    </row>
    <row r="18" spans="1:12" x14ac:dyDescent="0.25">
      <c r="B18" s="330"/>
      <c r="C18" s="330"/>
      <c r="D18" s="330"/>
      <c r="E18" s="330"/>
      <c r="F18" s="330"/>
      <c r="G18" s="330"/>
    </row>
    <row r="19" spans="1:12" ht="7.5" customHeight="1" x14ac:dyDescent="0.25"/>
    <row r="20" spans="1:12" x14ac:dyDescent="0.25">
      <c r="A20" s="116"/>
      <c r="B20" s="117" t="s">
        <v>203</v>
      </c>
    </row>
    <row r="21" spans="1:12" ht="15" customHeight="1" x14ac:dyDescent="0.25">
      <c r="A21" s="116"/>
      <c r="B21" s="328" t="str">
        <f>"The average for the province was based on land tax assessment and mill rates of a sample of municipalities with pasture less provincial tax rebate. "</f>
        <v xml:space="preserve">The average for the province was based on land tax assessment and mill rates of a sample of municipalities with pasture less provincial tax rebate. </v>
      </c>
      <c r="C21" s="328"/>
      <c r="D21" s="328"/>
      <c r="E21" s="328"/>
      <c r="F21" s="328"/>
      <c r="G21" s="328"/>
      <c r="H21" s="328"/>
    </row>
    <row r="22" spans="1:12" x14ac:dyDescent="0.25">
      <c r="A22" s="116"/>
      <c r="B22" s="328"/>
      <c r="C22" s="328"/>
      <c r="D22" s="328"/>
      <c r="E22" s="328"/>
      <c r="F22" s="328"/>
      <c r="G22" s="328"/>
      <c r="H22" s="328"/>
    </row>
    <row r="23" spans="1:12" ht="7.5" customHeight="1" x14ac:dyDescent="0.25">
      <c r="A23" s="116"/>
    </row>
    <row r="24" spans="1:12" ht="15" customHeight="1" x14ac:dyDescent="0.25">
      <c r="A24" s="116"/>
      <c r="B24" s="117" t="s">
        <v>204</v>
      </c>
    </row>
    <row r="25" spans="1:12" x14ac:dyDescent="0.25">
      <c r="B25" s="41" t="str">
        <f>"Interest charges on operating costs are calculated at "&amp;Input!E103&amp;"% for six months."</f>
        <v>Interest charges on operating costs are calculated at 9% for six months.</v>
      </c>
    </row>
    <row r="26" spans="1:12" ht="7.5" customHeight="1" x14ac:dyDescent="0.25">
      <c r="A26" s="116"/>
    </row>
    <row r="27" spans="1:12" x14ac:dyDescent="0.25">
      <c r="A27" s="116"/>
      <c r="B27" s="117" t="s">
        <v>242</v>
      </c>
    </row>
    <row r="28" spans="1:12" ht="15.75" customHeight="1" x14ac:dyDescent="0.25">
      <c r="B28" s="328" t="str">
        <f>"Based on approximate average pasture values.  Budget assumed improved pasture "&amp;'Fixed Cost Input'!E9*100&amp;"% financed at "&amp;'Fixed Cost Input'!D13*100&amp;"% for "&amp;'Fixed Cost Input'!E13&amp;" years, plus "&amp;'Fixed Cost Input'!E10*100&amp;"% land equity opportunity cost and unimproved pasture "&amp;'Fixed Cost Input'!I9*100&amp;"% financed at "&amp;'Fixed Cost Input'!H13*100&amp;"% for "&amp;'Fixed Cost Input'!I13&amp;" years, plus "&amp;'Fixed Cost Input'!I10*100&amp;"% land equity opportunity cost. Budget can be used to estimate cashflow by removing investment cost."</f>
        <v>Based on approximate average pasture values.  Budget assumed improved pasture 25% financed at 6% for 25 years, plus 0% land equity opportunity cost and unimproved pasture 25% financed at 6% for 25 years, plus 0% land equity opportunity cost. Budget can be used to estimate cashflow by removing investment cost.</v>
      </c>
      <c r="C28" s="328"/>
      <c r="D28" s="328"/>
      <c r="E28" s="328"/>
      <c r="F28" s="328"/>
      <c r="G28" s="328"/>
      <c r="H28" s="328"/>
      <c r="I28" s="159"/>
      <c r="J28" s="159"/>
      <c r="K28" s="159"/>
      <c r="L28" s="159"/>
    </row>
    <row r="29" spans="1:12" ht="15.75" customHeight="1" x14ac:dyDescent="0.25">
      <c r="B29" s="328"/>
      <c r="C29" s="328"/>
      <c r="D29" s="328"/>
      <c r="E29" s="328"/>
      <c r="F29" s="328"/>
      <c r="G29" s="328"/>
      <c r="H29" s="328"/>
      <c r="I29" s="159"/>
      <c r="J29" s="159"/>
      <c r="K29" s="159"/>
      <c r="L29" s="159"/>
    </row>
    <row r="30" spans="1:12" ht="15.75" customHeight="1" x14ac:dyDescent="0.25">
      <c r="B30" s="328"/>
      <c r="C30" s="328"/>
      <c r="D30" s="328"/>
      <c r="E30" s="328"/>
      <c r="F30" s="328"/>
      <c r="G30" s="328"/>
      <c r="H30" s="328"/>
      <c r="I30" s="159"/>
      <c r="J30" s="159"/>
      <c r="K30" s="159"/>
      <c r="L30" s="159"/>
    </row>
    <row r="31" spans="1:12" ht="15.75" customHeight="1" x14ac:dyDescent="0.25">
      <c r="A31" s="159"/>
      <c r="B31" s="328"/>
      <c r="C31" s="328"/>
      <c r="D31" s="328"/>
      <c r="E31" s="328"/>
      <c r="F31" s="328"/>
      <c r="G31" s="328"/>
      <c r="H31" s="328"/>
      <c r="I31" s="159"/>
      <c r="J31" s="159"/>
      <c r="K31" s="159"/>
      <c r="L31" s="159"/>
    </row>
    <row r="32" spans="1:12" s="164" customFormat="1" ht="12.75" customHeight="1" x14ac:dyDescent="0.35">
      <c r="B32" s="167" t="s">
        <v>249</v>
      </c>
      <c r="C32" s="163"/>
      <c r="D32" s="163"/>
      <c r="E32" s="163"/>
      <c r="F32" s="163"/>
      <c r="G32" s="163"/>
      <c r="H32" s="163"/>
      <c r="I32" s="163"/>
      <c r="J32" s="163"/>
      <c r="K32" s="163"/>
      <c r="L32" s="163"/>
    </row>
    <row r="33" spans="1:12" s="164" customFormat="1" ht="12.75" customHeight="1" x14ac:dyDescent="0.35">
      <c r="B33" s="162" t="str">
        <f>" Improved Pasture (based on "&amp;TEXT('Fixed Cost Input'!F6*'Fixed Cost Input'!E9,"$#,###")&amp;" Mortgage) = $"&amp;TEXT('Fixed Cost Input'!F14,"#,###")&amp;" payment per year) / "&amp;'Fixed Cost Input'!E4&amp;" acres = $"&amp;TEXT('Fixed Cost Input'!E14,"0.00")&amp;"/acre"</f>
        <v xml:space="preserve"> Improved Pasture (based on $75,000 Mortgage) = $5,867 payment per year) / 160 acres = $36.67/acre</v>
      </c>
      <c r="C33" s="163"/>
      <c r="D33" s="163"/>
      <c r="E33" s="163"/>
      <c r="F33" s="163"/>
      <c r="G33" s="163"/>
      <c r="H33" s="163"/>
      <c r="I33" s="163"/>
      <c r="J33" s="163"/>
      <c r="K33" s="163"/>
      <c r="L33" s="163"/>
    </row>
    <row r="34" spans="1:12" s="164" customFormat="1" ht="12.75" customHeight="1" x14ac:dyDescent="0.35">
      <c r="B34" s="162" t="str">
        <f>" Unimproved Pasture (based on "&amp;TEXT('Fixed Cost Input'!J6*'Fixed Cost Input'!I9,"$#,###")&amp;" Mortgage) = $"&amp;TEXT('Fixed Cost Input'!J14,"#,###")&amp;" payment per year) / "&amp;'Fixed Cost Input'!I4&amp;" acres = $"&amp;TEXT('Fixed Cost Input'!I14,"0.00")&amp;"/acre"</f>
        <v xml:space="preserve"> Unimproved Pasture (based on $33,750 Mortgage) = $2,640 payment per year) / 160 acres = $16.50/acre</v>
      </c>
      <c r="C34" s="163"/>
      <c r="D34" s="163"/>
      <c r="E34" s="163"/>
      <c r="F34" s="163"/>
      <c r="G34" s="163"/>
      <c r="H34" s="163"/>
      <c r="I34" s="163"/>
      <c r="J34" s="163"/>
      <c r="K34" s="163"/>
      <c r="L34" s="163"/>
    </row>
    <row r="35" spans="1:12" s="164" customFormat="1" ht="12.75" customHeight="1" x14ac:dyDescent="0.35">
      <c r="B35" s="167" t="s">
        <v>250</v>
      </c>
      <c r="C35" s="166"/>
      <c r="D35" s="166"/>
      <c r="E35" s="166"/>
      <c r="F35" s="166"/>
      <c r="G35" s="166"/>
      <c r="H35" s="166"/>
      <c r="I35" s="166"/>
      <c r="J35" s="166"/>
      <c r="K35" s="166"/>
      <c r="L35" s="166"/>
    </row>
    <row r="36" spans="1:12" s="164" customFormat="1" ht="12.75" customHeight="1" x14ac:dyDescent="0.35">
      <c r="B36" s="165" t="str">
        <f>" Improved Pasture = (Total Inv. x Owned Equity %) x Inv. Rate %  (eg. (($"&amp;TEXT('Fixed Cost Input'!E6,"#,###")&amp;" x "&amp;'Fixed Cost Input'!E8*100&amp;"%) x "&amp;'Fixed Cost Input'!E10*100&amp;"%) = $"&amp;TEXT('Fixed Cost Input'!E15,"0.00")&amp;"/acre"</f>
        <v xml:space="preserve"> Improved Pasture = (Total Inv. x Owned Equity %) x Inv. Rate %  (eg. (($1,875 x 75%) x 0%) = $0.00/acre</v>
      </c>
      <c r="C36" s="166"/>
      <c r="D36" s="166"/>
      <c r="E36" s="166"/>
      <c r="F36" s="166"/>
      <c r="G36" s="166"/>
      <c r="H36" s="166"/>
      <c r="I36" s="166"/>
      <c r="J36" s="166"/>
      <c r="K36" s="166"/>
      <c r="L36" s="166"/>
    </row>
    <row r="37" spans="1:12" s="164" customFormat="1" ht="12.75" customHeight="1" x14ac:dyDescent="0.35">
      <c r="B37" s="165" t="str">
        <f>" Unimproved Pasture = (Total Inv. x Owned Equity %) x Inv. Rate %  (eg. (($"&amp;TEXT('Fixed Cost Input'!I6,"#,###")&amp;" x "&amp;'Fixed Cost Input'!I8*100&amp;"%) x "&amp;'Fixed Cost Input'!I10*100&amp;"%) = $"&amp;TEXT('Fixed Cost Input'!I15,"0.00")&amp;"/acre"</f>
        <v xml:space="preserve"> Unimproved Pasture = (Total Inv. x Owned Equity %) x Inv. Rate %  (eg. (($844 x 75%) x 0%) = $0.00/acre</v>
      </c>
      <c r="C37" s="166"/>
      <c r="D37" s="166"/>
      <c r="E37" s="166"/>
      <c r="F37" s="166"/>
      <c r="G37" s="166"/>
      <c r="H37" s="166"/>
      <c r="I37" s="166"/>
      <c r="J37" s="166"/>
      <c r="K37" s="166"/>
      <c r="L37" s="166"/>
    </row>
    <row r="38" spans="1:12" ht="7.5" customHeight="1" x14ac:dyDescent="0.25">
      <c r="A38" s="116"/>
    </row>
    <row r="39" spans="1:12" x14ac:dyDescent="0.25">
      <c r="A39" s="116"/>
      <c r="B39" s="117" t="s">
        <v>215</v>
      </c>
    </row>
    <row r="40" spans="1:12" x14ac:dyDescent="0.25">
      <c r="A40" s="116"/>
      <c r="B40" s="41" t="s">
        <v>248</v>
      </c>
    </row>
    <row r="41" spans="1:12" x14ac:dyDescent="0.25">
      <c r="A41" s="116"/>
      <c r="B41" s="41" t="str">
        <f>"                                                         2"</f>
        <v xml:space="preserve">                                                         2</v>
      </c>
    </row>
    <row r="42" spans="1:12" s="164" customFormat="1" ht="12.75" customHeight="1" x14ac:dyDescent="0.35">
      <c r="B42" s="167" t="s">
        <v>251</v>
      </c>
      <c r="C42" s="163"/>
      <c r="D42" s="163"/>
      <c r="E42" s="163"/>
      <c r="F42" s="163"/>
      <c r="G42" s="163"/>
      <c r="H42" s="163"/>
      <c r="I42" s="163"/>
      <c r="J42" s="163"/>
      <c r="K42" s="163"/>
      <c r="L42" s="163"/>
    </row>
    <row r="43" spans="1:12" ht="15" customHeight="1" x14ac:dyDescent="0.25">
      <c r="A43" s="116"/>
      <c r="B43" s="168" t="str">
        <f>" Improved Pasture: ((($"&amp;TEXT('Fixed Cost Input'!D30,"#,###")&amp;" + $"&amp;TEXT('Fixed Cost Input'!D30*('Fixed Cost Input'!F30/100),"0.00")&amp;") / 2) x "&amp;'Fixed Cost Input'!E32&amp;"% investment rate) / "&amp;Input!E4&amp;" acres = $"&amp;TEXT('Fixed Cost Input'!E35,"0.00")&amp;" cost per acre"</f>
        <v xml:space="preserve"> Improved Pasture: ((($27,677 + $0.00) / 2) x 2.5% investment rate) / 160 acres = $2.16 cost per acre</v>
      </c>
      <c r="C43" s="168"/>
      <c r="D43" s="168"/>
      <c r="E43" s="168"/>
      <c r="F43" s="168"/>
      <c r="G43" s="168"/>
      <c r="H43" s="168"/>
    </row>
    <row r="44" spans="1:12" ht="15" customHeight="1" x14ac:dyDescent="0.25">
      <c r="A44" s="116"/>
      <c r="B44" s="168" t="str">
        <f>" Unimproved Pasture: ((($"&amp;TEXT('Fixed Cost Input'!H30,"#,###")&amp;" + $"&amp;TEXT('Fixed Cost Input'!H30*('Fixed Cost Input'!F31/100),"0.00")&amp;") / 2) x "&amp;'Fixed Cost Input'!E32&amp;"% investment rate) / "&amp;'Fixed Cost Input'!I4&amp;" acres = $"&amp;TEXT('Fixed Cost Input'!I35,"0.00")&amp;" cost per acre"</f>
        <v xml:space="preserve"> Unimproved Pasture: ((($22,871 + $0.00) / 2) x 2.5% investment rate) / 160 acres = $1.79 cost per acre</v>
      </c>
      <c r="C44" s="168"/>
      <c r="D44" s="168"/>
      <c r="E44" s="168"/>
      <c r="F44" s="168"/>
      <c r="G44" s="168"/>
      <c r="H44" s="168"/>
    </row>
    <row r="45" spans="1:12" ht="7.5" customHeight="1" x14ac:dyDescent="0.25">
      <c r="A45" s="116"/>
    </row>
    <row r="46" spans="1:12" x14ac:dyDescent="0.25">
      <c r="A46" s="116"/>
      <c r="B46" s="117" t="s">
        <v>218</v>
      </c>
    </row>
    <row r="47" spans="1:12" x14ac:dyDescent="0.25">
      <c r="A47" s="116"/>
      <c r="B47" s="41" t="s">
        <v>247</v>
      </c>
    </row>
    <row r="48" spans="1:12" x14ac:dyDescent="0.25">
      <c r="A48" s="116"/>
      <c r="B48" s="41" t="str">
        <f>"                                                      Useful Life"</f>
        <v xml:space="preserve">                                                      Useful Life</v>
      </c>
    </row>
    <row r="49" spans="1:17" s="164" customFormat="1" ht="12.75" customHeight="1" x14ac:dyDescent="0.35">
      <c r="B49" s="167" t="s">
        <v>252</v>
      </c>
      <c r="C49" s="163"/>
      <c r="D49" s="163"/>
      <c r="E49" s="163"/>
      <c r="F49" s="163"/>
      <c r="G49" s="163"/>
      <c r="H49" s="163"/>
      <c r="I49" s="163"/>
      <c r="J49" s="163"/>
      <c r="K49" s="163"/>
      <c r="L49" s="163"/>
    </row>
    <row r="50" spans="1:17" ht="12.75" customHeight="1" x14ac:dyDescent="0.25">
      <c r="A50" s="116"/>
      <c r="B50" s="168" t="str">
        <f>"  Improved Pasture:  (($"&amp;TEXT('Fixed Cost Input'!D30,"#,###")&amp;" - $"&amp;TEXT('Fixed Cost Input'!D30*('Fixed Cost Input'!F30/100),"0.00")&amp;") / "&amp;'Fixed Cost Input'!E30&amp;" years useful life) / "&amp;Input!E4&amp;" pasture acres = $"&amp;TEXT('Fixed Cost Input'!E36,"0.00")&amp;" cost per acre"</f>
        <v xml:space="preserve">  Improved Pasture:  (($27,677 - $0.00) / 20 years useful life) / 160 pasture acres = $8.65 cost per acre</v>
      </c>
      <c r="C50" s="113"/>
      <c r="D50" s="113"/>
      <c r="E50" s="113"/>
      <c r="F50" s="113"/>
      <c r="G50" s="113"/>
      <c r="H50" s="113"/>
    </row>
    <row r="51" spans="1:17" ht="15" customHeight="1" x14ac:dyDescent="0.25">
      <c r="A51" s="116"/>
      <c r="B51" s="168" t="str">
        <f>"  Unimproved Pasture:  (($"&amp;TEXT('Fixed Cost Input'!H30,"#,###")&amp;" - $"&amp;TEXT('Fixed Cost Input'!H30*('Fixed Cost Input'!J30/100),"0.00")&amp;") / "&amp;'Fixed Cost Input'!I30&amp;" years useful life) / "&amp;'Fixed Cost Input'!I4&amp;" pasture acres = $"&amp;TEXT('Fixed Cost Input'!I36,"0.00")&amp;" cost per acre"</f>
        <v xml:space="preserve">  Unimproved Pasture:  (($22,871 - $0.00) / 20 years useful life) / 160 pasture acres = $7.15 cost per acre</v>
      </c>
      <c r="C51" s="113"/>
      <c r="D51" s="113"/>
      <c r="E51" s="113"/>
      <c r="F51" s="113"/>
      <c r="G51" s="113"/>
      <c r="H51" s="113"/>
    </row>
    <row r="52" spans="1:17" ht="7.5" customHeight="1" x14ac:dyDescent="0.25">
      <c r="A52" s="116"/>
    </row>
    <row r="53" spans="1:17" x14ac:dyDescent="0.25">
      <c r="B53" s="126" t="s">
        <v>216</v>
      </c>
    </row>
    <row r="54" spans="1:17" ht="15" customHeight="1" x14ac:dyDescent="0.25">
      <c r="B54" s="113" t="str">
        <f>"Total Animal Animal Month's (AUM's) = "&amp;Input!E8&amp;" head x "&amp;Input!E13&amp;" Metabolic Animal Unit Value x "&amp;Input!E16&amp;" months = "&amp;Input!E19</f>
        <v>Total Animal Animal Month's (AUM's) = 94 head x 1.25 Metabolic Animal Unit Value x 4.5 months = 529</v>
      </c>
      <c r="C54" s="113"/>
      <c r="D54" s="113"/>
      <c r="E54" s="113"/>
      <c r="F54" s="113"/>
      <c r="G54" s="113"/>
      <c r="H54" s="113"/>
    </row>
    <row r="55" spans="1:17" ht="8.25" customHeight="1" x14ac:dyDescent="0.25">
      <c r="B55" s="113"/>
    </row>
    <row r="56" spans="1:17" x14ac:dyDescent="0.25">
      <c r="B56" s="300" t="str">
        <f>"Total AUM's - Available Per Acre = "&amp;Input!E19&amp;" Total AUM's / "&amp;Input!E4&amp;" acres = "&amp;Input!E20</f>
        <v>Total AUM's - Available Per Acre = 529 Total AUM's / 160 acres = 3.31</v>
      </c>
      <c r="C56" s="300"/>
      <c r="D56" s="300"/>
      <c r="E56" s="300"/>
      <c r="F56" s="300"/>
      <c r="G56" s="300"/>
      <c r="H56" s="300"/>
    </row>
    <row r="57" spans="1:17" ht="8.25" customHeight="1" x14ac:dyDescent="0.25">
      <c r="B57" s="113"/>
    </row>
    <row r="58" spans="1:17" x14ac:dyDescent="0.25">
      <c r="B58" s="113" t="str">
        <f>"Total Pasture Cost Per AUM =   $"&amp;TEXT(Summary!D45,"0.00")&amp;" cost per acre / "&amp;Input!E19&amp;" AUM = $"&amp;TEXT(Input!E22,"0.00")</f>
        <v>Total Pasture Cost Per AUM =   $17897.77 cost per acre / 529 AUM = $33.83</v>
      </c>
    </row>
    <row r="59" spans="1:17" s="120" customFormat="1" ht="18" customHeight="1" x14ac:dyDescent="0.35">
      <c r="A59" s="244"/>
      <c r="B59" s="244"/>
      <c r="C59" s="244"/>
      <c r="D59" s="244"/>
      <c r="E59" s="245"/>
      <c r="F59" s="118"/>
      <c r="G59" s="118"/>
      <c r="H59" s="119" t="str">
        <f>"April, "&amp;Introduction!J13</f>
        <v>April, 2025</v>
      </c>
      <c r="J59" s="121"/>
      <c r="K59" s="122"/>
      <c r="L59" s="41"/>
      <c r="O59" s="123"/>
      <c r="P59" s="124"/>
      <c r="Q59" s="124"/>
    </row>
    <row r="60" spans="1:17" s="125" customFormat="1" ht="14" x14ac:dyDescent="0.3">
      <c r="A60" s="141"/>
    </row>
    <row r="61" spans="1:17" x14ac:dyDescent="0.25">
      <c r="A61" s="113"/>
    </row>
    <row r="62" spans="1:17" x14ac:dyDescent="0.35">
      <c r="A62" s="1"/>
    </row>
    <row r="63" spans="1:17" x14ac:dyDescent="0.35">
      <c r="A63" s="1"/>
    </row>
  </sheetData>
  <sheetProtection algorithmName="SHA-512" hashValue="PDi4i+2LX/JfX4CUsTMVzY3kMfLgQ5qnPzhG2tXf01RNjljJUZCQ5Ex2bvqPHTODNvgkRSXdI1aLSQwB3hRmRA==" saltValue="dF2be0s/jb0AHzEe3P4ceQ==" spinCount="100000" sheet="1" objects="1" scenarios="1"/>
  <mergeCells count="6">
    <mergeCell ref="A1:H1"/>
    <mergeCell ref="B56:H56"/>
    <mergeCell ref="B28:H31"/>
    <mergeCell ref="B17:G18"/>
    <mergeCell ref="B21:H22"/>
    <mergeCell ref="B4:H6"/>
  </mergeCells>
  <pageMargins left="0.74803149606299213" right="0.74803149606299213" top="0.86614173228346458" bottom="0.98425196850393704" header="0.51181102362204722" footer="0.51181102362204722"/>
  <pageSetup scale="76" firstPageNumber="8" orientation="portrait" useFirstPageNumber="1" horizontalDpi="4294967295" r:id="rId1"/>
  <headerFooter scaleWithDoc="0">
    <oddHeader>&amp;L&amp;8Guidelines: Pasture Production Costs
&amp;R&amp;8&amp;P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J36"/>
  <sheetViews>
    <sheetView zoomScaleNormal="100" workbookViewId="0">
      <selection sqref="A1:J1"/>
    </sheetView>
  </sheetViews>
  <sheetFormatPr defaultColWidth="9.08984375" defaultRowHeight="15.5" x14ac:dyDescent="0.35"/>
  <cols>
    <col min="1" max="1" width="3.54296875" style="2" customWidth="1"/>
    <col min="2" max="2" width="5" style="2" customWidth="1"/>
    <col min="3" max="6" width="9.08984375" style="2"/>
    <col min="7" max="7" width="9.81640625" style="2" customWidth="1"/>
    <col min="8" max="8" width="14.08984375" style="2" customWidth="1"/>
    <col min="9" max="9" width="5.54296875" style="2" customWidth="1"/>
    <col min="10" max="10" width="12.453125" style="2" customWidth="1"/>
    <col min="11" max="16384" width="9.08984375" style="2"/>
  </cols>
  <sheetData>
    <row r="1" spans="1:10" ht="21" customHeight="1" x14ac:dyDescent="0.35">
      <c r="A1" s="335" t="s">
        <v>82</v>
      </c>
      <c r="B1" s="335"/>
      <c r="C1" s="335"/>
      <c r="D1" s="335"/>
      <c r="E1" s="335"/>
      <c r="F1" s="335"/>
      <c r="G1" s="335"/>
      <c r="H1" s="335"/>
      <c r="I1" s="335"/>
      <c r="J1" s="335"/>
    </row>
    <row r="3" spans="1:10" x14ac:dyDescent="0.35">
      <c r="H3" s="33" t="s">
        <v>74</v>
      </c>
      <c r="J3" s="33" t="s">
        <v>73</v>
      </c>
    </row>
    <row r="5" spans="1:10" x14ac:dyDescent="0.35">
      <c r="B5" s="34" t="s">
        <v>84</v>
      </c>
      <c r="C5" s="2" t="s">
        <v>94</v>
      </c>
      <c r="H5" s="30">
        <f>Input!E20</f>
        <v>3.31</v>
      </c>
      <c r="J5" s="9"/>
    </row>
    <row r="6" spans="1:10" x14ac:dyDescent="0.35">
      <c r="C6" s="2" t="s">
        <v>92</v>
      </c>
    </row>
    <row r="7" spans="1:10" x14ac:dyDescent="0.35">
      <c r="B7" s="27"/>
    </row>
    <row r="8" spans="1:10" x14ac:dyDescent="0.35">
      <c r="B8" s="27" t="s">
        <v>85</v>
      </c>
      <c r="C8" s="2" t="s">
        <v>95</v>
      </c>
      <c r="H8" s="31">
        <f>Input!E13</f>
        <v>1.25</v>
      </c>
      <c r="J8" s="9"/>
    </row>
    <row r="9" spans="1:10" x14ac:dyDescent="0.35">
      <c r="C9" s="139" t="s">
        <v>222</v>
      </c>
    </row>
    <row r="11" spans="1:10" x14ac:dyDescent="0.35">
      <c r="B11" s="27" t="s">
        <v>86</v>
      </c>
      <c r="C11" s="2" t="s">
        <v>77</v>
      </c>
      <c r="H11" s="31">
        <f>H5/H8</f>
        <v>2.6480000000000001</v>
      </c>
      <c r="J11" s="9"/>
    </row>
    <row r="12" spans="1:10" x14ac:dyDescent="0.35">
      <c r="C12" s="8" t="s">
        <v>76</v>
      </c>
    </row>
    <row r="14" spans="1:10" x14ac:dyDescent="0.35">
      <c r="B14" s="27" t="s">
        <v>87</v>
      </c>
      <c r="C14" s="2" t="s">
        <v>75</v>
      </c>
      <c r="H14" s="2">
        <f>Input!E16</f>
        <v>4.5</v>
      </c>
      <c r="J14" s="9"/>
    </row>
    <row r="16" spans="1:10" x14ac:dyDescent="0.35">
      <c r="B16" s="27" t="s">
        <v>88</v>
      </c>
      <c r="C16" s="2" t="s">
        <v>79</v>
      </c>
      <c r="H16" s="31">
        <f>H11/H14</f>
        <v>0.58844444444444444</v>
      </c>
      <c r="J16" s="9"/>
    </row>
    <row r="17" spans="2:10" x14ac:dyDescent="0.35">
      <c r="C17" s="8" t="s">
        <v>78</v>
      </c>
    </row>
    <row r="19" spans="2:10" x14ac:dyDescent="0.35">
      <c r="B19" s="27" t="s">
        <v>89</v>
      </c>
      <c r="C19" s="2" t="s">
        <v>80</v>
      </c>
      <c r="H19" s="2">
        <f>Input!E4</f>
        <v>160</v>
      </c>
      <c r="J19" s="9"/>
    </row>
    <row r="21" spans="2:10" x14ac:dyDescent="0.35">
      <c r="B21" s="27" t="s">
        <v>90</v>
      </c>
      <c r="C21" s="2" t="s">
        <v>83</v>
      </c>
      <c r="H21" s="32">
        <f>H16*H19</f>
        <v>94.151111111111106</v>
      </c>
      <c r="J21" s="9"/>
    </row>
    <row r="22" spans="2:10" x14ac:dyDescent="0.35">
      <c r="C22" s="8" t="s">
        <v>81</v>
      </c>
    </row>
    <row r="24" spans="2:10" x14ac:dyDescent="0.35">
      <c r="C24" s="333" t="s">
        <v>93</v>
      </c>
      <c r="D24" s="334"/>
      <c r="E24" s="334"/>
      <c r="F24" s="334"/>
      <c r="G24" s="334"/>
      <c r="H24" s="334"/>
      <c r="I24" s="334"/>
      <c r="J24" s="334"/>
    </row>
    <row r="25" spans="2:10" x14ac:dyDescent="0.35">
      <c r="C25" s="334"/>
      <c r="D25" s="334"/>
      <c r="E25" s="334"/>
      <c r="F25" s="334"/>
      <c r="G25" s="334"/>
      <c r="H25" s="334"/>
      <c r="I25" s="334"/>
      <c r="J25" s="334"/>
    </row>
    <row r="26" spans="2:10" x14ac:dyDescent="0.35">
      <c r="C26" s="334"/>
      <c r="D26" s="334"/>
      <c r="E26" s="334"/>
      <c r="F26" s="334"/>
      <c r="G26" s="334"/>
      <c r="H26" s="334"/>
      <c r="I26" s="334"/>
      <c r="J26" s="334"/>
    </row>
    <row r="27" spans="2:10" x14ac:dyDescent="0.35">
      <c r="C27" s="36"/>
      <c r="D27" s="36"/>
      <c r="E27" s="36"/>
      <c r="F27" s="36"/>
      <c r="G27" s="36"/>
      <c r="H27" s="36"/>
      <c r="I27" s="36"/>
      <c r="J27" s="36"/>
    </row>
    <row r="28" spans="2:10" ht="15" customHeight="1" x14ac:dyDescent="0.35">
      <c r="C28" s="331" t="s">
        <v>223</v>
      </c>
      <c r="D28" s="332"/>
      <c r="E28" s="332"/>
      <c r="F28" s="332"/>
      <c r="G28" s="332"/>
      <c r="H28" s="332"/>
      <c r="I28" s="332"/>
      <c r="J28" s="332"/>
    </row>
    <row r="29" spans="2:10" ht="15" customHeight="1" x14ac:dyDescent="0.35">
      <c r="C29" s="331"/>
      <c r="D29" s="332"/>
      <c r="E29" s="332"/>
      <c r="F29" s="332"/>
      <c r="G29" s="332"/>
      <c r="H29" s="332"/>
      <c r="I29" s="332"/>
      <c r="J29" s="332"/>
    </row>
    <row r="30" spans="2:10" ht="15" customHeight="1" x14ac:dyDescent="0.35">
      <c r="C30" s="331"/>
      <c r="D30" s="332"/>
      <c r="E30" s="332"/>
      <c r="F30" s="332"/>
      <c r="G30" s="332"/>
      <c r="H30" s="332"/>
      <c r="I30" s="332"/>
      <c r="J30" s="332"/>
    </row>
    <row r="31" spans="2:10" ht="15" customHeight="1" x14ac:dyDescent="0.35">
      <c r="C31" s="331"/>
      <c r="D31" s="332"/>
      <c r="E31" s="332"/>
      <c r="F31" s="332"/>
      <c r="G31" s="332"/>
      <c r="H31" s="332"/>
      <c r="I31" s="332"/>
      <c r="J31" s="332"/>
    </row>
    <row r="32" spans="2:10" ht="15" customHeight="1" x14ac:dyDescent="0.35">
      <c r="C32" s="331"/>
      <c r="D32" s="332"/>
      <c r="E32" s="332"/>
      <c r="F32" s="332"/>
      <c r="G32" s="332"/>
      <c r="H32" s="332"/>
      <c r="I32" s="332"/>
      <c r="J32" s="332"/>
    </row>
    <row r="33" spans="3:10" ht="15" customHeight="1" x14ac:dyDescent="0.35">
      <c r="C33" s="331"/>
      <c r="D33" s="332"/>
      <c r="E33" s="332"/>
      <c r="F33" s="332"/>
      <c r="G33" s="332"/>
      <c r="H33" s="332"/>
      <c r="I33" s="332"/>
      <c r="J33" s="332"/>
    </row>
    <row r="34" spans="3:10" x14ac:dyDescent="0.35">
      <c r="C34" s="332"/>
      <c r="D34" s="332"/>
      <c r="E34" s="332"/>
      <c r="F34" s="332"/>
      <c r="G34" s="332"/>
      <c r="H34" s="332"/>
      <c r="I34" s="332"/>
      <c r="J34" s="332"/>
    </row>
    <row r="35" spans="3:10" x14ac:dyDescent="0.35">
      <c r="C35" s="332"/>
      <c r="D35" s="332"/>
      <c r="E35" s="332"/>
      <c r="F35" s="332"/>
      <c r="G35" s="332"/>
      <c r="H35" s="332"/>
      <c r="I35" s="332"/>
      <c r="J35" s="332"/>
    </row>
    <row r="36" spans="3:10" x14ac:dyDescent="0.35">
      <c r="C36" s="332"/>
      <c r="D36" s="332"/>
      <c r="E36" s="332"/>
      <c r="F36" s="332"/>
      <c r="G36" s="332"/>
      <c r="H36" s="332"/>
      <c r="I36" s="332"/>
      <c r="J36" s="332"/>
    </row>
  </sheetData>
  <sheetProtection password="C6A6" sheet="1"/>
  <mergeCells count="3">
    <mergeCell ref="C28:J36"/>
    <mergeCell ref="C24:J26"/>
    <mergeCell ref="A1:J1"/>
  </mergeCells>
  <phoneticPr fontId="20" type="noConversion"/>
  <pageMargins left="0.74803149606299213" right="0.74803149606299213" top="0.98425196850393704" bottom="0.98425196850393704" header="0.51181102362204722" footer="0.51181102362204722"/>
  <pageSetup scale="85" firstPageNumber="9" orientation="portrait" useFirstPageNumber="1" r:id="rId1"/>
  <headerFooter scaleWithDoc="0">
    <oddHeader>&amp;LGuidelines: Pasture Production Costs&amp;R&amp;P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7"/>
  <sheetViews>
    <sheetView zoomScaleNormal="100" workbookViewId="0"/>
  </sheetViews>
  <sheetFormatPr defaultRowHeight="12.5" x14ac:dyDescent="0.25"/>
  <cols>
    <col min="1" max="1" width="14.81640625" customWidth="1"/>
    <col min="2" max="3" width="14.54296875" customWidth="1"/>
    <col min="18" max="20" width="9.1796875" bestFit="1" customWidth="1"/>
  </cols>
  <sheetData>
    <row r="1" spans="1:20" ht="12.75" customHeight="1" x14ac:dyDescent="0.25">
      <c r="A1" s="279"/>
      <c r="B1" s="280"/>
      <c r="C1" s="280"/>
      <c r="D1" s="281"/>
      <c r="E1" s="339" t="s">
        <v>71</v>
      </c>
      <c r="F1" s="340"/>
      <c r="G1" s="341"/>
      <c r="H1" s="339" t="str">
        <f>"Improved Pasture Carrying Capacity (based on "&amp;Input!E4&amp;" acres, "&amp;Input!E12&amp;" lb animals for "&amp;Input!E15&amp;" days"</f>
        <v>Improved Pasture Carrying Capacity (based on 160 acres, 1350 lb animals for 135 days</v>
      </c>
      <c r="I1" s="340"/>
      <c r="J1" s="341"/>
      <c r="K1" s="339" t="str">
        <f>"Unimproved Pasture Carrying Capacity (based on "&amp;Input!H4&amp;" acres, "&amp;Input!H12&amp;" lb animals for "&amp;Input!H15&amp;" days"</f>
        <v>Unimproved Pasture Carrying Capacity (based on 160 acres, 1350 lb animals for 135 days</v>
      </c>
      <c r="L1" s="340"/>
      <c r="M1" s="341"/>
    </row>
    <row r="2" spans="1:20" ht="12.75" customHeight="1" x14ac:dyDescent="0.25">
      <c r="A2" s="282"/>
      <c r="B2" s="283"/>
      <c r="C2" s="283"/>
      <c r="D2" s="284"/>
      <c r="E2" s="342"/>
      <c r="F2" s="343"/>
      <c r="G2" s="344"/>
      <c r="H2" s="342"/>
      <c r="I2" s="343"/>
      <c r="J2" s="344"/>
      <c r="K2" s="342"/>
      <c r="L2" s="343"/>
      <c r="M2" s="344"/>
    </row>
    <row r="3" spans="1:20" ht="12.75" customHeight="1" x14ac:dyDescent="0.25">
      <c r="A3" s="282"/>
      <c r="B3" s="283"/>
      <c r="C3" s="283"/>
      <c r="D3" s="284"/>
      <c r="E3" s="342"/>
      <c r="F3" s="343"/>
      <c r="G3" s="344"/>
      <c r="H3" s="342"/>
      <c r="I3" s="343"/>
      <c r="J3" s="344"/>
      <c r="K3" s="342"/>
      <c r="L3" s="343"/>
      <c r="M3" s="344"/>
    </row>
    <row r="4" spans="1:20" ht="12.75" customHeight="1" x14ac:dyDescent="0.25">
      <c r="A4" s="282"/>
      <c r="B4" s="283"/>
      <c r="C4" s="283"/>
      <c r="D4" s="284"/>
      <c r="E4" s="342"/>
      <c r="F4" s="343"/>
      <c r="G4" s="344"/>
      <c r="H4" s="342"/>
      <c r="I4" s="343"/>
      <c r="J4" s="344"/>
      <c r="K4" s="342"/>
      <c r="L4" s="343"/>
      <c r="M4" s="344"/>
    </row>
    <row r="5" spans="1:20" ht="12.75" customHeight="1" x14ac:dyDescent="0.25">
      <c r="A5" s="282"/>
      <c r="B5" s="283"/>
      <c r="C5" s="283"/>
      <c r="D5" s="284"/>
      <c r="E5" s="342"/>
      <c r="F5" s="343"/>
      <c r="G5" s="344"/>
      <c r="H5" s="342"/>
      <c r="I5" s="343"/>
      <c r="J5" s="344"/>
      <c r="K5" s="342"/>
      <c r="L5" s="343"/>
      <c r="M5" s="344"/>
    </row>
    <row r="6" spans="1:20" ht="12.75" customHeight="1" x14ac:dyDescent="0.25">
      <c r="A6" s="282"/>
      <c r="B6" s="283"/>
      <c r="C6" s="283"/>
      <c r="D6" s="284"/>
      <c r="E6" s="342"/>
      <c r="F6" s="343"/>
      <c r="G6" s="344"/>
      <c r="H6" s="342"/>
      <c r="I6" s="343"/>
      <c r="J6" s="344"/>
      <c r="K6" s="342"/>
      <c r="L6" s="343"/>
      <c r="M6" s="344"/>
    </row>
    <row r="7" spans="1:20" ht="13.5" customHeight="1" thickBot="1" x14ac:dyDescent="0.3">
      <c r="A7" s="285"/>
      <c r="B7" s="286"/>
      <c r="C7" s="286"/>
      <c r="D7" s="287"/>
      <c r="E7" s="345"/>
      <c r="F7" s="346"/>
      <c r="G7" s="347"/>
      <c r="H7" s="345"/>
      <c r="I7" s="346"/>
      <c r="J7" s="347"/>
      <c r="K7" s="345"/>
      <c r="L7" s="346"/>
      <c r="M7" s="347"/>
    </row>
    <row r="8" spans="1:20" ht="16" thickBot="1" x14ac:dyDescent="0.4">
      <c r="A8" s="350" t="s">
        <v>29</v>
      </c>
      <c r="B8" s="351"/>
      <c r="C8" s="351"/>
      <c r="D8" s="352"/>
      <c r="E8" s="348" t="s">
        <v>50</v>
      </c>
      <c r="F8" s="310"/>
      <c r="G8" s="349"/>
      <c r="H8" s="348" t="s">
        <v>50</v>
      </c>
      <c r="I8" s="310"/>
      <c r="J8" s="349"/>
      <c r="K8" s="348" t="s">
        <v>50</v>
      </c>
      <c r="L8" s="310"/>
      <c r="M8" s="349"/>
    </row>
    <row r="9" spans="1:20" ht="16" thickBot="1" x14ac:dyDescent="0.4">
      <c r="A9" s="350"/>
      <c r="B9" s="351"/>
      <c r="C9" s="351"/>
      <c r="D9" s="352"/>
      <c r="E9" s="288" t="s">
        <v>47</v>
      </c>
      <c r="F9" s="288" t="s">
        <v>48</v>
      </c>
      <c r="G9" s="288" t="s">
        <v>49</v>
      </c>
      <c r="H9" s="288" t="s">
        <v>47</v>
      </c>
      <c r="I9" s="288" t="s">
        <v>48</v>
      </c>
      <c r="J9" s="288" t="s">
        <v>49</v>
      </c>
      <c r="K9" s="288" t="s">
        <v>47</v>
      </c>
      <c r="L9" s="288" t="s">
        <v>48</v>
      </c>
      <c r="M9" s="288" t="s">
        <v>49</v>
      </c>
    </row>
    <row r="10" spans="1:20" ht="16" thickBot="1" x14ac:dyDescent="0.4">
      <c r="A10" s="353"/>
      <c r="B10" s="351"/>
      <c r="C10" s="351"/>
      <c r="D10" s="352"/>
      <c r="E10" s="288">
        <v>2</v>
      </c>
      <c r="F10" s="288">
        <v>3</v>
      </c>
      <c r="G10" s="288">
        <v>4</v>
      </c>
      <c r="H10" s="288">
        <v>2</v>
      </c>
      <c r="I10" s="288">
        <v>3</v>
      </c>
      <c r="J10" s="288">
        <v>4</v>
      </c>
      <c r="K10" s="288">
        <v>2</v>
      </c>
      <c r="L10" s="288">
        <v>3</v>
      </c>
      <c r="M10" s="288">
        <v>4</v>
      </c>
      <c r="O10" s="154"/>
    </row>
    <row r="11" spans="1:20" ht="16" thickBot="1" x14ac:dyDescent="0.4">
      <c r="A11" s="350" t="s">
        <v>51</v>
      </c>
      <c r="B11" s="289" t="s">
        <v>52</v>
      </c>
      <c r="C11" s="290"/>
      <c r="D11" s="291">
        <v>1</v>
      </c>
      <c r="E11" s="292">
        <v>0.2</v>
      </c>
      <c r="F11" s="293">
        <v>0.4</v>
      </c>
      <c r="G11" s="292">
        <v>0.5</v>
      </c>
      <c r="H11" s="294" t="s">
        <v>219</v>
      </c>
      <c r="I11" s="294" t="s">
        <v>219</v>
      </c>
      <c r="J11" s="294" t="s">
        <v>219</v>
      </c>
      <c r="K11" s="294">
        <f>ROUNDDOWN((E11*Input!$H$4)/Input!$H$16/Input!$H$13,0)</f>
        <v>5</v>
      </c>
      <c r="L11" s="294">
        <f>ROUNDDOWN((F11*Input!$H$4)/Input!$H$16/Input!$H$13,0)</f>
        <v>11</v>
      </c>
      <c r="M11" s="294">
        <f>ROUNDDOWN((G11*Input!$H$4)/Input!$H$16/Input!$H$13,0)</f>
        <v>14</v>
      </c>
      <c r="R11" s="29"/>
      <c r="S11" s="29"/>
      <c r="T11" s="29"/>
    </row>
    <row r="12" spans="1:20" ht="16" thickBot="1" x14ac:dyDescent="0.4">
      <c r="A12" s="350"/>
      <c r="B12" s="289" t="s">
        <v>58</v>
      </c>
      <c r="C12" s="290"/>
      <c r="D12" s="295">
        <v>2</v>
      </c>
      <c r="E12" s="292">
        <v>0.4</v>
      </c>
      <c r="F12" s="293">
        <v>0.6</v>
      </c>
      <c r="G12" s="292">
        <v>0.8</v>
      </c>
      <c r="H12" s="294" t="s">
        <v>219</v>
      </c>
      <c r="I12" s="294" t="s">
        <v>219</v>
      </c>
      <c r="J12" s="294" t="s">
        <v>219</v>
      </c>
      <c r="K12" s="294">
        <f>ROUNDDOWN((E12*Input!$H$4)/Input!$H$16/Input!$H$13,0)</f>
        <v>11</v>
      </c>
      <c r="L12" s="294">
        <f>ROUNDDOWN((F12*Input!$H$4)/Input!$H$16/Input!$H$13,0)</f>
        <v>17</v>
      </c>
      <c r="M12" s="294">
        <f>ROUNDDOWN((G12*Input!$H$4)/Input!$H$16/Input!$H$13,0)</f>
        <v>22</v>
      </c>
      <c r="R12" s="29"/>
      <c r="S12" s="29"/>
      <c r="T12" s="29"/>
    </row>
    <row r="13" spans="1:20" ht="16" thickBot="1" x14ac:dyDescent="0.4">
      <c r="A13" s="350"/>
      <c r="B13" s="289" t="s">
        <v>59</v>
      </c>
      <c r="C13" s="290"/>
      <c r="D13" s="295">
        <v>3</v>
      </c>
      <c r="E13" s="292">
        <v>0.6</v>
      </c>
      <c r="F13" s="293">
        <v>0.8</v>
      </c>
      <c r="G13" s="292">
        <v>0.9</v>
      </c>
      <c r="H13" s="294" t="s">
        <v>219</v>
      </c>
      <c r="I13" s="294" t="s">
        <v>219</v>
      </c>
      <c r="J13" s="294" t="s">
        <v>219</v>
      </c>
      <c r="K13" s="294">
        <f>ROUNDDOWN((E13*Input!$H$4)/Input!$H$16/Input!$H$13,0)</f>
        <v>17</v>
      </c>
      <c r="L13" s="294">
        <f>(F13*Input!$H$4)/Input!$H$16/Input!$H$13</f>
        <v>22.755555555555553</v>
      </c>
      <c r="M13" s="294">
        <f>(G13*Input!$H$4)/Input!$H$16/Input!$H$13</f>
        <v>25.6</v>
      </c>
      <c r="R13" s="29"/>
      <c r="S13" s="29"/>
      <c r="T13" s="29"/>
    </row>
    <row r="14" spans="1:20" ht="16" thickBot="1" x14ac:dyDescent="0.4">
      <c r="A14" s="353"/>
      <c r="B14" s="289" t="s">
        <v>60</v>
      </c>
      <c r="C14" s="290"/>
      <c r="D14" s="291">
        <v>4</v>
      </c>
      <c r="E14" s="292">
        <v>0</v>
      </c>
      <c r="F14" s="293">
        <v>0</v>
      </c>
      <c r="G14" s="292">
        <v>0</v>
      </c>
      <c r="H14" s="294" t="s">
        <v>219</v>
      </c>
      <c r="I14" s="294" t="s">
        <v>219</v>
      </c>
      <c r="J14" s="294" t="s">
        <v>219</v>
      </c>
      <c r="K14" s="294">
        <f>ROUNDDOWN((E14*Input!$H$4)/Input!$H$16/Input!$H$13,0)</f>
        <v>0</v>
      </c>
      <c r="L14" s="294">
        <f>ROUNDDOWN((F14*Input!$H$4)/Input!$H$16/Input!$H$13,0)</f>
        <v>0</v>
      </c>
      <c r="M14" s="294">
        <f>ROUNDDOWN((G14*Input!$H$4)/Input!$H$16/Input!$H$13,0)</f>
        <v>0</v>
      </c>
      <c r="R14" s="29"/>
      <c r="S14" s="29"/>
      <c r="T14" s="29"/>
    </row>
    <row r="15" spans="1:20" ht="16" thickBot="1" x14ac:dyDescent="0.4">
      <c r="A15" s="336" t="s">
        <v>53</v>
      </c>
      <c r="B15" s="289" t="s">
        <v>61</v>
      </c>
      <c r="C15" s="290"/>
      <c r="D15" s="295">
        <v>5</v>
      </c>
      <c r="E15" s="292">
        <v>0.8</v>
      </c>
      <c r="F15" s="293">
        <v>1.2</v>
      </c>
      <c r="G15" s="292">
        <v>1</v>
      </c>
      <c r="H15" s="294" t="s">
        <v>219</v>
      </c>
      <c r="I15" s="294" t="s">
        <v>219</v>
      </c>
      <c r="J15" s="294" t="s">
        <v>219</v>
      </c>
      <c r="K15" s="294">
        <f>ROUNDDOWN((E15*Input!$H$4)/Input!$H$16/Input!$H$13,0)</f>
        <v>22</v>
      </c>
      <c r="L15" s="294">
        <f>ROUNDDOWN((F15*Input!$H$4)/Input!$H$16/Input!$H$13,0)</f>
        <v>34</v>
      </c>
      <c r="M15" s="294">
        <f>ROUNDDOWN((G15*Input!$H$4)/Input!$H$16/Input!$H$13,0)</f>
        <v>28</v>
      </c>
      <c r="R15" s="29"/>
      <c r="S15" s="29"/>
      <c r="T15" s="29"/>
    </row>
    <row r="16" spans="1:20" ht="16" thickBot="1" x14ac:dyDescent="0.4">
      <c r="A16" s="337"/>
      <c r="B16" s="289" t="s">
        <v>62</v>
      </c>
      <c r="C16" s="290"/>
      <c r="D16" s="295">
        <v>6</v>
      </c>
      <c r="E16" s="292">
        <v>1.2</v>
      </c>
      <c r="F16" s="293">
        <v>1.2</v>
      </c>
      <c r="G16" s="292">
        <v>1.4</v>
      </c>
      <c r="H16" s="294" t="s">
        <v>219</v>
      </c>
      <c r="I16" s="294" t="s">
        <v>219</v>
      </c>
      <c r="J16" s="294" t="s">
        <v>219</v>
      </c>
      <c r="K16" s="294">
        <f>ROUNDDOWN((E16*Input!$H$4)/Input!$H$16/Input!$H$13,0)</f>
        <v>34</v>
      </c>
      <c r="L16" s="294">
        <f>ROUNDDOWN((F16*Input!$H$4)/Input!$H$16/Input!$H$13,0)</f>
        <v>34</v>
      </c>
      <c r="M16" s="294">
        <f>ROUNDDOWN((G16*Input!$H$4)/Input!$H$16/Input!$H$13,0)</f>
        <v>39</v>
      </c>
      <c r="R16" s="29"/>
      <c r="S16" s="29"/>
      <c r="T16" s="29"/>
    </row>
    <row r="17" spans="1:20" ht="16" thickBot="1" x14ac:dyDescent="0.4">
      <c r="A17" s="338"/>
      <c r="B17" s="289" t="s">
        <v>57</v>
      </c>
      <c r="C17" s="290"/>
      <c r="D17" s="295">
        <v>7</v>
      </c>
      <c r="E17" s="292">
        <v>1.6</v>
      </c>
      <c r="F17" s="293">
        <v>1.8</v>
      </c>
      <c r="G17" s="292">
        <v>1.8</v>
      </c>
      <c r="H17" s="294" t="s">
        <v>219</v>
      </c>
      <c r="I17" s="294" t="s">
        <v>219</v>
      </c>
      <c r="J17" s="294" t="s">
        <v>219</v>
      </c>
      <c r="K17" s="294">
        <f>ROUNDDOWN((E17*Input!$H$4)/Input!$H$16/Input!$H$13,0)</f>
        <v>45</v>
      </c>
      <c r="L17" s="294">
        <f>ROUNDDOWN((F17*Input!$H$4)/Input!$H$16/Input!$H$13,0)</f>
        <v>51</v>
      </c>
      <c r="M17" s="294">
        <f>ROUNDDOWN((G17*Input!$H$4)/Input!$H$16/Input!$H$13,0)</f>
        <v>51</v>
      </c>
      <c r="R17" s="29"/>
      <c r="S17" s="29"/>
      <c r="T17" s="29"/>
    </row>
    <row r="18" spans="1:20" ht="16" thickBot="1" x14ac:dyDescent="0.4">
      <c r="A18" s="336" t="s">
        <v>54</v>
      </c>
      <c r="B18" s="289" t="s">
        <v>56</v>
      </c>
      <c r="C18" s="290"/>
      <c r="D18" s="291">
        <v>8</v>
      </c>
      <c r="E18" s="292">
        <v>0.5</v>
      </c>
      <c r="F18" s="293">
        <v>0.8</v>
      </c>
      <c r="G18" s="292">
        <v>1</v>
      </c>
      <c r="H18" s="294">
        <f>ROUNDDOWN((E18*Input!$E$4)/Input!$E$16/Input!$E$13,0)</f>
        <v>14</v>
      </c>
      <c r="I18" s="294">
        <f>ROUNDDOWN((F18*Input!$E$4)/Input!$E$16/Input!$E$13,0)</f>
        <v>22</v>
      </c>
      <c r="J18" s="294">
        <f>ROUNDDOWN((G18*Input!$E$4)/Input!$E$16/Input!$E$13,0)</f>
        <v>28</v>
      </c>
      <c r="K18" s="294" t="s">
        <v>219</v>
      </c>
      <c r="L18" s="294" t="s">
        <v>219</v>
      </c>
      <c r="M18" s="294" t="s">
        <v>219</v>
      </c>
      <c r="O18" s="29"/>
      <c r="P18" s="29"/>
      <c r="Q18" s="29"/>
    </row>
    <row r="19" spans="1:20" ht="16" thickBot="1" x14ac:dyDescent="0.4">
      <c r="A19" s="337"/>
      <c r="B19" s="289" t="s">
        <v>55</v>
      </c>
      <c r="C19" s="290"/>
      <c r="D19" s="295">
        <v>9</v>
      </c>
      <c r="E19" s="292">
        <v>1.4</v>
      </c>
      <c r="F19" s="293">
        <v>1.4</v>
      </c>
      <c r="G19" s="292">
        <v>1.6</v>
      </c>
      <c r="H19" s="294">
        <f>ROUNDDOWN((E19*Input!$E$4)/Input!$E$16/Input!$E$13,0)</f>
        <v>39</v>
      </c>
      <c r="I19" s="294">
        <f>ROUNDDOWN((F19*Input!$E$4)/Input!$E$16/Input!$E$13,0)</f>
        <v>39</v>
      </c>
      <c r="J19" s="294">
        <f>ROUNDDOWN((G19*Input!$E$4)/Input!$E$16/Input!$E$13,0)</f>
        <v>45</v>
      </c>
      <c r="K19" s="294" t="s">
        <v>219</v>
      </c>
      <c r="L19" s="294" t="s">
        <v>219</v>
      </c>
      <c r="M19" s="294" t="s">
        <v>219</v>
      </c>
      <c r="O19" s="29"/>
      <c r="P19" s="29"/>
      <c r="Q19" s="29"/>
    </row>
    <row r="20" spans="1:20" ht="16" thickBot="1" x14ac:dyDescent="0.4">
      <c r="A20" s="337"/>
      <c r="B20" s="289" t="s">
        <v>63</v>
      </c>
      <c r="C20" s="290"/>
      <c r="D20" s="295">
        <v>10</v>
      </c>
      <c r="E20" s="292">
        <v>2</v>
      </c>
      <c r="F20" s="293">
        <v>2.8</v>
      </c>
      <c r="G20" s="292">
        <v>3</v>
      </c>
      <c r="H20" s="294">
        <f>ROUNDDOWN((E20*Input!$E$4)/Input!$E$16/Input!$E$13,0)</f>
        <v>56</v>
      </c>
      <c r="I20" s="294">
        <f>ROUNDDOWN((F20*Input!$E$4)/Input!$E$16/Input!$E$13,0)</f>
        <v>79</v>
      </c>
      <c r="J20" s="294">
        <f>ROUNDDOWN((G20*Input!$E$4)/Input!$E$16/Input!$E$13,0)</f>
        <v>85</v>
      </c>
      <c r="K20" s="294" t="s">
        <v>219</v>
      </c>
      <c r="L20" s="294" t="s">
        <v>219</v>
      </c>
      <c r="M20" s="294" t="s">
        <v>219</v>
      </c>
      <c r="O20" s="29"/>
      <c r="P20" s="29"/>
      <c r="Q20" s="29"/>
    </row>
    <row r="21" spans="1:20" ht="16" thickBot="1" x14ac:dyDescent="0.4">
      <c r="A21" s="338"/>
      <c r="B21" s="289" t="s">
        <v>64</v>
      </c>
      <c r="C21" s="290"/>
      <c r="D21" s="291">
        <v>11</v>
      </c>
      <c r="E21" s="292">
        <v>3.5</v>
      </c>
      <c r="F21" s="293">
        <v>4</v>
      </c>
      <c r="G21" s="292">
        <v>5</v>
      </c>
      <c r="H21" s="294">
        <f>ROUNDDOWN((E21*Input!$E$4)/Input!$E$16/Input!$E$13,0)</f>
        <v>99</v>
      </c>
      <c r="I21" s="294">
        <f>ROUNDDOWN((F21*Input!$E$4)/Input!$E$16/Input!$E$13,0)</f>
        <v>113</v>
      </c>
      <c r="J21" s="294">
        <f>ROUNDDOWN((G21*Input!$E$4)/Input!$E$16/Input!$E$13,0)</f>
        <v>142</v>
      </c>
      <c r="K21" s="294" t="s">
        <v>219</v>
      </c>
      <c r="L21" s="294" t="s">
        <v>219</v>
      </c>
      <c r="M21" s="294" t="s">
        <v>219</v>
      </c>
      <c r="O21" s="29"/>
      <c r="P21" s="29"/>
      <c r="Q21" s="29"/>
    </row>
    <row r="22" spans="1:20" ht="16" thickBot="1" x14ac:dyDescent="0.4">
      <c r="A22" s="336" t="s">
        <v>65</v>
      </c>
      <c r="B22" s="289" t="s">
        <v>66</v>
      </c>
      <c r="C22" s="290"/>
      <c r="D22" s="295">
        <v>12</v>
      </c>
      <c r="E22" s="292">
        <v>0</v>
      </c>
      <c r="F22" s="293">
        <v>3</v>
      </c>
      <c r="G22" s="292">
        <v>3</v>
      </c>
      <c r="H22" s="294">
        <f>ROUNDDOWN((E22*Input!$E$4)/Input!$E$16/Input!$E$13,0)</f>
        <v>0</v>
      </c>
      <c r="I22" s="294">
        <f>ROUNDDOWN((F22*Input!$E$4)/Input!$E$16/Input!$E$13,0)</f>
        <v>85</v>
      </c>
      <c r="J22" s="294">
        <f>ROUNDDOWN((G22*Input!$E$4)/Input!$E$16/Input!$E$13,0)</f>
        <v>85</v>
      </c>
      <c r="K22" s="294" t="s">
        <v>219</v>
      </c>
      <c r="L22" s="294" t="s">
        <v>219</v>
      </c>
      <c r="M22" s="294" t="s">
        <v>219</v>
      </c>
      <c r="O22" s="29"/>
      <c r="P22" s="29"/>
      <c r="Q22" s="29"/>
    </row>
    <row r="23" spans="1:20" ht="16" thickBot="1" x14ac:dyDescent="0.4">
      <c r="A23" s="337"/>
      <c r="B23" s="289" t="s">
        <v>67</v>
      </c>
      <c r="C23" s="290"/>
      <c r="D23" s="295">
        <v>13</v>
      </c>
      <c r="E23" s="292">
        <v>0</v>
      </c>
      <c r="F23" s="293">
        <v>0.5</v>
      </c>
      <c r="G23" s="292">
        <v>0.5</v>
      </c>
      <c r="H23" s="294">
        <f>ROUNDDOWN((E23*Input!$E$4)/Input!$E$16/Input!$E$13,0)</f>
        <v>0</v>
      </c>
      <c r="I23" s="294">
        <f>ROUNDDOWN((F23*Input!$E$4)/Input!$E$16/Input!$E$13,0)</f>
        <v>14</v>
      </c>
      <c r="J23" s="294">
        <f>ROUNDDOWN((G23*Input!$E$4)/Input!$E$16/Input!$E$13,0)</f>
        <v>14</v>
      </c>
      <c r="K23" s="294" t="s">
        <v>219</v>
      </c>
      <c r="L23" s="294" t="s">
        <v>219</v>
      </c>
      <c r="M23" s="294" t="s">
        <v>219</v>
      </c>
      <c r="O23" s="29"/>
      <c r="P23" s="29"/>
      <c r="Q23" s="29"/>
    </row>
    <row r="24" spans="1:20" ht="16" thickBot="1" x14ac:dyDescent="0.4">
      <c r="A24" s="338"/>
      <c r="B24" s="289" t="s">
        <v>68</v>
      </c>
      <c r="C24" s="290"/>
      <c r="D24" s="295">
        <v>14</v>
      </c>
      <c r="E24" s="292">
        <v>0</v>
      </c>
      <c r="F24" s="293">
        <v>1.6</v>
      </c>
      <c r="G24" s="292">
        <v>1.6</v>
      </c>
      <c r="H24" s="294">
        <f>ROUNDDOWN((E24*Input!$E$4)/Input!$E$16/Input!$E$13,0)</f>
        <v>0</v>
      </c>
      <c r="I24" s="294">
        <f>ROUNDDOWN((F24*Input!$E$4)/Input!$E$16/Input!$E$13,0)</f>
        <v>45</v>
      </c>
      <c r="J24" s="294">
        <f>ROUNDDOWN((G24*Input!$E$4)/Input!$E$16/Input!$E$13,0)</f>
        <v>45</v>
      </c>
      <c r="K24" s="294" t="s">
        <v>219</v>
      </c>
      <c r="L24" s="294" t="s">
        <v>219</v>
      </c>
      <c r="M24" s="294" t="s">
        <v>219</v>
      </c>
      <c r="O24" s="29"/>
      <c r="P24" s="29"/>
      <c r="Q24" s="29"/>
    </row>
    <row r="25" spans="1:20" ht="15.5" x14ac:dyDescent="0.35">
      <c r="A25" s="129" t="s">
        <v>69</v>
      </c>
      <c r="B25" s="130"/>
      <c r="C25" s="130"/>
      <c r="D25" s="131"/>
      <c r="E25" s="130"/>
      <c r="F25" s="132"/>
      <c r="G25" s="133"/>
      <c r="H25" s="133"/>
      <c r="I25" s="133"/>
      <c r="J25" s="133"/>
      <c r="K25" s="133"/>
      <c r="L25" s="133"/>
      <c r="M25" s="134"/>
    </row>
    <row r="26" spans="1:20" ht="16.5" customHeight="1" thickBot="1" x14ac:dyDescent="0.35">
      <c r="A26" s="135" t="s">
        <v>220</v>
      </c>
      <c r="B26" s="127"/>
      <c r="C26" s="127"/>
      <c r="D26" s="127"/>
      <c r="E26" s="127"/>
      <c r="F26" s="127"/>
      <c r="G26" s="127"/>
      <c r="H26" s="136"/>
      <c r="I26" s="136"/>
      <c r="J26" s="136"/>
      <c r="K26" s="136"/>
      <c r="L26" s="136"/>
      <c r="M26" s="137"/>
    </row>
    <row r="27" spans="1:20" ht="12.75" customHeight="1" x14ac:dyDescent="0.25">
      <c r="A27" s="128"/>
      <c r="B27" s="128"/>
      <c r="C27" s="128"/>
      <c r="D27" s="128"/>
      <c r="E27" s="128"/>
      <c r="F27" s="128"/>
      <c r="G27" s="128"/>
    </row>
  </sheetData>
  <sheetProtection algorithmName="SHA-512" hashValue="hd1yR0IMjnuHywZaqXtX0rtwFgVdKpfZHTJ0HEYSPjhb54GoJqSX6AdQTCgZBmSO7U6Ap3zoB7zpdlo2P+Dtmg==" saltValue="aDCzMklc6Ikso+Ru9gk6MA==" spinCount="100000" sheet="1"/>
  <mergeCells count="11">
    <mergeCell ref="K1:M7"/>
    <mergeCell ref="K8:M8"/>
    <mergeCell ref="E8:G8"/>
    <mergeCell ref="A8:D10"/>
    <mergeCell ref="A11:A14"/>
    <mergeCell ref="A18:A21"/>
    <mergeCell ref="A22:A24"/>
    <mergeCell ref="E1:G7"/>
    <mergeCell ref="H8:J8"/>
    <mergeCell ref="H1:J7"/>
    <mergeCell ref="A15:A17"/>
  </mergeCells>
  <pageMargins left="0.70866141732283472" right="0.70866141732283472" top="0.74803149606299213" bottom="0.74803149606299213" header="0.31496062992125984" footer="0.31496062992125984"/>
  <pageSetup scale="70" firstPageNumber="10" orientation="portrait" useFirstPageNumber="1" r:id="rId1"/>
  <headerFooter scaleWithDoc="0">
    <oddHeader>&amp;LGuidelines: Pasture Production Costs&amp;R&amp;P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A72A769-07F8-420D-B87E-7F95A1D7976A}">
  <ds:schemaRefs>
    <ds:schemaRef ds:uri="http://schemas.microsoft.com/sharepoint/v3/contenttype/forms"/>
  </ds:schemaRefs>
</ds:datastoreItem>
</file>

<file path=customXml/itemProps2.xml><?xml version="1.0" encoding="utf-8"?>
<ds:datastoreItem xmlns:ds="http://schemas.openxmlformats.org/officeDocument/2006/customXml" ds:itemID="{2FFA598A-4AE8-46F7-85BC-92D5CADE338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B20DAF27-135F-4F0F-B145-CF4B2807B1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F5567-0267-42DF-A3C9-954ED5EE096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Introduction</vt:lpstr>
      <vt:lpstr>Summary</vt:lpstr>
      <vt:lpstr>Risk</vt:lpstr>
      <vt:lpstr>Pasture Insurance</vt:lpstr>
      <vt:lpstr>Input</vt:lpstr>
      <vt:lpstr>Fixed Cost Input</vt:lpstr>
      <vt:lpstr>Assumptions</vt:lpstr>
      <vt:lpstr>Example</vt:lpstr>
      <vt:lpstr>AUM  Carrying Capcity Worksheet</vt:lpstr>
      <vt:lpstr>Pasture Ins Calc (HIDE)</vt:lpstr>
      <vt:lpstr>Chart (HIDE)</vt:lpstr>
      <vt:lpstr>Animal</vt:lpstr>
      <vt:lpstr>Bison</vt:lpstr>
      <vt:lpstr>Cows</vt:lpstr>
      <vt:lpstr>Deer</vt:lpstr>
      <vt:lpstr>Donkeys_and_Ponies</vt:lpstr>
      <vt:lpstr>Elk</vt:lpstr>
      <vt:lpstr>Goats</vt:lpstr>
      <vt:lpstr>Horses</vt:lpstr>
      <vt:lpstr>Llamas_and_Alpacas</vt:lpstr>
      <vt:lpstr>Assumptions!Print_Area</vt:lpstr>
      <vt:lpstr>Input!Print_Area</vt:lpstr>
      <vt:lpstr>Introduction!Print_Area</vt:lpstr>
      <vt:lpstr>'Pasture Ins Calc (HIDE)'!Print_Area</vt:lpstr>
      <vt:lpstr>'Pasture Insurance'!Print_Area</vt:lpstr>
      <vt:lpstr>Risk!Print_Area</vt:lpstr>
      <vt:lpstr>Summary!Print_Area</vt:lpstr>
      <vt:lpstr>Sheep</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Forage Pasture COP</dc:title>
  <dc:creator>Roy Arnott</dc:creator>
  <cp:lastModifiedBy>Mashinini, Khosi</cp:lastModifiedBy>
  <cp:lastPrinted>2023-04-26T16:50:55Z</cp:lastPrinted>
  <dcterms:created xsi:type="dcterms:W3CDTF">1999-05-11T14:54:42Z</dcterms:created>
  <dcterms:modified xsi:type="dcterms:W3CDTF">2025-04-25T16:51:49Z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