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vbaProject.bin" ContentType="application/vnd.ms-office.vbaProject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D03\Farm Management\Production Economics\COP decision support tools\1 - Crops Calculators\final version\"/>
    </mc:Choice>
  </mc:AlternateContent>
  <workbookProtection workbookPassword="C6A6" lockStructure="1"/>
  <bookViews>
    <workbookView xWindow="0" yWindow="0" windowWidth="11688" windowHeight="7428" firstSheet="1" activeTab="2"/>
  </bookViews>
  <sheets>
    <sheet name="Seed Calculator" sheetId="5" state="hidden" r:id="rId1"/>
    <sheet name="Small Grains" sheetId="6" r:id="rId2"/>
    <sheet name="Speciality Crop" sheetId="7" r:id="rId3"/>
    <sheet name="DATA (hide)" sheetId="2" state="hidden" r:id="rId4"/>
    <sheet name="names (hide)" sheetId="4" state="hidden" r:id="rId5"/>
    <sheet name="Seeding Rates DV (hide)" sheetId="1" state="hidden" r:id="rId6"/>
  </sheets>
  <definedNames>
    <definedName name="Other">'DATA (hide)'!$A$20:$A$30</definedName>
    <definedName name="_xlnm.Print_Area" localSheetId="0">'Seed Calculator'!$A$1:$P$56</definedName>
    <definedName name="_xlnm.Print_Area" localSheetId="1">'Small Grains'!$A$1:$L$34</definedName>
    <definedName name="_xlnm.Print_Area" localSheetId="2">'Speciality Crop'!$A$1:$L$36</definedName>
    <definedName name="ROW">'names (hide)'!$B$5:$B$67</definedName>
    <definedName name="smallgrain">'DATA (hide)'!$A$4:$A$19</definedName>
    <definedName name="UNIT">'names (hide)'!$A$5:$A$11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L10" i="7" l="1"/>
  <c r="J10" i="7"/>
  <c r="I10" i="7"/>
  <c r="H10" i="7"/>
  <c r="G10" i="7"/>
  <c r="F10" i="7"/>
  <c r="E10" i="7"/>
  <c r="D10" i="7"/>
  <c r="K21" i="2" l="1"/>
  <c r="V21" i="2"/>
  <c r="F21" i="2"/>
  <c r="G21" i="2" s="1"/>
  <c r="E21" i="2" s="1"/>
  <c r="L10" i="6"/>
  <c r="J10" i="6"/>
  <c r="I10" i="6"/>
  <c r="H10" i="6"/>
  <c r="G10" i="6"/>
  <c r="F10" i="6"/>
  <c r="E10" i="6"/>
  <c r="D10" i="6"/>
  <c r="AB10" i="6"/>
  <c r="Z10" i="6"/>
  <c r="Y10" i="6"/>
  <c r="X10" i="6"/>
  <c r="W10" i="6"/>
  <c r="V10" i="6"/>
  <c r="U10" i="6"/>
  <c r="T10" i="6"/>
  <c r="J15" i="6" l="1"/>
  <c r="AB10" i="7"/>
  <c r="Z10" i="7"/>
  <c r="Y10" i="7"/>
  <c r="X10" i="7"/>
  <c r="W10" i="7"/>
  <c r="V10" i="7"/>
  <c r="U10" i="7"/>
  <c r="T9" i="7" s="1"/>
  <c r="T10" i="7"/>
  <c r="Z9" i="7"/>
  <c r="Y9" i="7"/>
  <c r="X9" i="7"/>
  <c r="J9" i="7"/>
  <c r="I9" i="7"/>
  <c r="H9" i="7"/>
  <c r="L3" i="7"/>
  <c r="Y20" i="2"/>
  <c r="X20" i="2"/>
  <c r="W20" i="2"/>
  <c r="V20" i="2"/>
  <c r="U20" i="2"/>
  <c r="K20" i="2"/>
  <c r="F20" i="2"/>
  <c r="T20" i="2" s="1"/>
  <c r="K9" i="6"/>
  <c r="J9" i="6"/>
  <c r="G20" i="2" l="1"/>
  <c r="E20" i="2"/>
  <c r="V9" i="7"/>
  <c r="J15" i="7"/>
  <c r="E15" i="7" s="1"/>
  <c r="H20" i="7"/>
  <c r="G20" i="7" s="1"/>
  <c r="F20" i="7" s="1"/>
  <c r="E20" i="7" s="1"/>
  <c r="D20" i="7" s="1"/>
  <c r="C20" i="7" s="1"/>
  <c r="C23" i="7" s="1"/>
  <c r="H20" i="6"/>
  <c r="I20" i="6" s="1"/>
  <c r="F12" i="7"/>
  <c r="B22" i="7"/>
  <c r="C15" i="6"/>
  <c r="F9" i="7"/>
  <c r="C15" i="7"/>
  <c r="D15" i="7" s="1"/>
  <c r="D9" i="7"/>
  <c r="E14" i="7"/>
  <c r="D14" i="7"/>
  <c r="I15" i="7"/>
  <c r="I9" i="6"/>
  <c r="H9" i="6"/>
  <c r="I15" i="6"/>
  <c r="K10" i="6"/>
  <c r="L3" i="6"/>
  <c r="D15" i="6" l="1"/>
  <c r="F15" i="6" s="1"/>
  <c r="L15" i="6"/>
  <c r="K15" i="6" s="1"/>
  <c r="H21" i="7"/>
  <c r="H23" i="7"/>
  <c r="E23" i="7"/>
  <c r="D23" i="7"/>
  <c r="F23" i="7"/>
  <c r="G23" i="7"/>
  <c r="I20" i="7"/>
  <c r="I23" i="7" s="1"/>
  <c r="J20" i="6"/>
  <c r="J21" i="6" s="1"/>
  <c r="J23" i="6" s="1"/>
  <c r="I22" i="6"/>
  <c r="H22" i="6"/>
  <c r="G20" i="6"/>
  <c r="H21" i="6"/>
  <c r="H23" i="6" s="1"/>
  <c r="F15" i="7"/>
  <c r="H22" i="7"/>
  <c r="H24" i="7" s="1"/>
  <c r="F21" i="7"/>
  <c r="F22" i="7" s="1"/>
  <c r="F24" i="7" s="1"/>
  <c r="D21" i="7"/>
  <c r="D22" i="7" s="1"/>
  <c r="D24" i="7" s="1"/>
  <c r="E21" i="7"/>
  <c r="E22" i="7" s="1"/>
  <c r="E24" i="7" s="1"/>
  <c r="G21" i="7"/>
  <c r="G22" i="7" s="1"/>
  <c r="G24" i="7" s="1"/>
  <c r="C21" i="7"/>
  <c r="C22" i="7" s="1"/>
  <c r="C24" i="7" s="1"/>
  <c r="I21" i="6"/>
  <c r="I23" i="6" s="1"/>
  <c r="L15" i="7"/>
  <c r="K15" i="7" s="1"/>
  <c r="D14" i="6"/>
  <c r="F12" i="6"/>
  <c r="E14" i="6"/>
  <c r="F9" i="6"/>
  <c r="D9" i="6"/>
  <c r="K28" i="2"/>
  <c r="F28" i="2"/>
  <c r="G28" i="2" s="1"/>
  <c r="E28" i="2" s="1"/>
  <c r="V28" i="2"/>
  <c r="V26" i="2"/>
  <c r="K26" i="2"/>
  <c r="F26" i="2"/>
  <c r="G26" i="2" s="1"/>
  <c r="E26" i="2" s="1"/>
  <c r="V27" i="2"/>
  <c r="K27" i="2"/>
  <c r="F27" i="2"/>
  <c r="G27" i="2" s="1"/>
  <c r="E27" i="2" s="1"/>
  <c r="V25" i="2"/>
  <c r="K25" i="2"/>
  <c r="F25" i="2"/>
  <c r="G25" i="2" s="1"/>
  <c r="E25" i="2" s="1"/>
  <c r="J20" i="7" l="1"/>
  <c r="J23" i="7" s="1"/>
  <c r="I21" i="7"/>
  <c r="I22" i="7" s="1"/>
  <c r="I24" i="7" s="1"/>
  <c r="F20" i="6"/>
  <c r="G22" i="6"/>
  <c r="G21" i="6"/>
  <c r="G23" i="6" s="1"/>
  <c r="K20" i="6"/>
  <c r="J22" i="6"/>
  <c r="G15" i="7"/>
  <c r="H15" i="7" s="1"/>
  <c r="E15" i="6"/>
  <c r="G15" i="6"/>
  <c r="H15" i="6" s="1"/>
  <c r="V30" i="2"/>
  <c r="K30" i="2"/>
  <c r="F30" i="2"/>
  <c r="G30" i="2" s="1"/>
  <c r="E30" i="2" s="1"/>
  <c r="V29" i="2"/>
  <c r="K29" i="2"/>
  <c r="F29" i="2"/>
  <c r="G29" i="2" s="1"/>
  <c r="E29" i="2" s="1"/>
  <c r="V22" i="2"/>
  <c r="K22" i="2"/>
  <c r="F22" i="2"/>
  <c r="G22" i="2" s="1"/>
  <c r="E22" i="2" s="1"/>
  <c r="F24" i="2"/>
  <c r="G24" i="2" s="1"/>
  <c r="E24" i="2" s="1"/>
  <c r="K24" i="2"/>
  <c r="K23" i="2"/>
  <c r="F23" i="2"/>
  <c r="G23" i="2" s="1"/>
  <c r="E23" i="2" s="1"/>
  <c r="V24" i="2"/>
  <c r="V23" i="2"/>
  <c r="K20" i="7" l="1"/>
  <c r="K23" i="7" s="1"/>
  <c r="J21" i="7"/>
  <c r="J22" i="7" s="1"/>
  <c r="J24" i="7" s="1"/>
  <c r="L20" i="6"/>
  <c r="K22" i="6"/>
  <c r="K21" i="6"/>
  <c r="K23" i="6" s="1"/>
  <c r="E20" i="6"/>
  <c r="F22" i="6"/>
  <c r="F21" i="6"/>
  <c r="F23" i="6" s="1"/>
  <c r="O40" i="5"/>
  <c r="N40" i="5"/>
  <c r="L40" i="5"/>
  <c r="I40" i="5"/>
  <c r="E40" i="5"/>
  <c r="D40" i="5"/>
  <c r="C40" i="5"/>
  <c r="O34" i="5"/>
  <c r="N34" i="5"/>
  <c r="L34" i="5"/>
  <c r="I34" i="5"/>
  <c r="E34" i="5"/>
  <c r="D34" i="5"/>
  <c r="C34" i="5"/>
  <c r="O28" i="5"/>
  <c r="N28" i="5"/>
  <c r="L28" i="5"/>
  <c r="I28" i="5"/>
  <c r="E28" i="5"/>
  <c r="D28" i="5"/>
  <c r="C28" i="5"/>
  <c r="O22" i="5"/>
  <c r="N22" i="5"/>
  <c r="L22" i="5"/>
  <c r="I22" i="5"/>
  <c r="E22" i="5"/>
  <c r="D22" i="5"/>
  <c r="C22" i="5"/>
  <c r="O16" i="5"/>
  <c r="N16" i="5"/>
  <c r="L16" i="5"/>
  <c r="I16" i="5"/>
  <c r="E16" i="5"/>
  <c r="D16" i="5"/>
  <c r="C16" i="5"/>
  <c r="O10" i="5"/>
  <c r="N10" i="5"/>
  <c r="L10" i="5"/>
  <c r="I10" i="5"/>
  <c r="E10" i="5"/>
  <c r="D10" i="5"/>
  <c r="C10" i="5"/>
  <c r="L20" i="7" l="1"/>
  <c r="L23" i="7" s="1"/>
  <c r="K21" i="7"/>
  <c r="K22" i="7" s="1"/>
  <c r="K24" i="7" s="1"/>
  <c r="D20" i="6"/>
  <c r="E22" i="6"/>
  <c r="E21" i="6"/>
  <c r="E23" i="6" s="1"/>
  <c r="L22" i="6"/>
  <c r="L21" i="6"/>
  <c r="L23" i="6" s="1"/>
  <c r="AK40" i="5"/>
  <c r="AJ40" i="5"/>
  <c r="AI40" i="5"/>
  <c r="AH40" i="5"/>
  <c r="AG40" i="5"/>
  <c r="AI43" i="5" s="1"/>
  <c r="AE40" i="5"/>
  <c r="AD40" i="5"/>
  <c r="AF40" i="5" s="1"/>
  <c r="Z40" i="5"/>
  <c r="Y40" i="5"/>
  <c r="X40" i="5"/>
  <c r="AK34" i="5"/>
  <c r="AJ34" i="5"/>
  <c r="AI34" i="5"/>
  <c r="AH34" i="5"/>
  <c r="AG34" i="5"/>
  <c r="AF37" i="5" s="1"/>
  <c r="AE34" i="5"/>
  <c r="AD34" i="5"/>
  <c r="AI36" i="5" s="1"/>
  <c r="Z34" i="5"/>
  <c r="Y34" i="5"/>
  <c r="X34" i="5"/>
  <c r="AK28" i="5"/>
  <c r="AJ28" i="5"/>
  <c r="AI28" i="5"/>
  <c r="AH28" i="5"/>
  <c r="AG28" i="5"/>
  <c r="AB28" i="5" s="1"/>
  <c r="AE28" i="5"/>
  <c r="AD28" i="5"/>
  <c r="AF28" i="5" s="1"/>
  <c r="Z28" i="5"/>
  <c r="Y28" i="5"/>
  <c r="X28" i="5"/>
  <c r="AK22" i="5"/>
  <c r="AJ22" i="5"/>
  <c r="AI22" i="5"/>
  <c r="AH22" i="5"/>
  <c r="AG22" i="5"/>
  <c r="AI25" i="5" s="1"/>
  <c r="AE22" i="5"/>
  <c r="AD22" i="5"/>
  <c r="AF22" i="5" s="1"/>
  <c r="Z22" i="5"/>
  <c r="Y22" i="5"/>
  <c r="X22" i="5"/>
  <c r="L21" i="7" l="1"/>
  <c r="L22" i="7" s="1"/>
  <c r="L24" i="7" s="1"/>
  <c r="C20" i="6"/>
  <c r="D22" i="6"/>
  <c r="D21" i="6"/>
  <c r="D23" i="6" s="1"/>
  <c r="N24" i="5"/>
  <c r="AB34" i="5"/>
  <c r="AC34" i="5" s="1"/>
  <c r="AF34" i="5"/>
  <c r="AI30" i="5"/>
  <c r="AI42" i="5"/>
  <c r="AI37" i="5"/>
  <c r="AF30" i="5"/>
  <c r="AC28" i="5"/>
  <c r="AA28" i="5"/>
  <c r="Y31" i="5" s="1"/>
  <c r="AF31" i="5"/>
  <c r="AI31" i="5"/>
  <c r="AB40" i="5"/>
  <c r="AF43" i="5"/>
  <c r="AI24" i="5"/>
  <c r="AB22" i="5"/>
  <c r="AF25" i="5"/>
  <c r="D46" i="5"/>
  <c r="C21" i="6" l="1"/>
  <c r="C23" i="6" s="1"/>
  <c r="C22" i="6"/>
  <c r="AF36" i="5"/>
  <c r="AA34" i="5"/>
  <c r="Y37" i="5" s="1"/>
  <c r="AF42" i="5"/>
  <c r="AC40" i="5"/>
  <c r="AA40" i="5"/>
  <c r="Y43" i="5" s="1"/>
  <c r="AF24" i="5"/>
  <c r="AA22" i="5"/>
  <c r="Y25" i="5" s="1"/>
  <c r="AC22" i="5"/>
  <c r="P40" i="5"/>
  <c r="M40" i="5"/>
  <c r="N43" i="5"/>
  <c r="J40" i="5"/>
  <c r="K40" i="5"/>
  <c r="P34" i="5"/>
  <c r="M34" i="5"/>
  <c r="N37" i="5"/>
  <c r="J34" i="5"/>
  <c r="K34" i="5"/>
  <c r="P28" i="5"/>
  <c r="M28" i="5"/>
  <c r="N31" i="5"/>
  <c r="J28" i="5"/>
  <c r="K28" i="5"/>
  <c r="P22" i="5"/>
  <c r="M22" i="5"/>
  <c r="N25" i="5"/>
  <c r="J22" i="5"/>
  <c r="K22" i="5"/>
  <c r="AK16" i="5"/>
  <c r="AJ16" i="5"/>
  <c r="AI16" i="5"/>
  <c r="AH16" i="5"/>
  <c r="AG16" i="5"/>
  <c r="AI19" i="5" s="1"/>
  <c r="AE16" i="5"/>
  <c r="AD16" i="5"/>
  <c r="AF16" i="5" s="1"/>
  <c r="Z16" i="5"/>
  <c r="Y16" i="5"/>
  <c r="X16" i="5"/>
  <c r="AK10" i="5"/>
  <c r="AJ10" i="5"/>
  <c r="AI10" i="5"/>
  <c r="AH10" i="5"/>
  <c r="AG10" i="5"/>
  <c r="AB10" i="5" s="1"/>
  <c r="AE10" i="5"/>
  <c r="AD10" i="5"/>
  <c r="AF10" i="5" s="1"/>
  <c r="Z10" i="5"/>
  <c r="Y10" i="5"/>
  <c r="X10" i="5"/>
  <c r="N42" i="5" l="1"/>
  <c r="G40" i="5"/>
  <c r="K43" i="5"/>
  <c r="N36" i="5"/>
  <c r="G34" i="5"/>
  <c r="N30" i="5"/>
  <c r="G28" i="5"/>
  <c r="G22" i="5"/>
  <c r="AI18" i="5"/>
  <c r="AB16" i="5"/>
  <c r="AF19" i="5"/>
  <c r="AA10" i="5"/>
  <c r="Y13" i="5" s="1"/>
  <c r="AF12" i="5"/>
  <c r="AC10" i="5"/>
  <c r="AI12" i="5"/>
  <c r="AF13" i="5"/>
  <c r="AI13" i="5"/>
  <c r="K42" i="5" l="1"/>
  <c r="F40" i="5"/>
  <c r="D43" i="5" s="1"/>
  <c r="H40" i="5"/>
  <c r="K36" i="5"/>
  <c r="K37" i="5" s="1"/>
  <c r="H34" i="5"/>
  <c r="F34" i="5"/>
  <c r="D37" i="5" s="1"/>
  <c r="K30" i="5"/>
  <c r="K31" i="5" s="1"/>
  <c r="H28" i="5"/>
  <c r="F28" i="5"/>
  <c r="D31" i="5" s="1"/>
  <c r="K24" i="5"/>
  <c r="K25" i="5" s="1"/>
  <c r="H22" i="5"/>
  <c r="F22" i="5"/>
  <c r="D25" i="5" s="1"/>
  <c r="AF18" i="5"/>
  <c r="AC16" i="5"/>
  <c r="AA16" i="5"/>
  <c r="Y19" i="5" s="1"/>
  <c r="P16" i="5" l="1"/>
  <c r="M16" i="5"/>
  <c r="N19" i="5"/>
  <c r="J16" i="5"/>
  <c r="K16" i="5"/>
  <c r="P10" i="5"/>
  <c r="M10" i="5"/>
  <c r="N13" i="5"/>
  <c r="J10" i="5"/>
  <c r="K10" i="5"/>
  <c r="V4" i="2"/>
  <c r="F4" i="2"/>
  <c r="T4" i="2" s="1"/>
  <c r="Y4" i="2"/>
  <c r="X4" i="2"/>
  <c r="W4" i="2"/>
  <c r="U4" i="2"/>
  <c r="K4" i="2"/>
  <c r="O3" i="5"/>
  <c r="N18" i="5" l="1"/>
  <c r="G16" i="5"/>
  <c r="N12" i="5"/>
  <c r="G10" i="5"/>
  <c r="G4" i="2"/>
  <c r="E4" i="2"/>
  <c r="K18" i="5" l="1"/>
  <c r="K19" i="5" s="1"/>
  <c r="F16" i="5"/>
  <c r="D19" i="5" s="1"/>
  <c r="H16" i="5"/>
  <c r="H10" i="5"/>
  <c r="F10" i="5"/>
  <c r="D13" i="5" s="1"/>
  <c r="K12" i="5"/>
  <c r="K13" i="5" s="1"/>
  <c r="D47" i="5" l="1"/>
  <c r="D48" i="5" s="1"/>
  <c r="Y15" i="2"/>
  <c r="X15" i="2"/>
  <c r="W15" i="2"/>
  <c r="V15" i="2"/>
  <c r="K15" i="2"/>
  <c r="F15" i="2"/>
  <c r="T15" i="2" s="1"/>
  <c r="U15" i="2" s="1"/>
  <c r="Y18" i="2"/>
  <c r="X18" i="2"/>
  <c r="W18" i="2"/>
  <c r="V18" i="2"/>
  <c r="K18" i="2"/>
  <c r="F18" i="2"/>
  <c r="T18" i="2" s="1"/>
  <c r="U18" i="2" s="1"/>
  <c r="Y19" i="2"/>
  <c r="X19" i="2"/>
  <c r="W19" i="2"/>
  <c r="V19" i="2"/>
  <c r="K19" i="2"/>
  <c r="F19" i="2"/>
  <c r="T19" i="2" s="1"/>
  <c r="U19" i="2" s="1"/>
  <c r="Y17" i="2"/>
  <c r="X17" i="2"/>
  <c r="W17" i="2"/>
  <c r="V17" i="2"/>
  <c r="K17" i="2"/>
  <c r="F17" i="2"/>
  <c r="T17" i="2" s="1"/>
  <c r="U17" i="2" s="1"/>
  <c r="Y16" i="2"/>
  <c r="X16" i="2"/>
  <c r="W16" i="2"/>
  <c r="V16" i="2"/>
  <c r="K16" i="2"/>
  <c r="F16" i="2"/>
  <c r="T16" i="2" s="1"/>
  <c r="U16" i="2" s="1"/>
  <c r="Y28" i="2"/>
  <c r="X28" i="2"/>
  <c r="W28" i="2"/>
  <c r="T28" i="2"/>
  <c r="U28" i="2" s="1"/>
  <c r="Y27" i="2"/>
  <c r="X27" i="2"/>
  <c r="W27" i="2"/>
  <c r="T27" i="2"/>
  <c r="U27" i="2" s="1"/>
  <c r="Y26" i="2"/>
  <c r="X26" i="2"/>
  <c r="W26" i="2"/>
  <c r="T26" i="2"/>
  <c r="U26" i="2" s="1"/>
  <c r="Y25" i="2"/>
  <c r="X25" i="2"/>
  <c r="W25" i="2"/>
  <c r="T25" i="2"/>
  <c r="U25" i="2" s="1"/>
  <c r="Y30" i="2"/>
  <c r="X30" i="2"/>
  <c r="W30" i="2"/>
  <c r="T30" i="2"/>
  <c r="U30" i="2" s="1"/>
  <c r="Y29" i="2"/>
  <c r="X29" i="2"/>
  <c r="W29" i="2"/>
  <c r="Y24" i="2"/>
  <c r="X24" i="2"/>
  <c r="W24" i="2"/>
  <c r="T24" i="2"/>
  <c r="U24" i="2" s="1"/>
  <c r="Y23" i="2"/>
  <c r="X23" i="2"/>
  <c r="W23" i="2"/>
  <c r="T23" i="2"/>
  <c r="U23" i="2" s="1"/>
  <c r="J22" i="1"/>
  <c r="Y22" i="2"/>
  <c r="X22" i="2"/>
  <c r="W22" i="2"/>
  <c r="T22" i="2"/>
  <c r="U22" i="2" s="1"/>
  <c r="Y21" i="2"/>
  <c r="X21" i="2"/>
  <c r="W21" i="2"/>
  <c r="T21" i="2"/>
  <c r="U21" i="2" s="1"/>
  <c r="Y14" i="2"/>
  <c r="X14" i="2"/>
  <c r="W14" i="2"/>
  <c r="V14" i="2"/>
  <c r="K14" i="2"/>
  <c r="F14" i="2"/>
  <c r="T14" i="2" s="1"/>
  <c r="U14" i="2" s="1"/>
  <c r="Y13" i="2"/>
  <c r="X13" i="2"/>
  <c r="W13" i="2"/>
  <c r="V13" i="2"/>
  <c r="K13" i="2"/>
  <c r="F13" i="2"/>
  <c r="T13" i="2" s="1"/>
  <c r="U13" i="2" s="1"/>
  <c r="Y10" i="2"/>
  <c r="X10" i="2"/>
  <c r="W10" i="2"/>
  <c r="V10" i="2"/>
  <c r="K10" i="2"/>
  <c r="F10" i="2"/>
  <c r="T10" i="2" s="1"/>
  <c r="U10" i="2" s="1"/>
  <c r="Y12" i="2"/>
  <c r="X12" i="2"/>
  <c r="W12" i="2"/>
  <c r="V12" i="2"/>
  <c r="K12" i="2"/>
  <c r="F12" i="2"/>
  <c r="T12" i="2" s="1"/>
  <c r="U12" i="2" s="1"/>
  <c r="Y11" i="2"/>
  <c r="X11" i="2"/>
  <c r="W11" i="2"/>
  <c r="V11" i="2"/>
  <c r="K11" i="2"/>
  <c r="F11" i="2"/>
  <c r="T11" i="2" s="1"/>
  <c r="U11" i="2" s="1"/>
  <c r="Y9" i="2"/>
  <c r="X9" i="2"/>
  <c r="W9" i="2"/>
  <c r="V9" i="2"/>
  <c r="K9" i="2"/>
  <c r="F9" i="2"/>
  <c r="T9" i="2" s="1"/>
  <c r="U9" i="2" s="1"/>
  <c r="Y8" i="2"/>
  <c r="X8" i="2"/>
  <c r="W8" i="2"/>
  <c r="V8" i="2"/>
  <c r="K8" i="2"/>
  <c r="F8" i="2"/>
  <c r="T8" i="2" s="1"/>
  <c r="U8" i="2" s="1"/>
  <c r="Y7" i="2"/>
  <c r="X7" i="2"/>
  <c r="W7" i="2"/>
  <c r="V7" i="2"/>
  <c r="K7" i="2"/>
  <c r="F7" i="2"/>
  <c r="T7" i="2" s="1"/>
  <c r="U7" i="2" s="1"/>
  <c r="Y6" i="2"/>
  <c r="X6" i="2"/>
  <c r="W6" i="2"/>
  <c r="V6" i="2"/>
  <c r="F6" i="2"/>
  <c r="T6" i="2" s="1"/>
  <c r="U6" i="2" s="1"/>
  <c r="K6" i="2"/>
  <c r="V5" i="2"/>
  <c r="J16" i="1"/>
  <c r="J13" i="1"/>
  <c r="F5" i="2"/>
  <c r="T5" i="2" s="1"/>
  <c r="U5" i="2" s="1"/>
  <c r="J11" i="1"/>
  <c r="B6" i="4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G12" i="2" l="1"/>
  <c r="G5" i="2"/>
  <c r="G15" i="2"/>
  <c r="E15" i="2"/>
  <c r="G18" i="2"/>
  <c r="E18" i="2"/>
  <c r="G19" i="2"/>
  <c r="E19" i="2"/>
  <c r="G17" i="2"/>
  <c r="E17" i="2"/>
  <c r="G16" i="2"/>
  <c r="E16" i="2"/>
  <c r="T29" i="2"/>
  <c r="U29" i="2" s="1"/>
  <c r="G14" i="2"/>
  <c r="E14" i="2"/>
  <c r="G13" i="2"/>
  <c r="E13" i="2"/>
  <c r="G11" i="2"/>
  <c r="G10" i="2"/>
  <c r="E10" i="2"/>
  <c r="E12" i="2"/>
  <c r="E11" i="2"/>
  <c r="G9" i="2"/>
  <c r="E9" i="2"/>
  <c r="G8" i="2"/>
  <c r="E8" i="2"/>
  <c r="G7" i="2"/>
  <c r="E7" i="2"/>
  <c r="G6" i="2"/>
  <c r="E6" i="2"/>
  <c r="E5" i="2"/>
  <c r="J3" i="1"/>
  <c r="Y5" i="2"/>
  <c r="K5" i="2"/>
  <c r="W5" i="2"/>
  <c r="X5" i="2"/>
  <c r="D26" i="1"/>
  <c r="J26" i="1" s="1"/>
  <c r="J27" i="1" s="1"/>
  <c r="J28" i="1" s="1"/>
  <c r="D22" i="1"/>
  <c r="J23" i="1" s="1"/>
  <c r="J24" i="1" s="1"/>
  <c r="J20" i="1"/>
  <c r="J19" i="1" s="1"/>
  <c r="I19" i="1"/>
  <c r="D19" i="1"/>
  <c r="J18" i="1" s="1"/>
  <c r="J14" i="1"/>
  <c r="J15" i="1" s="1"/>
  <c r="J12" i="1"/>
  <c r="J8" i="1"/>
  <c r="J9" i="1" s="1"/>
  <c r="J7" i="1"/>
  <c r="J4" i="1"/>
  <c r="J5" i="1" s="1"/>
</calcChain>
</file>

<file path=xl/comments1.xml><?xml version="1.0" encoding="utf-8"?>
<comments xmlns="http://schemas.openxmlformats.org/spreadsheetml/2006/main">
  <authors>
    <author>Roy Arnott</author>
  </authors>
  <commentList>
    <comment ref="G6" authorId="0" shapeId="0">
      <text>
        <r>
          <rPr>
            <sz val="9"/>
            <color indexed="81"/>
            <rFont val="Tahoma"/>
            <family val="2"/>
          </rPr>
          <t>Seeding rate (lb./ac.) = ((Plants/ft.2 x TKW (g)) ÷ (germination% x seed survival%))  / 10.4 (conversion factor)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Seeding rate (lb./ac.) = ((Plants/ft.2 x TKW (g)) ÷ (germination% x seed survival%))  / 10.4 (conversion factor)</t>
        </r>
      </text>
    </comment>
    <comment ref="AB6" authorId="0" shapeId="0">
      <text>
        <r>
          <rPr>
            <sz val="9"/>
            <color indexed="81"/>
            <rFont val="Tahoma"/>
            <family val="2"/>
          </rPr>
          <t>Seeding rate (lb./ac.) = ((Plants/ft.2 x TKW (g)) ÷ (germination% x seed survival%))  / 10.4 (conversion factor)</t>
        </r>
      </text>
    </comment>
    <comment ref="AC6" authorId="0" shapeId="0">
      <text>
        <r>
          <rPr>
            <sz val="9"/>
            <color indexed="81"/>
            <rFont val="Tahoma"/>
            <family val="2"/>
          </rPr>
          <t>Seeding rate (lb./ac.) = ((Plants/ft.2 x TKW (g)) ÷ (germination% x seed survival%))  / 10.4 (conversion factor)</t>
        </r>
      </text>
    </comment>
  </commentList>
</comments>
</file>

<file path=xl/comments2.xml><?xml version="1.0" encoding="utf-8"?>
<comments xmlns="http://schemas.openxmlformats.org/spreadsheetml/2006/main">
  <authors>
    <author>Roy Arnott</author>
  </authors>
  <commentList>
    <comment ref="C12" authorId="0" shapeId="0">
      <text>
        <r>
          <rPr>
            <sz val="9"/>
            <color indexed="81"/>
            <rFont val="Tahoma"/>
            <family val="2"/>
          </rPr>
          <t>Seeding rate (lb./ac.) = ((Plants/ft.2 x TKW (g)) ÷ (germination% x seed survival%)) ÷ 10.4 (conversion factor)</t>
        </r>
      </text>
    </comment>
    <comment ref="F12" authorId="0" shapeId="0">
      <text>
        <r>
          <rPr>
            <sz val="9"/>
            <color indexed="81"/>
            <rFont val="Tahoma"/>
            <family val="2"/>
          </rPr>
          <t>Units of Seed Required = (Number of acres x ÷ Seeding rate (units/acre))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>Seeds per Pound = ((1000 x 453.592) ÷ TKW (grams))</t>
        </r>
      </text>
    </comment>
    <comment ref="J12" authorId="0" shapeId="0">
      <text>
        <r>
          <rPr>
            <sz val="9"/>
            <color indexed="81"/>
            <rFont val="Tahoma"/>
            <family val="2"/>
          </rPr>
          <t>Seeds per sq. ft.= (Target plants per sq. ft.÷ (Seed germination % x Seed survival expected %))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 xml:space="preserve">Seed per foot row = ((Seed per 100 ft. row ÷ 100) x 1000) ÷  TKW (grams) </t>
        </r>
      </text>
    </comment>
    <comment ref="L12" authorId="0" shapeId="0">
      <text>
        <r>
          <rPr>
            <sz val="9"/>
            <color indexed="81"/>
            <rFont val="Tahoma"/>
            <family val="2"/>
          </rPr>
          <t>Seed per 100 feet of row (grams) = ((Seeding rate (lbs. per acre) x Row spacing (inches)) ÷  11.5 (conversion factor))</t>
        </r>
      </text>
    </comment>
    <comment ref="D14" authorId="0" shapeId="0">
      <text>
        <r>
          <rPr>
            <sz val="9"/>
            <color indexed="81"/>
            <rFont val="Tahoma"/>
            <family val="2"/>
          </rPr>
          <t>Seeding rate (unit/ac.) = (Seeding rate (lb./acre) ÷ Pounds per unit)</t>
        </r>
      </text>
    </comment>
    <comment ref="E14" authorId="0" shapeId="0">
      <text>
        <r>
          <rPr>
            <sz val="9"/>
            <color indexed="81"/>
            <rFont val="Tahoma"/>
            <family val="2"/>
          </rPr>
          <t>Seeding rate (acres/unit) = ( Pounds per unit  ÷ Seeding rate (lb./acre))</t>
        </r>
      </text>
    </comment>
    <comment ref="G14" authorId="0" shapeId="0">
      <text>
        <r>
          <rPr>
            <sz val="9"/>
            <color indexed="81"/>
            <rFont val="Tahoma"/>
            <family val="2"/>
          </rPr>
          <t>Seeding Cost ($/acre) = Seeding rate (lbs. per acre) x (Price per unit  ÷ Pounds per unit)</t>
        </r>
      </text>
    </comment>
    <comment ref="H14" authorId="0" shapeId="0">
      <text>
        <r>
          <rPr>
            <sz val="9"/>
            <color indexed="81"/>
            <rFont val="Tahoma"/>
            <family val="2"/>
          </rPr>
          <t>Total Seed Cost ($) = Seed cost ($ per acre) x Number of acres</t>
        </r>
      </text>
    </comment>
  </commentList>
</comments>
</file>

<file path=xl/comments3.xml><?xml version="1.0" encoding="utf-8"?>
<comments xmlns="http://schemas.openxmlformats.org/spreadsheetml/2006/main">
  <authors>
    <author>Roy Arnott</author>
  </authors>
  <commentList>
    <comment ref="C12" authorId="0" shapeId="0">
      <text>
        <r>
          <rPr>
            <sz val="9"/>
            <color indexed="81"/>
            <rFont val="Tahoma"/>
            <family val="2"/>
          </rPr>
          <t>Seeding rate (lb./ac.) = ((Plants/ft.2 x TKW (g)) ÷ (germination% x seed survival%)) ÷ 10.4 (conversion factor)</t>
        </r>
      </text>
    </comment>
    <comment ref="F12" authorId="0" shapeId="0">
      <text>
        <r>
          <rPr>
            <sz val="9"/>
            <color indexed="81"/>
            <rFont val="Tahoma"/>
            <family val="2"/>
          </rPr>
          <t>Units of Seed Required = (Number of acres x ÷ Seeding rate (units/acre))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>Seeds per Pound = ((1000 x 453.592) ÷ TKW (grams))</t>
        </r>
      </text>
    </comment>
    <comment ref="J12" authorId="0" shapeId="0">
      <text>
        <r>
          <rPr>
            <sz val="9"/>
            <color indexed="81"/>
            <rFont val="Tahoma"/>
            <family val="2"/>
          </rPr>
          <t>Seeds per sq. ft.= (Target plants per acre ÷ (Seed germination % x Seed survival expected %))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 xml:space="preserve">Seed per foot row = ((Seed per 100 ft. row ÷ 100) x 1000) ÷  TKW (grams) </t>
        </r>
      </text>
    </comment>
    <comment ref="L12" authorId="0" shapeId="0">
      <text>
        <r>
          <rPr>
            <sz val="9"/>
            <color indexed="81"/>
            <rFont val="Tahoma"/>
            <family val="2"/>
          </rPr>
          <t>Seed per 100 feet of row (grams) = ((Seeding rate (lbs. per acre) x Row spacing (inches)) ÷  11.5 (conversion factor))</t>
        </r>
      </text>
    </comment>
    <comment ref="D14" authorId="0" shapeId="0">
      <text>
        <r>
          <rPr>
            <sz val="9"/>
            <color indexed="81"/>
            <rFont val="Tahoma"/>
            <family val="2"/>
          </rPr>
          <t>Seeding rate (unit/ac.) = Seeding rate (lb./acre) ÷ ((TWK (grams) ÷ 453.592) x (Seeds per unit ÷ 1,000))</t>
        </r>
      </text>
    </comment>
    <comment ref="E14" authorId="0" shapeId="0">
      <text>
        <r>
          <rPr>
            <sz val="9"/>
            <color indexed="81"/>
            <rFont val="Tahoma"/>
            <family val="2"/>
          </rPr>
          <t>Seeding rate (acres/unit = Seeds per unit ÷ Seeds per acre</t>
        </r>
      </text>
    </comment>
    <comment ref="G14" authorId="0" shapeId="0">
      <text>
        <r>
          <rPr>
            <sz val="9"/>
            <color indexed="81"/>
            <rFont val="Tahoma"/>
            <family val="2"/>
          </rPr>
          <t>Seeding Cost ($/acre) = Seeding rate (units per acre) x Price per unit</t>
        </r>
      </text>
    </comment>
    <comment ref="H14" authorId="0" shapeId="0">
      <text>
        <r>
          <rPr>
            <sz val="9"/>
            <color indexed="81"/>
            <rFont val="Tahoma"/>
            <family val="2"/>
          </rPr>
          <t>Total Seed Cost ($) = Seed cost ($ per acre) x Number of acres</t>
        </r>
      </text>
    </comment>
  </commentList>
</comments>
</file>

<file path=xl/comments4.xml><?xml version="1.0" encoding="utf-8"?>
<comments xmlns="http://schemas.openxmlformats.org/spreadsheetml/2006/main">
  <authors>
    <author>Roy Arnott</author>
  </authors>
  <commentList>
    <comment ref="F1" authorId="0" shapeId="0">
      <text>
        <r>
          <rPr>
            <sz val="9"/>
            <color indexed="81"/>
            <rFont val="Tahoma"/>
            <family val="2"/>
          </rPr>
          <t>Seeding rate (lb./ac.) = ((Plants/ft.2 x TKW (g)) ÷ (germination% x seed survival%))  / 10.4 (conversion factor)</t>
        </r>
      </text>
    </comment>
    <comment ref="G1" authorId="0" shapeId="0">
      <text>
        <r>
          <rPr>
            <sz val="9"/>
            <color indexed="81"/>
            <rFont val="Tahoma"/>
            <family val="2"/>
          </rPr>
          <t>Seeding rate (lb./ac.) = ((Plants/ft.2 x TKW (g)) ÷ (germination% x seed survival%))  / 10.4 (conversion factor)</t>
        </r>
      </text>
    </comment>
    <comment ref="T1" authorId="0" shapeId="0">
      <text>
        <r>
          <rPr>
            <sz val="9"/>
            <color indexed="81"/>
            <rFont val="Tahoma"/>
            <family val="2"/>
          </rPr>
          <t>Seed weight per 100 ft./row (g) = (seeding rate (lb./ac.) x row spacing (in.)) / 11.5 (conversion factor)</t>
        </r>
      </text>
    </comment>
    <comment ref="U1" authorId="0" shapeId="0">
      <text>
        <r>
          <rPr>
            <sz val="9"/>
            <color indexed="81"/>
            <rFont val="Tahoma"/>
            <family val="2"/>
          </rPr>
          <t xml:space="preserve">Seed per foot of row = ((Seed Weight per 100 ft (g) /100) * 1000) / TKW (g)
</t>
        </r>
      </text>
    </comment>
    <comment ref="V1" authorId="0" shapeId="0">
      <text>
        <r>
          <rPr>
            <sz val="9"/>
            <color indexed="81"/>
            <rFont val="Tahoma"/>
            <family val="2"/>
          </rPr>
          <t>Seeds/ac = plants per acre / (germination% x seed survival%)</t>
        </r>
      </text>
    </comment>
  </commentList>
</comments>
</file>

<file path=xl/sharedStrings.xml><?xml version="1.0" encoding="utf-8"?>
<sst xmlns="http://schemas.openxmlformats.org/spreadsheetml/2006/main" count="544" uniqueCount="201">
  <si>
    <t>Emergence</t>
  </si>
  <si>
    <t>Crop</t>
  </si>
  <si>
    <t>Variety</t>
  </si>
  <si>
    <t>Optimal Targeted Stand</t>
  </si>
  <si>
    <t>Germination (%)</t>
  </si>
  <si>
    <t>Mortality (%)</t>
  </si>
  <si>
    <t>Row Spacing</t>
  </si>
  <si>
    <t>TKW</t>
  </si>
  <si>
    <t>Targeted Seeding Rate</t>
  </si>
  <si>
    <t>Wheat</t>
  </si>
  <si>
    <t>Brandon</t>
  </si>
  <si>
    <t>plants/ft2</t>
  </si>
  <si>
    <t>lbs/ac</t>
  </si>
  <si>
    <t>32-34</t>
  </si>
  <si>
    <t>10-15%</t>
  </si>
  <si>
    <t>grams seed/100ft row</t>
  </si>
  <si>
    <t>seeds/ft of row</t>
  </si>
  <si>
    <t>Oats</t>
  </si>
  <si>
    <t>ORE3542</t>
  </si>
  <si>
    <t>28-30</t>
  </si>
  <si>
    <t>Canola</t>
  </si>
  <si>
    <t>L233P</t>
  </si>
  <si>
    <t>7 to 14</t>
  </si>
  <si>
    <t>20-60%</t>
  </si>
  <si>
    <t>**two different calcs, same number</t>
  </si>
  <si>
    <t>Navies</t>
  </si>
  <si>
    <t>T9905</t>
  </si>
  <si>
    <t>85-100</t>
  </si>
  <si>
    <t>seeds/ac</t>
  </si>
  <si>
    <t>seeds/lb</t>
  </si>
  <si>
    <t>Soybeans</t>
  </si>
  <si>
    <t>RR1</t>
  </si>
  <si>
    <t>140-160</t>
  </si>
  <si>
    <t>10-25%</t>
  </si>
  <si>
    <t>Seeding rate for canola = 9.6 x target plant stand x TKW = Seeding Rate / % Survivability</t>
  </si>
  <si>
    <r>
      <t>Seeding rate (lb./ac.) = (Plants/ft.</t>
    </r>
    <r>
      <rPr>
        <vertAlign val="superscript"/>
        <sz val="8"/>
        <rFont val="Inherit"/>
      </rPr>
      <t>2</t>
    </r>
    <r>
      <rPr>
        <sz val="10.5"/>
        <rFont val="Arial"/>
        <family val="2"/>
      </rPr>
      <t> x TKW (g) ÷ seed survival rate)  / 10.4 (conversion factor)</t>
    </r>
  </si>
  <si>
    <t>Targeted plant stand = 7 plants/ft2</t>
  </si>
  <si>
    <t>Seed weight per 100 ft./row (g) = (seeding rate (lb./ac.) x row spacing (in.)) / 11.5 (conversion factor)</t>
  </si>
  <si>
    <t>Emergence = 50% in cold conditions and 75% in good conditions</t>
  </si>
  <si>
    <t>Seed per foot of row = ((Seed Weight per 100 ft (g) /100) * 1000) / TKW (g)</t>
  </si>
  <si>
    <t xml:space="preserve"> = plants per acre / (germ% x (1-mortality%))</t>
  </si>
  <si>
    <t xml:space="preserve">1 AC = </t>
  </si>
  <si>
    <t>ft2</t>
  </si>
  <si>
    <t>https://2020seedlabs.ca/1000-kernel-weight/</t>
  </si>
  <si>
    <t>1 LB =</t>
  </si>
  <si>
    <t>grams</t>
  </si>
  <si>
    <t>To find Soybean seeds/lb</t>
  </si>
  <si>
    <t>Weight out 100 grams of seed</t>
  </si>
  <si>
    <t>Count all seeds</t>
  </si>
  <si>
    <t>Multiply by 4.54</t>
  </si>
  <si>
    <t>***For splits, count them seperatly and divide by 2 to add with the total.  Then bump seeding rate!***</t>
  </si>
  <si>
    <t>Wheat - Hard Red Spring</t>
  </si>
  <si>
    <t>Wheat - Winter</t>
  </si>
  <si>
    <t>Wheat - Northern Hard Red</t>
  </si>
  <si>
    <t>Peas</t>
  </si>
  <si>
    <t>Fall Rye - Hybrid</t>
  </si>
  <si>
    <t>Beans - Pinto</t>
  </si>
  <si>
    <t>Flaxseed</t>
  </si>
  <si>
    <t>Beans - White</t>
  </si>
  <si>
    <t>Sunflower Oil</t>
  </si>
  <si>
    <t>Sunflower Confectionary</t>
  </si>
  <si>
    <t>Barley</t>
  </si>
  <si>
    <t>Wheat - Prairie Spring</t>
  </si>
  <si>
    <t>Beans - Black</t>
  </si>
  <si>
    <t>Hempseed</t>
  </si>
  <si>
    <t>Beans - Kidney</t>
  </si>
  <si>
    <t>Fababean</t>
  </si>
  <si>
    <t>Buckwheat</t>
  </si>
  <si>
    <t>Canaryseed</t>
  </si>
  <si>
    <t>Lentil</t>
  </si>
  <si>
    <t>Corn - Grain</t>
  </si>
  <si>
    <t>Corn - Silage</t>
  </si>
  <si>
    <t>low</t>
  </si>
  <si>
    <t>high</t>
  </si>
  <si>
    <t>Optimal</t>
  </si>
  <si>
    <t>Target Plant Stand Population</t>
  </si>
  <si>
    <t>1,000 Kernal Weight</t>
  </si>
  <si>
    <t>Actual</t>
  </si>
  <si>
    <t>Seeds per pound</t>
  </si>
  <si>
    <t>%</t>
  </si>
  <si>
    <t>Seed</t>
  </si>
  <si>
    <t>Germination</t>
  </si>
  <si>
    <t>Expected</t>
  </si>
  <si>
    <t>per Unit</t>
  </si>
  <si>
    <t>Price</t>
  </si>
  <si>
    <t>unit</t>
  </si>
  <si>
    <t>Pounds</t>
  </si>
  <si>
    <t>per unit</t>
  </si>
  <si>
    <t>ROW</t>
  </si>
  <si>
    <t>UNIT</t>
  </si>
  <si>
    <t>Row</t>
  </si>
  <si>
    <t>Spacing</t>
  </si>
  <si>
    <t>(inches)</t>
  </si>
  <si>
    <t>Seed and Treatment</t>
  </si>
  <si>
    <t>Seeding</t>
  </si>
  <si>
    <t>Rate</t>
  </si>
  <si>
    <t>Seed Survival (Emergence)</t>
  </si>
  <si>
    <r>
      <t>Seeding rate (lb./ac.) = ((Plants/ft.</t>
    </r>
    <r>
      <rPr>
        <vertAlign val="superscript"/>
        <sz val="8"/>
        <rFont val="Inherit"/>
      </rPr>
      <t>2</t>
    </r>
    <r>
      <rPr>
        <sz val="10.5"/>
        <rFont val="Arial"/>
        <family val="2"/>
      </rPr>
      <t> x TKW (g)) ÷ (germination% x seed survival rate%))  / 10.4 (conversion factor)</t>
    </r>
  </si>
  <si>
    <t>100 ft. row</t>
  </si>
  <si>
    <t>Seed per</t>
  </si>
  <si>
    <t>(grams)</t>
  </si>
  <si>
    <t>row</t>
  </si>
  <si>
    <t>low range</t>
  </si>
  <si>
    <t>high range</t>
  </si>
  <si>
    <t>Seeds/ac = plants per acre / (germination% x seed survival%)</t>
  </si>
  <si>
    <t>Seeds</t>
  </si>
  <si>
    <t>per</t>
  </si>
  <si>
    <r>
      <t>per ft.</t>
    </r>
    <r>
      <rPr>
        <vertAlign val="superscript"/>
        <sz val="10"/>
        <rFont val="Arial"/>
        <family val="2"/>
      </rPr>
      <t>2</t>
    </r>
  </si>
  <si>
    <r>
      <t>per m</t>
    </r>
    <r>
      <rPr>
        <vertAlign val="superscript"/>
        <sz val="10"/>
        <rFont val="Arial"/>
        <family val="2"/>
      </rPr>
      <t>2</t>
    </r>
  </si>
  <si>
    <t>range</t>
  </si>
  <si>
    <t>/ft. of</t>
  </si>
  <si>
    <t>acre</t>
  </si>
  <si>
    <t>(lb./acre)</t>
  </si>
  <si>
    <t>($/acre)</t>
  </si>
  <si>
    <t>Cost</t>
  </si>
  <si>
    <t>(units/ac)</t>
  </si>
  <si>
    <t>CROP</t>
  </si>
  <si>
    <t>. . . . . . . . . . . . . . . . . . . . . . . . . . . . . . . . . . . . . . . . . . . . . . . . . . . . . . . . . . . . . .</t>
  </si>
  <si>
    <t>Printed:</t>
  </si>
  <si>
    <r>
      <t xml:space="preserve">*** Enter changes to </t>
    </r>
    <r>
      <rPr>
        <b/>
        <sz val="10"/>
        <color indexed="12"/>
        <rFont val="Arial"/>
        <family val="2"/>
      </rPr>
      <t>BLUE</t>
    </r>
    <r>
      <rPr>
        <b/>
        <sz val="10"/>
        <color indexed="48"/>
        <rFont val="Arial"/>
        <family val="2"/>
      </rPr>
      <t xml:space="preserve"> </t>
    </r>
    <r>
      <rPr>
        <b/>
        <sz val="10"/>
        <rFont val="Arial"/>
        <family val="2"/>
      </rPr>
      <t>values only ***</t>
    </r>
  </si>
  <si>
    <t>Version 1.0</t>
  </si>
  <si>
    <t>#1</t>
  </si>
  <si>
    <t>low - high</t>
  </si>
  <si>
    <t>Range</t>
  </si>
  <si>
    <t>Seed Survival</t>
  </si>
  <si>
    <t>Acres</t>
  </si>
  <si>
    <t>Total Cost</t>
  </si>
  <si>
    <t>Row Spacing (inches)</t>
  </si>
  <si>
    <t>Seed per 100ft. Row (grams)</t>
  </si>
  <si>
    <t>Seeds per ft. row</t>
  </si>
  <si>
    <t>Seeds per acre</t>
  </si>
  <si>
    <r>
      <t>Range/ft.</t>
    </r>
    <r>
      <rPr>
        <b/>
        <vertAlign val="superscript"/>
        <sz val="10"/>
        <rFont val="Arial"/>
        <family val="2"/>
      </rPr>
      <t>2</t>
    </r>
  </si>
  <si>
    <r>
      <t>per ft.</t>
    </r>
    <r>
      <rPr>
        <b/>
        <vertAlign val="superscript"/>
        <sz val="10"/>
        <rFont val="Arial"/>
        <family val="2"/>
      </rPr>
      <t>2</t>
    </r>
  </si>
  <si>
    <r>
      <t>per m</t>
    </r>
    <r>
      <rPr>
        <b/>
        <vertAlign val="superscript"/>
        <sz val="10"/>
        <rFont val="Arial"/>
        <family val="2"/>
      </rPr>
      <t>2</t>
    </r>
  </si>
  <si>
    <t>(enter variety)</t>
  </si>
  <si>
    <t>(Select Crop)</t>
  </si>
  <si>
    <t>#2</t>
  </si>
  <si>
    <t>MERFELD - Seeding Rate &amp; Seed Cost Calculator</t>
  </si>
  <si>
    <t>#3</t>
  </si>
  <si>
    <t>#4</t>
  </si>
  <si>
    <t>#5</t>
  </si>
  <si>
    <t>#6</t>
  </si>
  <si>
    <t xml:space="preserve">Created and maintained by </t>
  </si>
  <si>
    <t xml:space="preserve">For more information, contact your nearest </t>
  </si>
  <si>
    <t>Roy Arnott</t>
  </si>
  <si>
    <t>Darren Bond</t>
  </si>
  <si>
    <t>Farm Management Specialist</t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</si>
  <si>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This budget is only a guide and is not intended as an in-depth study of seeding rates. Interpretation and use of this information is the responsibility of the user.  If you need help with a budget, contact your nearest ARD and MASC Service Centre location.</t>
    </r>
  </si>
  <si>
    <t>bigyield</t>
  </si>
  <si>
    <t>D.V. thanks for the idea!</t>
  </si>
  <si>
    <t>December, 2021</t>
  </si>
  <si>
    <t>Plants</t>
  </si>
  <si>
    <t>Total Acres</t>
  </si>
  <si>
    <t>Average Seed Cost per Acre</t>
  </si>
  <si>
    <t xml:space="preserve"> Total Seed Cost</t>
  </si>
  <si>
    <t>bigbin</t>
  </si>
  <si>
    <t>ridgeville</t>
  </si>
  <si>
    <t>Number</t>
  </si>
  <si>
    <t>Wheat - Special Purpose</t>
  </si>
  <si>
    <t xml:space="preserve">Seed </t>
  </si>
  <si>
    <t>Required</t>
  </si>
  <si>
    <t>Bag</t>
  </si>
  <si>
    <t>Unit</t>
  </si>
  <si>
    <t>Kg</t>
  </si>
  <si>
    <t>Tonne</t>
  </si>
  <si>
    <t>Bu</t>
  </si>
  <si>
    <t>Lb</t>
  </si>
  <si>
    <t>Foot Row</t>
  </si>
  <si>
    <t>100ft. Row</t>
  </si>
  <si>
    <t>Seeding Rate</t>
  </si>
  <si>
    <t>Pound</t>
  </si>
  <si>
    <t>Acre</t>
  </si>
  <si>
    <t>Germ</t>
  </si>
  <si>
    <t>1,000 Seed</t>
  </si>
  <si>
    <r>
      <t>Plants/ft.</t>
    </r>
    <r>
      <rPr>
        <b/>
        <vertAlign val="superscript"/>
        <sz val="10"/>
        <rFont val="Arial"/>
        <family val="2"/>
      </rPr>
      <t>2</t>
    </r>
  </si>
  <si>
    <r>
      <t>Plants/m</t>
    </r>
    <r>
      <rPr>
        <b/>
        <vertAlign val="superscript"/>
        <sz val="10"/>
        <rFont val="Arial"/>
        <family val="2"/>
      </rPr>
      <t>2</t>
    </r>
  </si>
  <si>
    <t>Wt. (grams)</t>
  </si>
  <si>
    <t>Expected %</t>
  </si>
  <si>
    <t>. . . . . . . . . . . . . . . . . . . . . . . . . . . . . . . . . . . . . . . . . . . . . . . . . . . . . . . . . . . . . . . .</t>
  </si>
  <si>
    <t>Enter Variety Name Here</t>
  </si>
  <si>
    <t>Total $</t>
  </si>
  <si>
    <t>$/acre</t>
  </si>
  <si>
    <t>Seed Cost</t>
  </si>
  <si>
    <t xml:space="preserve">Row </t>
  </si>
  <si>
    <t>Small Grains - Seeding Rate &amp; Cost Calculator</t>
  </si>
  <si>
    <t>#MERFELD</t>
  </si>
  <si>
    <t>(Select Crop - Other)</t>
  </si>
  <si>
    <t>Plants/Acre</t>
  </si>
  <si>
    <t>. . . . . . . . . . . . . . . . . . . . . . . . . . . . . . . . . . . . . . . . . . . . . . . . . . . . . . . . . . . . . . . . . . . . .</t>
  </si>
  <si>
    <t>Seeding Rate (lbs/acre)</t>
  </si>
  <si>
    <t>Seed Cost ($/acre)</t>
  </si>
  <si>
    <r>
      <t>Seed Survival</t>
    </r>
    <r>
      <rPr>
        <b/>
        <vertAlign val="superscript"/>
        <sz val="10"/>
        <rFont val="Arial"/>
        <family val="2"/>
      </rPr>
      <t>1</t>
    </r>
  </si>
  <si>
    <r>
      <rPr>
        <b/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Seed/Seedling Survival % can be impacted by seed quality, seed placed fertilizer, insect damage, and frost damage.</t>
    </r>
  </si>
  <si>
    <t>Sq. Foot</t>
  </si>
  <si>
    <r>
      <t>Seeding Rate (seed/sq.ft</t>
    </r>
    <r>
      <rPr>
        <b/>
        <sz val="10"/>
        <rFont val="Arial"/>
        <family val="2"/>
      </rPr>
      <t>)</t>
    </r>
  </si>
  <si>
    <t>Seeding Rate (seeds/ac)</t>
  </si>
  <si>
    <t xml:space="preserve">Speciality Crop - Seeding Rate &amp; Cost Calculator   </t>
  </si>
  <si>
    <r>
      <t>Seed Survival %</t>
    </r>
    <r>
      <rPr>
        <b/>
        <vertAlign val="superscript"/>
        <sz val="10"/>
        <rFont val="Arial"/>
        <family val="2"/>
      </rPr>
      <t>1</t>
    </r>
  </si>
  <si>
    <t xml:space="preserve">Risk &amp; Sensitivity Analysis (Stess Test) </t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</si>
  <si>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This budget is only a guide and is not intended as an in-depth study of seeding rates. Interpretation and use of this information is the responsibility of the user.  If you need help with a budget, contact a Farm Management Specialist.</t>
    </r>
  </si>
  <si>
    <t>December,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</si>
</sst>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0.0"/>
    <numFmt numFmtId="166" formatCode="#,##0.0"/>
    <numFmt numFmtId="167" formatCode="0.000%"/>
    <numFmt numFmtId="168" formatCode="&quot;$&quot;#,##0.00"/>
    <numFmt numFmtId="169" formatCode="&quot;$&quot;#,##0"/>
  </numFmts>
  <fonts count="34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.5"/>
      <name val="Arial"/>
      <family val="2"/>
    </font>
    <font>
      <vertAlign val="superscript"/>
      <sz val="8"/>
      <name val="Inherit"/>
    </font>
    <font>
      <sz val="11"/>
      <name val="Calibri"/>
      <family val="2"/>
    </font>
    <font>
      <u/>
      <sz val="10"/>
      <color theme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8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11"/>
      <color theme="1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u/>
      <sz val="11"/>
      <color theme="10"/>
      <name val="Arial"/>
      <family val="2"/>
    </font>
    <font>
      <sz val="11"/>
      <name val="Arial"/>
      <family val="2"/>
    </font>
    <font>
      <b/>
      <u/>
      <sz val="11"/>
      <color rgb="FF0000FF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</font>
    <font>
      <b/>
      <sz val="12"/>
      <name val="Arial"/>
      <family val="2"/>
    </font>
    <font>
      <b/>
      <i/>
      <sz val="10"/>
      <color rgb="FF0000FF"/>
      <name val="Arial"/>
      <family val="2"/>
    </font>
    <font>
      <b/>
      <sz val="12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2773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4" fillId="0" borderId="0">
      <alignment vertical="top"/>
    </xf>
    <xf numFmtId="168" fontId="23" fillId="0" borderId="0">
      <alignment vertical="top"/>
    </xf>
    <xf numFmtId="0" fontId="30" fillId="0" borderId="0" applyNumberFormat="0" applyFill="0" applyBorder="0" applyAlignment="0" applyProtection="0">
      <alignment vertical="top"/>
      <protection locked="0"/>
    </xf>
    <xf numFmtId="168" fontId="23" fillId="0" borderId="0">
      <alignment vertical="top"/>
    </xf>
  </cellStyleXfs>
  <cellXfs count="33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/>
    <xf numFmtId="1" fontId="0" fillId="0" borderId="0" xfId="1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2" borderId="0" xfId="0" applyNumberFormat="1" applyFill="1"/>
    <xf numFmtId="9" fontId="0" fillId="0" borderId="0" xfId="1" applyFont="1" applyAlignment="1">
      <alignment horizontal="center"/>
    </xf>
    <xf numFmtId="9" fontId="4" fillId="0" borderId="0" xfId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ill="1"/>
    <xf numFmtId="1" fontId="1" fillId="3" borderId="0" xfId="1" applyNumberFormat="1" applyFont="1" applyFill="1" applyAlignment="1">
      <alignment horizontal="center"/>
    </xf>
    <xf numFmtId="0" fontId="0" fillId="0" borderId="0" xfId="0" applyAlignment="1">
      <alignment horizontal="right"/>
    </xf>
    <xf numFmtId="9" fontId="0" fillId="0" borderId="0" xfId="1" applyFont="1"/>
    <xf numFmtId="2" fontId="0" fillId="0" borderId="0" xfId="0" applyNumberFormat="1"/>
    <xf numFmtId="1" fontId="4" fillId="0" borderId="0" xfId="1" applyNumberFormat="1" applyFont="1" applyAlignment="1">
      <alignment horizontal="center"/>
    </xf>
    <xf numFmtId="1" fontId="0" fillId="0" borderId="0" xfId="1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16" fontId="4" fillId="0" borderId="0" xfId="0" applyNumberFormat="1" applyFont="1" applyAlignment="1">
      <alignment horizontal="center"/>
    </xf>
    <xf numFmtId="165" fontId="0" fillId="0" borderId="0" xfId="0" applyNumberFormat="1" applyFill="1"/>
    <xf numFmtId="0" fontId="4" fillId="2" borderId="0" xfId="0" applyFont="1" applyFill="1"/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4" fontId="0" fillId="2" borderId="0" xfId="0" applyNumberFormat="1" applyFill="1"/>
    <xf numFmtId="3" fontId="0" fillId="2" borderId="0" xfId="0" applyNumberFormat="1" applyFill="1"/>
    <xf numFmtId="3" fontId="0" fillId="0" borderId="0" xfId="0" applyNumberFormat="1"/>
    <xf numFmtId="9" fontId="0" fillId="0" borderId="0" xfId="0" applyNumberFormat="1"/>
    <xf numFmtId="167" fontId="0" fillId="0" borderId="0" xfId="0" applyNumberFormat="1"/>
    <xf numFmtId="1" fontId="0" fillId="0" borderId="0" xfId="0" applyNumberFormat="1" applyFill="1"/>
    <xf numFmtId="0" fontId="0" fillId="0" borderId="0" xfId="0" applyFill="1"/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vertical="center"/>
    </xf>
    <xf numFmtId="0" fontId="4" fillId="0" borderId="0" xfId="2" applyFont="1"/>
    <xf numFmtId="0" fontId="4" fillId="0" borderId="0" xfId="2"/>
    <xf numFmtId="0" fontId="8" fillId="0" borderId="0" xfId="3"/>
    <xf numFmtId="0" fontId="0" fillId="0" borderId="3" xfId="0" applyBorder="1"/>
    <xf numFmtId="9" fontId="9" fillId="0" borderId="0" xfId="1" applyNumberFormat="1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8" fontId="9" fillId="0" borderId="0" xfId="0" applyNumberFormat="1" applyFont="1" applyAlignment="1">
      <alignment horizontal="center"/>
    </xf>
    <xf numFmtId="0" fontId="10" fillId="2" borderId="0" xfId="0" applyFont="1" applyFill="1"/>
    <xf numFmtId="0" fontId="9" fillId="2" borderId="0" xfId="0" applyFont="1" applyFill="1"/>
    <xf numFmtId="0" fontId="4" fillId="0" borderId="1" xfId="0" applyFont="1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/>
    <xf numFmtId="0" fontId="0" fillId="0" borderId="13" xfId="0" applyBorder="1"/>
    <xf numFmtId="0" fontId="4" fillId="0" borderId="1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0" fillId="0" borderId="2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7" xfId="0" applyBorder="1" applyAlignment="1">
      <alignment horizontal="center"/>
    </xf>
    <xf numFmtId="1" fontId="0" fillId="2" borderId="0" xfId="1" applyNumberFormat="1" applyFont="1" applyFill="1" applyAlignment="1">
      <alignment horizontal="center"/>
    </xf>
    <xf numFmtId="0" fontId="9" fillId="4" borderId="6" xfId="0" applyFont="1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0" fontId="4" fillId="0" borderId="9" xfId="0" applyFont="1" applyFill="1" applyBorder="1" applyAlignment="1">
      <alignment horizontal="center"/>
    </xf>
    <xf numFmtId="3" fontId="10" fillId="0" borderId="0" xfId="0" applyNumberFormat="1" applyFont="1"/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3" fillId="0" borderId="4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8" fontId="10" fillId="0" borderId="0" xfId="0" applyNumberFormat="1" applyFont="1" applyAlignment="1">
      <alignment horizontal="center"/>
    </xf>
    <xf numFmtId="0" fontId="13" fillId="0" borderId="4" xfId="0" applyFont="1" applyFill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Fill="1" applyAlignment="1" applyProtection="1"/>
    <xf numFmtId="0" fontId="14" fillId="0" borderId="0" xfId="0" applyFont="1" applyFill="1" applyAlignment="1" applyProtection="1">
      <alignment horizontal="center"/>
    </xf>
    <xf numFmtId="0" fontId="0" fillId="0" borderId="0" xfId="0" applyFill="1" applyAlignment="1" applyProtection="1"/>
    <xf numFmtId="0" fontId="15" fillId="0" borderId="0" xfId="0" applyFont="1" applyFill="1" applyAlignment="1" applyProtection="1"/>
    <xf numFmtId="0" fontId="16" fillId="5" borderId="0" xfId="0" applyFont="1" applyFill="1" applyAlignment="1" applyProtection="1"/>
    <xf numFmtId="0" fontId="17" fillId="5" borderId="0" xfId="0" applyFont="1" applyFill="1" applyAlignment="1" applyProtection="1"/>
    <xf numFmtId="0" fontId="17" fillId="5" borderId="0" xfId="0" applyFont="1" applyFill="1" applyAlignment="1" applyProtection="1">
      <alignment horizontal="center"/>
    </xf>
    <xf numFmtId="0" fontId="18" fillId="5" borderId="0" xfId="0" applyFont="1" applyFill="1" applyAlignment="1" applyProtection="1">
      <alignment horizontal="right" vertical="center"/>
    </xf>
    <xf numFmtId="0" fontId="19" fillId="0" borderId="0" xfId="0" applyFont="1" applyFill="1" applyProtection="1"/>
    <xf numFmtId="0" fontId="14" fillId="0" borderId="0" xfId="0" applyFont="1" applyFill="1" applyProtection="1"/>
    <xf numFmtId="0" fontId="10" fillId="0" borderId="0" xfId="0" applyFont="1" applyFill="1" applyProtection="1"/>
    <xf numFmtId="0" fontId="14" fillId="0" borderId="0" xfId="0" applyFont="1" applyProtection="1"/>
    <xf numFmtId="0" fontId="22" fillId="0" borderId="0" xfId="0" applyFont="1" applyFill="1" applyAlignment="1" applyProtection="1">
      <alignment horizontal="right"/>
    </xf>
    <xf numFmtId="0" fontId="4" fillId="0" borderId="0" xfId="4" applyFont="1" applyAlignment="1" applyProtection="1">
      <alignment horizontal="left"/>
    </xf>
    <xf numFmtId="0" fontId="0" fillId="0" borderId="0" xfId="0" applyBorder="1" applyProtection="1"/>
    <xf numFmtId="0" fontId="23" fillId="0" borderId="0" xfId="4" applyFont="1" applyAlignment="1" applyProtection="1"/>
    <xf numFmtId="0" fontId="4" fillId="0" borderId="0" xfId="4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Fill="1" applyBorder="1" applyAlignment="1">
      <alignment horizontal="center"/>
    </xf>
    <xf numFmtId="169" fontId="10" fillId="0" borderId="0" xfId="0" applyNumberFormat="1" applyFont="1" applyAlignment="1">
      <alignment horizontal="center"/>
    </xf>
    <xf numFmtId="0" fontId="10" fillId="0" borderId="0" xfId="0" applyFont="1"/>
    <xf numFmtId="3" fontId="10" fillId="0" borderId="0" xfId="0" applyNumberFormat="1" applyFont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/>
    <xf numFmtId="0" fontId="10" fillId="0" borderId="9" xfId="0" applyFont="1" applyBorder="1" applyAlignment="1">
      <alignment horizontal="center"/>
    </xf>
    <xf numFmtId="0" fontId="10" fillId="0" borderId="2" xfId="0" applyFont="1" applyBorder="1"/>
    <xf numFmtId="0" fontId="10" fillId="0" borderId="3" xfId="0" applyFont="1" applyBorder="1"/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9" fillId="4" borderId="6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12" xfId="0" applyFont="1" applyBorder="1"/>
    <xf numFmtId="0" fontId="10" fillId="0" borderId="14" xfId="0" applyFont="1" applyBorder="1"/>
    <xf numFmtId="9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68" fontId="9" fillId="0" borderId="0" xfId="0" applyNumberFormat="1" applyFont="1" applyFill="1" applyAlignment="1" applyProtection="1">
      <alignment horizontal="center"/>
      <protection locked="0"/>
    </xf>
    <xf numFmtId="0" fontId="19" fillId="0" borderId="0" xfId="0" applyFont="1" applyBorder="1" applyAlignment="1" applyProtection="1"/>
    <xf numFmtId="0" fontId="0" fillId="0" borderId="0" xfId="0" applyFont="1" applyProtection="1"/>
    <xf numFmtId="0" fontId="0" fillId="0" borderId="15" xfId="0" applyFont="1" applyBorder="1" applyProtection="1"/>
    <xf numFmtId="0" fontId="19" fillId="0" borderId="15" xfId="0" applyFont="1" applyBorder="1" applyAlignment="1" applyProtection="1">
      <alignment horizontal="right"/>
    </xf>
    <xf numFmtId="1" fontId="0" fillId="0" borderId="0" xfId="0" applyNumberFormat="1" applyFont="1" applyProtection="1"/>
    <xf numFmtId="0" fontId="0" fillId="0" borderId="0" xfId="0" applyFont="1"/>
    <xf numFmtId="165" fontId="0" fillId="0" borderId="0" xfId="0" applyNumberFormat="1" applyFont="1"/>
    <xf numFmtId="168" fontId="0" fillId="0" borderId="0" xfId="0" applyNumberFormat="1" applyFont="1"/>
    <xf numFmtId="0" fontId="19" fillId="0" borderId="13" xfId="0" applyFont="1" applyBorder="1" applyAlignment="1" applyProtection="1">
      <alignment horizontal="left" vertical="center"/>
    </xf>
    <xf numFmtId="0" fontId="0" fillId="0" borderId="13" xfId="0" applyFont="1" applyBorder="1" applyAlignment="1" applyProtection="1"/>
    <xf numFmtId="168" fontId="27" fillId="0" borderId="0" xfId="5" applyFont="1" applyFill="1" applyProtection="1">
      <alignment vertical="top"/>
      <protection locked="0"/>
    </xf>
    <xf numFmtId="168" fontId="28" fillId="0" borderId="0" xfId="3" applyNumberFormat="1" applyFont="1" applyAlignment="1" applyProtection="1">
      <alignment vertical="top"/>
    </xf>
    <xf numFmtId="168" fontId="27" fillId="0" borderId="0" xfId="5" applyFont="1" applyFill="1">
      <alignment vertical="top"/>
    </xf>
    <xf numFmtId="0" fontId="29" fillId="0" borderId="0" xfId="0" applyFont="1" applyFill="1" applyAlignment="1" applyProtection="1"/>
    <xf numFmtId="168" fontId="27" fillId="0" borderId="0" xfId="5" applyFont="1" applyFill="1" applyProtection="1">
      <alignment vertical="top"/>
    </xf>
    <xf numFmtId="0" fontId="26" fillId="0" borderId="0" xfId="6" applyFont="1" applyAlignment="1" applyProtection="1">
      <alignment horizontal="center" vertical="top"/>
      <protection locked="0"/>
    </xf>
    <xf numFmtId="168" fontId="27" fillId="0" borderId="0" xfId="5" applyFont="1" applyFill="1" applyBorder="1" applyProtection="1">
      <alignment vertical="top"/>
    </xf>
    <xf numFmtId="168" fontId="27" fillId="0" borderId="0" xfId="5" applyFont="1" applyBorder="1" applyProtection="1">
      <alignment vertical="top"/>
    </xf>
    <xf numFmtId="0" fontId="27" fillId="0" borderId="0" xfId="0" applyFont="1" applyFill="1" applyAlignment="1" applyProtection="1"/>
    <xf numFmtId="168" fontId="27" fillId="0" borderId="0" xfId="7" applyFont="1" applyFill="1" applyProtection="1">
      <alignment vertical="top"/>
    </xf>
    <xf numFmtId="168" fontId="28" fillId="0" borderId="0" xfId="3" applyNumberFormat="1" applyFont="1" applyAlignment="1" applyProtection="1">
      <alignment vertical="top"/>
      <protection locked="0"/>
    </xf>
    <xf numFmtId="0" fontId="31" fillId="0" borderId="0" xfId="0" applyFont="1" applyAlignment="1">
      <alignment horizontal="right"/>
    </xf>
    <xf numFmtId="0" fontId="31" fillId="0" borderId="0" xfId="0" applyFont="1"/>
    <xf numFmtId="169" fontId="31" fillId="0" borderId="0" xfId="0" applyNumberFormat="1" applyFont="1"/>
    <xf numFmtId="0" fontId="0" fillId="0" borderId="15" xfId="0" applyBorder="1"/>
    <xf numFmtId="0" fontId="31" fillId="0" borderId="15" xfId="0" applyFont="1" applyBorder="1"/>
    <xf numFmtId="169" fontId="31" fillId="0" borderId="15" xfId="0" applyNumberFormat="1" applyFont="1" applyBorder="1"/>
    <xf numFmtId="168" fontId="10" fillId="0" borderId="0" xfId="5" applyFont="1" applyFill="1" applyAlignment="1">
      <alignment horizontal="right" vertical="top"/>
    </xf>
    <xf numFmtId="0" fontId="9" fillId="4" borderId="0" xfId="0" applyFont="1" applyFill="1" applyBorder="1" applyAlignment="1" applyProtection="1">
      <alignment horizontal="center"/>
      <protection locked="0"/>
    </xf>
    <xf numFmtId="168" fontId="10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 horizontal="center"/>
    </xf>
    <xf numFmtId="169" fontId="10" fillId="0" borderId="0" xfId="0" applyNumberFormat="1" applyFont="1" applyBorder="1" applyAlignment="1">
      <alignment horizontal="center"/>
    </xf>
    <xf numFmtId="2" fontId="0" fillId="6" borderId="0" xfId="0" applyNumberFormat="1" applyFill="1"/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25" fillId="0" borderId="12" xfId="0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10" fillId="0" borderId="16" xfId="0" applyFont="1" applyBorder="1"/>
    <xf numFmtId="0" fontId="0" fillId="0" borderId="17" xfId="0" applyBorder="1"/>
    <xf numFmtId="0" fontId="4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4" fillId="0" borderId="22" xfId="0" applyFont="1" applyBorder="1"/>
    <xf numFmtId="169" fontId="10" fillId="0" borderId="22" xfId="0" applyNumberFormat="1" applyFont="1" applyBorder="1" applyAlignment="1">
      <alignment horizontal="center"/>
    </xf>
    <xf numFmtId="0" fontId="9" fillId="4" borderId="22" xfId="0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>
      <alignment horizontal="right"/>
    </xf>
    <xf numFmtId="0" fontId="10" fillId="0" borderId="22" xfId="0" applyFont="1" applyBorder="1" applyAlignment="1">
      <alignment horizontal="center"/>
    </xf>
    <xf numFmtId="0" fontId="4" fillId="0" borderId="22" xfId="0" applyFont="1" applyFill="1" applyBorder="1" applyAlignment="1">
      <alignment horizontal="right"/>
    </xf>
    <xf numFmtId="3" fontId="10" fillId="0" borderId="22" xfId="0" applyNumberFormat="1" applyFont="1" applyBorder="1" applyAlignment="1">
      <alignment horizontal="center"/>
    </xf>
    <xf numFmtId="0" fontId="0" fillId="0" borderId="23" xfId="0" applyBorder="1"/>
    <xf numFmtId="0" fontId="0" fillId="0" borderId="16" xfId="0" applyBorder="1"/>
    <xf numFmtId="0" fontId="0" fillId="0" borderId="18" xfId="0" applyBorder="1"/>
    <xf numFmtId="0" fontId="4" fillId="0" borderId="19" xfId="0" applyFont="1" applyBorder="1"/>
    <xf numFmtId="2" fontId="10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3" fontId="10" fillId="7" borderId="0" xfId="0" applyNumberFormat="1" applyFont="1" applyFill="1"/>
    <xf numFmtId="168" fontId="9" fillId="0" borderId="0" xfId="0" applyNumberFormat="1" applyFont="1" applyFill="1" applyBorder="1" applyAlignment="1" applyProtection="1">
      <alignment horizontal="center"/>
      <protection locked="0"/>
    </xf>
    <xf numFmtId="9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left"/>
    </xf>
    <xf numFmtId="14" fontId="18" fillId="5" borderId="0" xfId="0" applyNumberFormat="1" applyFont="1" applyFill="1" applyAlignment="1" applyProtection="1">
      <alignment horizontal="center" vertical="center"/>
    </xf>
    <xf numFmtId="0" fontId="0" fillId="0" borderId="0" xfId="0" applyAlignment="1">
      <alignment horizontal="center"/>
    </xf>
    <xf numFmtId="3" fontId="9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2" fillId="0" borderId="12" xfId="0" applyFont="1" applyBorder="1" applyAlignment="1" applyProtection="1">
      <alignment horizontal="left"/>
      <protection locked="0"/>
    </xf>
    <xf numFmtId="168" fontId="4" fillId="0" borderId="0" xfId="5" applyFont="1" applyAlignment="1" applyProtection="1">
      <alignment vertical="top" wrapText="1"/>
    </xf>
    <xf numFmtId="0" fontId="33" fillId="0" borderId="6" xfId="0" applyFont="1" applyFill="1" applyBorder="1" applyAlignment="1" applyProtection="1">
      <alignment horizontal="left"/>
      <protection locked="0"/>
    </xf>
    <xf numFmtId="0" fontId="10" fillId="0" borderId="9" xfId="0" applyFont="1" applyFill="1" applyBorder="1" applyAlignment="1" applyProtection="1">
      <alignment horizontal="left"/>
    </xf>
    <xf numFmtId="0" fontId="0" fillId="0" borderId="9" xfId="0" applyBorder="1" applyProtection="1"/>
    <xf numFmtId="0" fontId="4" fillId="0" borderId="9" xfId="0" applyFont="1" applyBorder="1" applyAlignment="1" applyProtection="1">
      <alignment horizontal="right"/>
    </xf>
    <xf numFmtId="169" fontId="10" fillId="0" borderId="9" xfId="0" applyNumberFormat="1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/>
    </xf>
    <xf numFmtId="0" fontId="10" fillId="0" borderId="9" xfId="0" applyFont="1" applyFill="1" applyBorder="1" applyAlignment="1" applyProtection="1">
      <alignment horizontal="center"/>
    </xf>
    <xf numFmtId="0" fontId="10" fillId="0" borderId="9" xfId="0" applyFont="1" applyBorder="1" applyProtection="1"/>
    <xf numFmtId="0" fontId="0" fillId="0" borderId="14" xfId="0" applyBorder="1" applyProtection="1"/>
    <xf numFmtId="0" fontId="10" fillId="0" borderId="10" xfId="0" applyFont="1" applyBorder="1" applyAlignment="1" applyProtection="1">
      <alignment horizontal="center"/>
    </xf>
    <xf numFmtId="0" fontId="10" fillId="0" borderId="10" xfId="0" applyFont="1" applyFill="1" applyBorder="1" applyAlignment="1" applyProtection="1">
      <alignment horizontal="center"/>
    </xf>
    <xf numFmtId="0" fontId="10" fillId="0" borderId="11" xfId="0" applyFont="1" applyBorder="1" applyProtection="1"/>
    <xf numFmtId="0" fontId="10" fillId="0" borderId="11" xfId="0" applyFont="1" applyBorder="1" applyAlignment="1" applyProtection="1">
      <alignment horizontal="center"/>
    </xf>
    <xf numFmtId="0" fontId="25" fillId="0" borderId="11" xfId="0" applyFont="1" applyBorder="1" applyAlignment="1" applyProtection="1">
      <alignment horizontal="left"/>
    </xf>
    <xf numFmtId="0" fontId="25" fillId="0" borderId="11" xfId="0" applyFont="1" applyBorder="1" applyAlignment="1" applyProtection="1">
      <alignment horizontal="center"/>
    </xf>
    <xf numFmtId="0" fontId="25" fillId="0" borderId="11" xfId="0" applyFont="1" applyBorder="1" applyProtection="1"/>
    <xf numFmtId="0" fontId="10" fillId="0" borderId="0" xfId="0" applyFont="1" applyBorder="1" applyAlignment="1" applyProtection="1">
      <alignment horizontal="center"/>
    </xf>
    <xf numFmtId="0" fontId="0" fillId="0" borderId="12" xfId="0" applyBorder="1" applyProtection="1"/>
    <xf numFmtId="169" fontId="10" fillId="0" borderId="0" xfId="0" applyNumberFormat="1" applyFont="1" applyBorder="1" applyAlignment="1" applyProtection="1">
      <alignment horizontal="center"/>
    </xf>
    <xf numFmtId="0" fontId="10" fillId="0" borderId="2" xfId="0" applyFont="1" applyFill="1" applyBorder="1" applyProtection="1"/>
    <xf numFmtId="0" fontId="10" fillId="0" borderId="12" xfId="0" applyFont="1" applyFill="1" applyBorder="1" applyAlignment="1" applyProtection="1">
      <alignment horizontal="center"/>
    </xf>
    <xf numFmtId="0" fontId="25" fillId="0" borderId="4" xfId="0" applyFont="1" applyFill="1" applyBorder="1" applyAlignment="1" applyProtection="1">
      <alignment horizontal="center"/>
    </xf>
    <xf numFmtId="0" fontId="25" fillId="0" borderId="5" xfId="0" applyFont="1" applyBorder="1" applyProtection="1"/>
    <xf numFmtId="0" fontId="10" fillId="0" borderId="24" xfId="0" applyFont="1" applyFill="1" applyBorder="1" applyAlignment="1" applyProtection="1">
      <alignment horizontal="center"/>
    </xf>
    <xf numFmtId="169" fontId="10" fillId="0" borderId="24" xfId="0" applyNumberFormat="1" applyFont="1" applyBorder="1" applyAlignment="1" applyProtection="1">
      <alignment horizontal="center"/>
    </xf>
    <xf numFmtId="0" fontId="0" fillId="0" borderId="4" xfId="0" applyBorder="1" applyProtection="1"/>
    <xf numFmtId="165" fontId="10" fillId="0" borderId="15" xfId="0" applyNumberFormat="1" applyFont="1" applyBorder="1" applyAlignment="1" applyProtection="1">
      <alignment horizontal="center"/>
    </xf>
    <xf numFmtId="2" fontId="10" fillId="0" borderId="15" xfId="0" applyNumberFormat="1" applyFont="1" applyBorder="1" applyAlignment="1" applyProtection="1">
      <alignment horizontal="center"/>
    </xf>
    <xf numFmtId="168" fontId="10" fillId="0" borderId="15" xfId="0" applyNumberFormat="1" applyFont="1" applyBorder="1" applyAlignment="1" applyProtection="1">
      <alignment horizontal="center"/>
    </xf>
    <xf numFmtId="169" fontId="10" fillId="0" borderId="15" xfId="0" applyNumberFormat="1" applyFont="1" applyBorder="1" applyAlignment="1" applyProtection="1">
      <alignment horizontal="center"/>
    </xf>
    <xf numFmtId="3" fontId="10" fillId="0" borderId="15" xfId="0" applyNumberFormat="1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/>
      <protection locked="0"/>
    </xf>
    <xf numFmtId="168" fontId="10" fillId="0" borderId="0" xfId="5" applyFont="1" applyFill="1" applyAlignment="1" applyProtection="1">
      <alignment horizontal="right" vertical="top"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165" fontId="10" fillId="0" borderId="15" xfId="0" applyNumberFormat="1" applyFont="1" applyFill="1" applyBorder="1" applyAlignment="1" applyProtection="1">
      <alignment horizontal="center"/>
    </xf>
    <xf numFmtId="2" fontId="10" fillId="0" borderId="15" xfId="0" applyNumberFormat="1" applyFont="1" applyFill="1" applyBorder="1" applyAlignment="1" applyProtection="1">
      <alignment horizontal="center"/>
    </xf>
    <xf numFmtId="168" fontId="10" fillId="0" borderId="15" xfId="0" applyNumberFormat="1" applyFont="1" applyFill="1" applyBorder="1" applyAlignment="1" applyProtection="1">
      <alignment horizontal="center"/>
    </xf>
    <xf numFmtId="169" fontId="10" fillId="0" borderId="15" xfId="0" applyNumberFormat="1" applyFont="1" applyFill="1" applyBorder="1" applyAlignment="1" applyProtection="1">
      <alignment horizontal="center"/>
    </xf>
    <xf numFmtId="3" fontId="10" fillId="0" borderId="15" xfId="0" applyNumberFormat="1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>
      <alignment horizontal="center"/>
    </xf>
    <xf numFmtId="0" fontId="10" fillId="0" borderId="5" xfId="0" applyFont="1" applyFill="1" applyBorder="1" applyAlignment="1" applyProtection="1">
      <alignment horizontal="center"/>
    </xf>
    <xf numFmtId="1" fontId="10" fillId="0" borderId="15" xfId="0" applyNumberFormat="1" applyFont="1" applyFill="1" applyBorder="1" applyAlignment="1" applyProtection="1">
      <alignment horizontal="center"/>
    </xf>
    <xf numFmtId="2" fontId="10" fillId="0" borderId="0" xfId="0" applyNumberFormat="1" applyFont="1" applyFill="1" applyBorder="1" applyAlignment="1">
      <alignment horizontal="center"/>
    </xf>
    <xf numFmtId="9" fontId="10" fillId="0" borderId="1" xfId="0" applyNumberFormat="1" applyFont="1" applyBorder="1" applyAlignment="1">
      <alignment horizontal="center"/>
    </xf>
    <xf numFmtId="9" fontId="10" fillId="0" borderId="7" xfId="0" applyNumberFormat="1" applyFont="1" applyBorder="1" applyAlignment="1">
      <alignment horizontal="center"/>
    </xf>
    <xf numFmtId="9" fontId="10" fillId="8" borderId="7" xfId="0" applyNumberFormat="1" applyFont="1" applyFill="1" applyBorder="1" applyAlignment="1">
      <alignment horizontal="center"/>
    </xf>
    <xf numFmtId="9" fontId="10" fillId="0" borderId="8" xfId="0" applyNumberFormat="1" applyFont="1" applyBorder="1" applyAlignment="1">
      <alignment horizontal="center"/>
    </xf>
    <xf numFmtId="168" fontId="10" fillId="0" borderId="4" xfId="0" applyNumberFormat="1" applyFont="1" applyFill="1" applyBorder="1" applyAlignment="1">
      <alignment horizontal="center"/>
    </xf>
    <xf numFmtId="168" fontId="10" fillId="0" borderId="15" xfId="0" applyNumberFormat="1" applyFont="1" applyFill="1" applyBorder="1" applyAlignment="1">
      <alignment horizontal="center"/>
    </xf>
    <xf numFmtId="168" fontId="10" fillId="8" borderId="15" xfId="0" applyNumberFormat="1" applyFont="1" applyFill="1" applyBorder="1" applyAlignment="1">
      <alignment horizontal="center"/>
    </xf>
    <xf numFmtId="168" fontId="10" fillId="0" borderId="5" xfId="0" applyNumberFormat="1" applyFont="1" applyFill="1" applyBorder="1" applyAlignment="1">
      <alignment horizontal="center"/>
    </xf>
    <xf numFmtId="0" fontId="4" fillId="0" borderId="9" xfId="0" applyFont="1" applyBorder="1"/>
    <xf numFmtId="0" fontId="10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2" fontId="10" fillId="0" borderId="12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2" fontId="10" fillId="8" borderId="0" xfId="0" applyNumberFormat="1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 horizontal="center"/>
    </xf>
    <xf numFmtId="9" fontId="9" fillId="0" borderId="9" xfId="0" applyNumberFormat="1" applyFont="1" applyFill="1" applyBorder="1" applyAlignment="1" applyProtection="1">
      <alignment horizontal="center"/>
      <protection locked="0"/>
    </xf>
    <xf numFmtId="1" fontId="10" fillId="8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165" fontId="10" fillId="0" borderId="13" xfId="0" applyNumberFormat="1" applyFont="1" applyFill="1" applyBorder="1" applyAlignment="1">
      <alignment horizontal="center"/>
    </xf>
    <xf numFmtId="165" fontId="10" fillId="8" borderId="13" xfId="0" applyNumberFormat="1" applyFont="1" applyFill="1" applyBorder="1" applyAlignment="1">
      <alignment horizontal="center"/>
    </xf>
    <xf numFmtId="165" fontId="10" fillId="0" borderId="3" xfId="0" applyNumberFormat="1" applyFont="1" applyFill="1" applyBorder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1" fontId="10" fillId="0" borderId="14" xfId="0" applyNumberFormat="1" applyFont="1" applyFill="1" applyBorder="1" applyAlignment="1">
      <alignment horizontal="center"/>
    </xf>
    <xf numFmtId="3" fontId="10" fillId="8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/>
    </xf>
    <xf numFmtId="0" fontId="33" fillId="8" borderId="6" xfId="0" applyFont="1" applyFill="1" applyBorder="1" applyAlignment="1" applyProtection="1">
      <alignment horizontal="left"/>
      <protection locked="0"/>
    </xf>
    <xf numFmtId="165" fontId="0" fillId="7" borderId="0" xfId="0" applyNumberFormat="1" applyFill="1" applyAlignment="1">
      <alignment horizontal="center"/>
    </xf>
    <xf numFmtId="0" fontId="10" fillId="0" borderId="9" xfId="0" applyFont="1" applyBorder="1" applyAlignment="1" applyProtection="1">
      <alignment horizontal="center" vertical="center"/>
    </xf>
    <xf numFmtId="168" fontId="4" fillId="0" borderId="0" xfId="5" applyFont="1" applyAlignment="1" applyProtection="1">
      <alignment horizontal="left" vertical="top" wrapText="1"/>
    </xf>
    <xf numFmtId="0" fontId="10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4" fontId="18" fillId="5" borderId="0" xfId="0" applyNumberFormat="1" applyFont="1" applyFill="1" applyAlignment="1" applyProtection="1">
      <alignment horizontal="center" vertical="center"/>
    </xf>
    <xf numFmtId="0" fontId="25" fillId="0" borderId="1" xfId="0" applyFont="1" applyBorder="1" applyAlignment="1" applyProtection="1">
      <alignment horizontal="center"/>
    </xf>
    <xf numFmtId="0" fontId="25" fillId="0" borderId="8" xfId="0" applyFont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168" fontId="1" fillId="0" borderId="13" xfId="5" applyFont="1" applyBorder="1" applyAlignment="1" applyProtection="1">
      <alignment horizontal="left" vertical="center" wrapText="1"/>
    </xf>
    <xf numFmtId="168" fontId="4" fillId="0" borderId="13" xfId="5" applyFont="1" applyBorder="1" applyAlignment="1" applyProtection="1">
      <alignment horizontal="left" vertical="center" wrapText="1"/>
    </xf>
    <xf numFmtId="168" fontId="4" fillId="0" borderId="0" xfId="5" applyFont="1" applyAlignment="1" applyProtection="1">
      <alignment horizontal="left" vertical="center" wrapText="1"/>
    </xf>
    <xf numFmtId="0" fontId="10" fillId="0" borderId="0" xfId="0" applyFont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5" fillId="0" borderId="4" xfId="0" applyFont="1" applyBorder="1" applyAlignment="1" applyProtection="1">
      <alignment horizontal="center"/>
    </xf>
    <xf numFmtId="0" fontId="25" fillId="0" borderId="5" xfId="0" applyFont="1" applyBorder="1" applyAlignment="1" applyProtection="1">
      <alignment horizontal="center"/>
    </xf>
    <xf numFmtId="3" fontId="9" fillId="0" borderId="13" xfId="0" applyNumberFormat="1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Hyperlink" xfId="3" builtinId="8"/>
    <cellStyle name="Hyperlink 2" xfId="6"/>
    <cellStyle name="Normal" xfId="0" builtinId="0"/>
    <cellStyle name="Normal 2" xfId="4"/>
    <cellStyle name="Normal 3" xfId="2"/>
    <cellStyle name="Normal_Farrow-Wean 500" xfId="5"/>
    <cellStyle name="Normal_Farrow-Wean 500 2" xfId="7"/>
    <cellStyle name="Percent" xfId="1" builtinId="5"/>
  </cellStyles>
  <dxfs count="0"/>
  <tableStyles count="0" defaultTableStyle="TableStyleMedium2" defaultPivotStyle="PivotStyleLight16"/>
  <colors>
    <mruColors>
      <color rgb="FF0000FF"/>
      <color rgb="FF4277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ov.mb.ca/agriculture/contact/index.html" TargetMode="External"/><Relationship Id="rId2" Type="http://schemas.openxmlformats.org/officeDocument/2006/relationships/hyperlink" Target="https://www.gov.mb.ca/agriculture/farm-management/farm-business-management-contacts.html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gov.mb.ca/agriculture/farm-management/farm-business-management-contacts.html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gov.mb.ca/agriculture/farm-management/farm-business-management-contacts.html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390525</xdr:colOff>
      <xdr:row>0</xdr:row>
      <xdr:rowOff>64163</xdr:rowOff>
    </xdr:from>
    <xdr:to>
      <xdr:col>15</xdr:col>
      <xdr:colOff>314324</xdr:colOff>
      <xdr:row>1</xdr:row>
      <xdr:rowOff>199118</xdr:rowOff>
    </xdr:to>
    <xdr:pic>
      <xdr:nvPicPr>
        <xdr:cNvPr id="3" name="Picture 6" descr="GovMB_Logo_black-1374 10percent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5" y="64163"/>
          <a:ext cx="2038350" cy="477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66675</xdr:colOff>
      <xdr:row>9</xdr:row>
      <xdr:rowOff>57150</xdr:rowOff>
    </xdr:from>
    <xdr:to>
      <xdr:col>20</xdr:col>
      <xdr:colOff>51880</xdr:colOff>
      <xdr:row>11</xdr:row>
      <xdr:rowOff>180974</xdr:rowOff>
    </xdr:to>
    <xdr:sp macro="[0]!reset1" textlink="">
      <xdr:nvSpPr>
        <xdr:cNvPr id="4" name="Rounded Rectangle 3"/>
        <xdr:cNvSpPr/>
      </xdr:nvSpPr>
      <xdr:spPr>
        <a:xfrm>
          <a:off x="10706100" y="2238375"/>
          <a:ext cx="2423605" cy="409574"/>
        </a:xfrm>
        <a:prstGeom prst="roundRect">
          <a:avLst/>
        </a:prstGeom>
        <a:solidFill>
          <a:schemeClr val="bg1">
            <a:lumMod val="85000"/>
          </a:schemeClr>
        </a:solidFill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 u="none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Press to Reset </a:t>
          </a:r>
          <a:r>
            <a:rPr lang="en-US" sz="1200" b="1" u="none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 </a:t>
          </a:r>
          <a:r>
            <a:rPr lang="en-US" sz="1000" b="1" u="none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(Crop#1</a:t>
          </a:r>
          <a:r>
            <a:rPr lang="en-US" sz="1000" b="1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)</a:t>
          </a:r>
        </a:p>
      </xdr:txBody>
    </xdr:sp>
    <xdr:clientData fPrintsWithSheet="0"/>
  </xdr:twoCellAnchor>
  <xdr:twoCellAnchor>
    <xdr:from>
      <xdr:col>16</xdr:col>
      <xdr:colOff>47625</xdr:colOff>
      <xdr:row>15</xdr:row>
      <xdr:rowOff>0</xdr:rowOff>
    </xdr:from>
    <xdr:to>
      <xdr:col>20</xdr:col>
      <xdr:colOff>32830</xdr:colOff>
      <xdr:row>17</xdr:row>
      <xdr:rowOff>123824</xdr:rowOff>
    </xdr:to>
    <xdr:sp macro="[0]!reset2" textlink="">
      <xdr:nvSpPr>
        <xdr:cNvPr id="5" name="Rounded Rectangle 4"/>
        <xdr:cNvSpPr/>
      </xdr:nvSpPr>
      <xdr:spPr>
        <a:xfrm>
          <a:off x="10687050" y="3038475"/>
          <a:ext cx="2423605" cy="409574"/>
        </a:xfrm>
        <a:prstGeom prst="roundRect">
          <a:avLst/>
        </a:prstGeom>
        <a:solidFill>
          <a:schemeClr val="bg1">
            <a:lumMod val="85000"/>
          </a:schemeClr>
        </a:solidFill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 u="none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Press to Reset </a:t>
          </a:r>
          <a:r>
            <a:rPr lang="en-US" sz="1200" b="1" u="none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 </a:t>
          </a:r>
          <a:r>
            <a:rPr lang="en-US" sz="1000" b="1" u="none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(Crop#2</a:t>
          </a:r>
          <a:r>
            <a:rPr lang="en-US" sz="1000" b="1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)</a:t>
          </a:r>
        </a:p>
      </xdr:txBody>
    </xdr:sp>
    <xdr:clientData fPrintsWithSheet="0"/>
  </xdr:twoCellAnchor>
  <xdr:twoCellAnchor>
    <xdr:from>
      <xdr:col>16</xdr:col>
      <xdr:colOff>47625</xdr:colOff>
      <xdr:row>21</xdr:row>
      <xdr:rowOff>0</xdr:rowOff>
    </xdr:from>
    <xdr:to>
      <xdr:col>20</xdr:col>
      <xdr:colOff>32830</xdr:colOff>
      <xdr:row>23</xdr:row>
      <xdr:rowOff>76199</xdr:rowOff>
    </xdr:to>
    <xdr:sp macro="[0]!reset3" textlink="">
      <xdr:nvSpPr>
        <xdr:cNvPr id="6" name="Rounded Rectangle 5"/>
        <xdr:cNvSpPr/>
      </xdr:nvSpPr>
      <xdr:spPr>
        <a:xfrm>
          <a:off x="10687050" y="4010025"/>
          <a:ext cx="2423605" cy="409574"/>
        </a:xfrm>
        <a:prstGeom prst="roundRect">
          <a:avLst/>
        </a:prstGeom>
        <a:solidFill>
          <a:schemeClr val="bg1">
            <a:lumMod val="85000"/>
          </a:schemeClr>
        </a:solidFill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 u="none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Press to Reset </a:t>
          </a:r>
          <a:r>
            <a:rPr lang="en-US" sz="1200" b="1" u="none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 </a:t>
          </a:r>
          <a:r>
            <a:rPr lang="en-US" sz="1000" b="1" u="none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(Crop#3</a:t>
          </a:r>
          <a:r>
            <a:rPr lang="en-US" sz="1000" b="1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)</a:t>
          </a:r>
        </a:p>
      </xdr:txBody>
    </xdr:sp>
    <xdr:clientData fPrintsWithSheet="0"/>
  </xdr:twoCellAnchor>
  <xdr:twoCellAnchor>
    <xdr:from>
      <xdr:col>16</xdr:col>
      <xdr:colOff>47625</xdr:colOff>
      <xdr:row>26</xdr:row>
      <xdr:rowOff>161925</xdr:rowOff>
    </xdr:from>
    <xdr:to>
      <xdr:col>20</xdr:col>
      <xdr:colOff>32830</xdr:colOff>
      <xdr:row>29</xdr:row>
      <xdr:rowOff>66674</xdr:rowOff>
    </xdr:to>
    <xdr:sp macro="[0]!reset4" textlink="">
      <xdr:nvSpPr>
        <xdr:cNvPr id="7" name="Rounded Rectangle 6"/>
        <xdr:cNvSpPr/>
      </xdr:nvSpPr>
      <xdr:spPr>
        <a:xfrm>
          <a:off x="10687050" y="4848225"/>
          <a:ext cx="2423605" cy="409574"/>
        </a:xfrm>
        <a:prstGeom prst="roundRect">
          <a:avLst/>
        </a:prstGeom>
        <a:solidFill>
          <a:schemeClr val="bg1">
            <a:lumMod val="85000"/>
          </a:schemeClr>
        </a:solidFill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 u="none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Press to Reset </a:t>
          </a:r>
          <a:r>
            <a:rPr lang="en-US" sz="1200" b="1" u="none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 </a:t>
          </a:r>
          <a:r>
            <a:rPr lang="en-US" sz="1000" b="1" u="none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(Crop#4</a:t>
          </a:r>
          <a:r>
            <a:rPr lang="en-US" sz="1000" b="1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)</a:t>
          </a:r>
        </a:p>
      </xdr:txBody>
    </xdr:sp>
    <xdr:clientData fPrintsWithSheet="0"/>
  </xdr:twoCellAnchor>
  <xdr:twoCellAnchor>
    <xdr:from>
      <xdr:col>16</xdr:col>
      <xdr:colOff>66675</xdr:colOff>
      <xdr:row>33</xdr:row>
      <xdr:rowOff>0</xdr:rowOff>
    </xdr:from>
    <xdr:to>
      <xdr:col>20</xdr:col>
      <xdr:colOff>51880</xdr:colOff>
      <xdr:row>35</xdr:row>
      <xdr:rowOff>76199</xdr:rowOff>
    </xdr:to>
    <xdr:sp macro="[0]!reset5" textlink="">
      <xdr:nvSpPr>
        <xdr:cNvPr id="8" name="Rounded Rectangle 7"/>
        <xdr:cNvSpPr/>
      </xdr:nvSpPr>
      <xdr:spPr>
        <a:xfrm>
          <a:off x="10706100" y="5705475"/>
          <a:ext cx="2423605" cy="409574"/>
        </a:xfrm>
        <a:prstGeom prst="roundRect">
          <a:avLst/>
        </a:prstGeom>
        <a:solidFill>
          <a:schemeClr val="bg1">
            <a:lumMod val="85000"/>
          </a:schemeClr>
        </a:solidFill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 u="none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Press to Reset </a:t>
          </a:r>
          <a:r>
            <a:rPr lang="en-US" sz="1200" b="1" u="none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 </a:t>
          </a:r>
          <a:r>
            <a:rPr lang="en-US" sz="1000" b="1" u="none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(Crop#5</a:t>
          </a:r>
          <a:r>
            <a:rPr lang="en-US" sz="1000" b="1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)</a:t>
          </a:r>
        </a:p>
      </xdr:txBody>
    </xdr:sp>
    <xdr:clientData fPrintsWithSheet="0"/>
  </xdr:twoCellAnchor>
  <xdr:twoCellAnchor>
    <xdr:from>
      <xdr:col>16</xdr:col>
      <xdr:colOff>66675</xdr:colOff>
      <xdr:row>39</xdr:row>
      <xdr:rowOff>0</xdr:rowOff>
    </xdr:from>
    <xdr:to>
      <xdr:col>20</xdr:col>
      <xdr:colOff>51880</xdr:colOff>
      <xdr:row>41</xdr:row>
      <xdr:rowOff>76199</xdr:rowOff>
    </xdr:to>
    <xdr:sp macro="[0]!reset6" textlink="">
      <xdr:nvSpPr>
        <xdr:cNvPr id="10" name="Rounded Rectangle 9"/>
        <xdr:cNvSpPr/>
      </xdr:nvSpPr>
      <xdr:spPr>
        <a:xfrm>
          <a:off x="10706100" y="6553200"/>
          <a:ext cx="2423605" cy="409574"/>
        </a:xfrm>
        <a:prstGeom prst="roundRect">
          <a:avLst/>
        </a:prstGeom>
        <a:solidFill>
          <a:schemeClr val="bg1">
            <a:lumMod val="85000"/>
          </a:schemeClr>
        </a:solidFill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 u="none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Press to Reset </a:t>
          </a:r>
          <a:r>
            <a:rPr lang="en-US" sz="1200" b="1" u="none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 </a:t>
          </a:r>
          <a:r>
            <a:rPr lang="en-US" sz="1000" b="1" u="none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(Crop#6</a:t>
          </a:r>
          <a:r>
            <a:rPr lang="en-US" sz="1000" b="1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)</a:t>
          </a:r>
        </a:p>
      </xdr:txBody>
    </xdr:sp>
    <xdr:clientData fPrintsWithSheet="0"/>
  </xdr:twoCellAnchor>
  <xdr:twoCellAnchor>
    <xdr:from>
      <xdr:col>2</xdr:col>
      <xdr:colOff>331470</xdr:colOff>
      <xdr:row>51</xdr:row>
      <xdr:rowOff>47625</xdr:rowOff>
    </xdr:from>
    <xdr:to>
      <xdr:col>11</xdr:col>
      <xdr:colOff>261937</xdr:colOff>
      <xdr:row>53</xdr:row>
      <xdr:rowOff>11906</xdr:rowOff>
    </xdr:to>
    <xdr:sp macro="" textlink="">
      <xdr:nvSpPr>
        <xdr:cNvPr id="11" name="TextBox 10">
          <a:hlinkClick xmlns:r="http://schemas.openxmlformats.org/officeDocument/2006/relationships" r:id="rId2" tooltip="Click here for a list of Manitoba Agriculture and Resource Development Farm Management Specialists"/>
        </xdr:cNvPr>
        <xdr:cNvSpPr txBox="1"/>
      </xdr:nvSpPr>
      <xdr:spPr>
        <a:xfrm>
          <a:off x="2069783" y="8441531"/>
          <a:ext cx="5466873" cy="261938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CA" sz="1100" b="1" i="0" u="sng" baseline="0">
              <a:solidFill>
                <a:srgbClr val="0000FF"/>
              </a:solidFill>
              <a:uFill>
                <a:solidFill>
                  <a:srgbClr val="0000FF"/>
                </a:solidFill>
              </a:uFill>
              <a:latin typeface="Arial" pitchFamily="34" charset="0"/>
              <a:cs typeface="Arial" pitchFamily="34" charset="0"/>
            </a:rPr>
            <a:t>Manitoba Agriculture and Resource Development Farm Management</a:t>
          </a:r>
          <a:endParaRPr lang="en-CA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169545</xdr:colOff>
      <xdr:row>52</xdr:row>
      <xdr:rowOff>152400</xdr:rowOff>
    </xdr:from>
    <xdr:to>
      <xdr:col>9</xdr:col>
      <xdr:colOff>38100</xdr:colOff>
      <xdr:row>54</xdr:row>
      <xdr:rowOff>66675</xdr:rowOff>
    </xdr:to>
    <xdr:sp macro="" textlink="">
      <xdr:nvSpPr>
        <xdr:cNvPr id="12" name="TextBox 11">
          <a:hlinkClick xmlns:r="http://schemas.openxmlformats.org/officeDocument/2006/relationships" r:id="rId3" tooltip="Click here for list of ARD and MASC Service Centre locations"/>
        </xdr:cNvPr>
        <xdr:cNvSpPr txBox="1"/>
      </xdr:nvSpPr>
      <xdr:spPr>
        <a:xfrm>
          <a:off x="3131820" y="8639175"/>
          <a:ext cx="2916555" cy="304800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en-CA" sz="1100" b="1" i="0" u="sng" baseline="0">
              <a:solidFill>
                <a:srgbClr val="0000FF"/>
              </a:solidFill>
              <a:uFill>
                <a:solidFill>
                  <a:srgbClr val="0000FF"/>
                </a:solidFill>
              </a:uFill>
              <a:latin typeface="Arial" pitchFamily="34" charset="0"/>
              <a:cs typeface="Arial" pitchFamily="34" charset="0"/>
            </a:rPr>
            <a:t>ARD and MASC Service Centre </a:t>
          </a:r>
          <a:r>
            <a:rPr lang="en-CA" sz="1100" b="1" i="0" u="sng" baseline="0">
              <a:solidFill>
                <a:sysClr val="windowText" lastClr="000000"/>
              </a:solidFill>
              <a:uFill>
                <a:solidFill>
                  <a:srgbClr val="0000FF"/>
                </a:solidFill>
              </a:uFill>
              <a:latin typeface="Arial" pitchFamily="34" charset="0"/>
              <a:cs typeface="Arial" pitchFamily="34" charset="0"/>
            </a:rPr>
            <a:t>or</a:t>
          </a:r>
          <a:endParaRPr lang="en-CA" sz="11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85760</xdr:rowOff>
    </xdr:from>
    <xdr:to>
      <xdr:col>11</xdr:col>
      <xdr:colOff>473074</xdr:colOff>
      <xdr:row>1</xdr:row>
      <xdr:rowOff>188534</xdr:rowOff>
    </xdr:to>
    <xdr:pic>
      <xdr:nvPicPr>
        <xdr:cNvPr id="2" name="Picture 6" descr="GovMB_Logo_black-1374 10percent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3000" y="85760"/>
          <a:ext cx="2303991" cy="441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278343</xdr:colOff>
      <xdr:row>7</xdr:row>
      <xdr:rowOff>110067</xdr:rowOff>
    </xdr:from>
    <xdr:to>
      <xdr:col>14</xdr:col>
      <xdr:colOff>222251</xdr:colOff>
      <xdr:row>9</xdr:row>
      <xdr:rowOff>117474</xdr:rowOff>
    </xdr:to>
    <xdr:sp macro="[0]!reset1" textlink="">
      <xdr:nvSpPr>
        <xdr:cNvPr id="3" name="Rounded Rectangle 2"/>
        <xdr:cNvSpPr/>
      </xdr:nvSpPr>
      <xdr:spPr>
        <a:xfrm>
          <a:off x="10321926" y="1676400"/>
          <a:ext cx="1446742" cy="409574"/>
        </a:xfrm>
        <a:prstGeom prst="roundRect">
          <a:avLst/>
        </a:prstGeom>
        <a:solidFill>
          <a:schemeClr val="bg1">
            <a:lumMod val="85000"/>
          </a:schemeClr>
        </a:solidFill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 u="none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Press to Reset</a:t>
          </a:r>
          <a:endParaRPr lang="en-US" sz="1000" b="1">
            <a:solidFill>
              <a:sysClr val="windowText" lastClr="000000"/>
            </a:solidFill>
            <a:latin typeface="Arial Black" panose="020B0A040201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 editAs="oneCell">
    <xdr:from>
      <xdr:col>1</xdr:col>
      <xdr:colOff>30480</xdr:colOff>
      <xdr:row>28</xdr:row>
      <xdr:rowOff>34290</xdr:rowOff>
    </xdr:from>
    <xdr:to>
      <xdr:col>4</xdr:col>
      <xdr:colOff>499110</xdr:colOff>
      <xdr:row>33</xdr:row>
      <xdr:rowOff>74219</xdr:rowOff>
    </xdr:to>
    <xdr:pic>
      <xdr:nvPicPr>
        <xdr:cNvPr id="7" name="Picture 6">
          <a:hlinkClick xmlns:r="http://schemas.openxmlformats.org/officeDocument/2006/relationships" r:id="rId2" tooltip="Click here for a list of Farm Management contacts.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" y="5490210"/>
          <a:ext cx="3970020" cy="9162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105833</xdr:colOff>
      <xdr:row>0</xdr:row>
      <xdr:rowOff>85760</xdr:rowOff>
    </xdr:from>
    <xdr:to>
      <xdr:col>11</xdr:col>
      <xdr:colOff>483658</xdr:colOff>
      <xdr:row>1</xdr:row>
      <xdr:rowOff>188534</xdr:rowOff>
    </xdr:to>
    <xdr:pic>
      <xdr:nvPicPr>
        <xdr:cNvPr id="2" name="Picture 6" descr="GovMB_Logo_black-1374 10percent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7000" y="85760"/>
          <a:ext cx="2198158" cy="441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278343</xdr:colOff>
      <xdr:row>7</xdr:row>
      <xdr:rowOff>110067</xdr:rowOff>
    </xdr:from>
    <xdr:to>
      <xdr:col>14</xdr:col>
      <xdr:colOff>222251</xdr:colOff>
      <xdr:row>9</xdr:row>
      <xdr:rowOff>117474</xdr:rowOff>
    </xdr:to>
    <xdr:sp macro="[0]!reset2" textlink="">
      <xdr:nvSpPr>
        <xdr:cNvPr id="3" name="Rounded Rectangle 2"/>
        <xdr:cNvSpPr/>
      </xdr:nvSpPr>
      <xdr:spPr>
        <a:xfrm>
          <a:off x="10298643" y="1681692"/>
          <a:ext cx="1448858" cy="407457"/>
        </a:xfrm>
        <a:prstGeom prst="roundRect">
          <a:avLst/>
        </a:prstGeom>
        <a:solidFill>
          <a:schemeClr val="bg1">
            <a:lumMod val="85000"/>
          </a:schemeClr>
        </a:solidFill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 u="none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Press to Reset</a:t>
          </a:r>
          <a:endParaRPr lang="en-US" sz="1000" b="1">
            <a:solidFill>
              <a:sysClr val="windowText" lastClr="000000"/>
            </a:solidFill>
            <a:latin typeface="Arial Black" panose="020B0A040201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 editAs="oneCell">
    <xdr:from>
      <xdr:col>1</xdr:col>
      <xdr:colOff>22860</xdr:colOff>
      <xdr:row>30</xdr:row>
      <xdr:rowOff>49530</xdr:rowOff>
    </xdr:from>
    <xdr:to>
      <xdr:col>4</xdr:col>
      <xdr:colOff>491490</xdr:colOff>
      <xdr:row>35</xdr:row>
      <xdr:rowOff>89459</xdr:rowOff>
    </xdr:to>
    <xdr:pic>
      <xdr:nvPicPr>
        <xdr:cNvPr id="6" name="Picture 5">
          <a:hlinkClick xmlns:r="http://schemas.openxmlformats.org/officeDocument/2006/relationships" r:id="rId2" tooltip="Click here for a list of Farm Management contacts.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0" y="5901690"/>
          <a:ext cx="3970020" cy="916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oy.arnott@gov.mb.ca" TargetMode="External"/><Relationship Id="rId1" Type="http://schemas.openxmlformats.org/officeDocument/2006/relationships/hyperlink" Target="mailto:darren.bond@gov.mb.ca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2020seedlabs.ca/1000-kernel-weigh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56"/>
  <sheetViews>
    <sheetView zoomScale="90" zoomScaleNormal="90" workbookViewId="0">
      <selection activeCell="F13" sqref="F13"/>
    </sheetView>
  </sheetViews>
  <sheetFormatPr defaultRowHeight="12.3"/>
  <cols>
    <col min="1" max="1" width="2.83203125" customWidth="1"/>
    <col min="2" max="2" width="23.27734375" customWidth="1"/>
    <col min="4" max="4" width="9.5546875" bestFit="1" customWidth="1"/>
    <col min="6" max="6" width="9.1640625" customWidth="1"/>
    <col min="10" max="10" width="9.71875" customWidth="1"/>
    <col min="12" max="13" width="9.71875" customWidth="1"/>
    <col min="14" max="14" width="12.83203125" customWidth="1"/>
    <col min="22" max="37" width="9.1640625" hidden="1" customWidth="1"/>
  </cols>
  <sheetData>
    <row r="1" spans="1:37" s="98" customFormat="1" ht="27" customHeight="1">
      <c r="A1" s="96"/>
      <c r="B1" s="96"/>
      <c r="C1" s="96"/>
      <c r="D1" s="96"/>
      <c r="E1" s="96"/>
      <c r="F1" s="97"/>
      <c r="G1" s="97"/>
      <c r="H1" s="97"/>
      <c r="I1" s="97"/>
      <c r="J1" s="97"/>
      <c r="K1" s="97"/>
      <c r="L1" s="97"/>
      <c r="M1" s="96"/>
      <c r="N1" s="96"/>
      <c r="O1" s="96"/>
      <c r="P1" s="96"/>
      <c r="Q1" s="96"/>
    </row>
    <row r="2" spans="1:37" s="98" customFormat="1" ht="27">
      <c r="A2" s="99" t="s">
        <v>117</v>
      </c>
      <c r="B2" s="99"/>
      <c r="C2" s="99"/>
      <c r="D2" s="99"/>
      <c r="E2" s="96"/>
      <c r="F2" s="97"/>
      <c r="G2" s="97"/>
      <c r="H2" s="97"/>
      <c r="I2" s="97"/>
      <c r="J2" s="97"/>
      <c r="K2" s="97"/>
      <c r="L2" s="97"/>
      <c r="M2" s="96"/>
      <c r="N2" s="96"/>
      <c r="O2" s="96"/>
      <c r="P2" s="96"/>
      <c r="Q2" s="96"/>
    </row>
    <row r="3" spans="1:37" s="98" customFormat="1" ht="22.5">
      <c r="A3" s="100" t="s">
        <v>137</v>
      </c>
      <c r="B3" s="100"/>
      <c r="C3" s="100"/>
      <c r="D3" s="100"/>
      <c r="E3" s="101"/>
      <c r="F3" s="102"/>
      <c r="G3" s="102"/>
      <c r="H3" s="102"/>
      <c r="I3" s="102"/>
      <c r="J3" s="102"/>
      <c r="K3" s="102"/>
      <c r="L3" s="102"/>
      <c r="M3" s="103" t="s">
        <v>118</v>
      </c>
      <c r="N3" s="103"/>
      <c r="O3" s="313">
        <f ca="1">TODAY()</f>
        <v>44893</v>
      </c>
      <c r="P3" s="313"/>
      <c r="Q3" s="96"/>
    </row>
    <row r="4" spans="1:37" s="107" customFormat="1" ht="15">
      <c r="A4" s="104"/>
      <c r="B4" s="104"/>
      <c r="C4" s="104"/>
      <c r="D4" s="104"/>
      <c r="E4" s="105"/>
      <c r="F4" s="106" t="s">
        <v>119</v>
      </c>
      <c r="G4" s="106"/>
      <c r="H4" s="106"/>
      <c r="I4" s="106"/>
      <c r="J4" s="106"/>
      <c r="K4" s="106"/>
      <c r="L4" s="105"/>
      <c r="M4" s="105"/>
      <c r="N4" s="105"/>
      <c r="P4" s="108" t="s">
        <v>120</v>
      </c>
      <c r="Q4" s="109"/>
      <c r="R4" s="110"/>
      <c r="S4" s="110"/>
      <c r="T4" s="111"/>
      <c r="U4" s="111"/>
      <c r="V4" s="112"/>
      <c r="W4" s="112"/>
      <c r="X4" s="112"/>
      <c r="Y4" s="113"/>
      <c r="Z4" s="114"/>
      <c r="AA4" s="112"/>
    </row>
    <row r="5" spans="1:37" s="107" customFormat="1" ht="7.5" customHeight="1">
      <c r="A5" s="104"/>
      <c r="B5" s="104"/>
      <c r="C5" s="104"/>
      <c r="D5" s="104"/>
      <c r="E5" s="105"/>
      <c r="F5" s="106"/>
      <c r="G5" s="106"/>
      <c r="H5" s="106"/>
      <c r="I5" s="106"/>
      <c r="J5" s="106"/>
      <c r="K5" s="106"/>
      <c r="L5" s="106"/>
      <c r="M5" s="105"/>
      <c r="N5" s="105"/>
      <c r="O5" s="105"/>
      <c r="Q5" s="108"/>
      <c r="R5" s="109"/>
      <c r="S5" s="110"/>
      <c r="T5" s="110"/>
      <c r="U5" s="111"/>
      <c r="V5" s="111"/>
      <c r="W5" s="112"/>
      <c r="X5" s="112"/>
      <c r="Y5" s="112"/>
      <c r="Z5" s="113"/>
      <c r="AA5" s="114"/>
      <c r="AB5" s="112"/>
    </row>
    <row r="6" spans="1:37" s="117" customFormat="1" ht="15.75" customHeight="1">
      <c r="A6" s="122"/>
      <c r="B6" s="123"/>
      <c r="C6" s="310" t="s">
        <v>93</v>
      </c>
      <c r="D6" s="311"/>
      <c r="E6" s="312"/>
      <c r="F6" s="119" t="s">
        <v>80</v>
      </c>
      <c r="G6" s="120" t="s">
        <v>94</v>
      </c>
      <c r="H6" s="120" t="s">
        <v>94</v>
      </c>
      <c r="I6" s="310" t="s">
        <v>75</v>
      </c>
      <c r="J6" s="311"/>
      <c r="K6" s="312"/>
      <c r="L6" s="310" t="s">
        <v>76</v>
      </c>
      <c r="M6" s="312"/>
      <c r="N6" s="121" t="s">
        <v>80</v>
      </c>
      <c r="O6" s="310" t="s">
        <v>124</v>
      </c>
      <c r="P6" s="312"/>
      <c r="W6" s="123"/>
      <c r="X6" s="310" t="s">
        <v>93</v>
      </c>
      <c r="Y6" s="311"/>
      <c r="Z6" s="312"/>
      <c r="AA6" s="119" t="s">
        <v>80</v>
      </c>
      <c r="AB6" s="120" t="s">
        <v>94</v>
      </c>
      <c r="AC6" s="120" t="s">
        <v>94</v>
      </c>
      <c r="AD6" s="310" t="s">
        <v>75</v>
      </c>
      <c r="AE6" s="311"/>
      <c r="AF6" s="312"/>
      <c r="AG6" s="310" t="s">
        <v>76</v>
      </c>
      <c r="AH6" s="312"/>
      <c r="AI6" s="121" t="s">
        <v>80</v>
      </c>
      <c r="AJ6" s="310" t="s">
        <v>124</v>
      </c>
      <c r="AK6" s="312"/>
    </row>
    <row r="7" spans="1:37" s="117" customFormat="1" ht="15.75" customHeight="1">
      <c r="A7" s="138"/>
      <c r="B7" s="139"/>
      <c r="C7" s="124" t="s">
        <v>84</v>
      </c>
      <c r="D7" s="66"/>
      <c r="E7" s="125" t="s">
        <v>157</v>
      </c>
      <c r="F7" s="126" t="s">
        <v>114</v>
      </c>
      <c r="G7" s="126" t="s">
        <v>95</v>
      </c>
      <c r="H7" s="126" t="s">
        <v>95</v>
      </c>
      <c r="I7" s="66" t="s">
        <v>151</v>
      </c>
      <c r="J7" s="127" t="s">
        <v>131</v>
      </c>
      <c r="K7" s="125" t="s">
        <v>151</v>
      </c>
      <c r="L7" s="125" t="s">
        <v>77</v>
      </c>
      <c r="M7" s="127" t="s">
        <v>123</v>
      </c>
      <c r="N7" s="128" t="s">
        <v>81</v>
      </c>
      <c r="O7" s="128" t="s">
        <v>82</v>
      </c>
      <c r="P7" s="133" t="s">
        <v>123</v>
      </c>
      <c r="W7" s="139"/>
      <c r="X7" s="124" t="s">
        <v>84</v>
      </c>
      <c r="Y7" s="66"/>
      <c r="Z7" s="125" t="s">
        <v>86</v>
      </c>
      <c r="AA7" s="126" t="s">
        <v>114</v>
      </c>
      <c r="AB7" s="126" t="s">
        <v>95</v>
      </c>
      <c r="AC7" s="126" t="s">
        <v>95</v>
      </c>
      <c r="AD7" s="66" t="s">
        <v>74</v>
      </c>
      <c r="AE7" s="127" t="s">
        <v>131</v>
      </c>
      <c r="AF7" s="125" t="s">
        <v>74</v>
      </c>
      <c r="AG7" s="125" t="s">
        <v>77</v>
      </c>
      <c r="AH7" s="127" t="s">
        <v>123</v>
      </c>
      <c r="AI7" s="128" t="s">
        <v>81</v>
      </c>
      <c r="AJ7" s="128" t="s">
        <v>82</v>
      </c>
      <c r="AK7" s="133" t="s">
        <v>123</v>
      </c>
    </row>
    <row r="8" spans="1:37" s="117" customFormat="1" ht="15.75" customHeight="1" thickBot="1">
      <c r="A8" s="138"/>
      <c r="B8" s="125" t="s">
        <v>1</v>
      </c>
      <c r="C8" s="124" t="s">
        <v>83</v>
      </c>
      <c r="D8" s="66" t="s">
        <v>85</v>
      </c>
      <c r="E8" s="125" t="s">
        <v>87</v>
      </c>
      <c r="F8" s="126" t="s">
        <v>113</v>
      </c>
      <c r="G8" s="183" t="s">
        <v>112</v>
      </c>
      <c r="H8" s="183" t="s">
        <v>115</v>
      </c>
      <c r="I8" s="124" t="s">
        <v>132</v>
      </c>
      <c r="J8" s="124" t="s">
        <v>122</v>
      </c>
      <c r="K8" s="124" t="s">
        <v>133</v>
      </c>
      <c r="L8" s="184" t="s">
        <v>100</v>
      </c>
      <c r="M8" s="184" t="s">
        <v>100</v>
      </c>
      <c r="N8" s="128" t="s">
        <v>79</v>
      </c>
      <c r="O8" s="128" t="s">
        <v>79</v>
      </c>
      <c r="P8" s="128" t="s">
        <v>79</v>
      </c>
      <c r="W8" s="65" t="s">
        <v>1</v>
      </c>
      <c r="X8" s="63" t="s">
        <v>83</v>
      </c>
      <c r="Y8" s="64" t="s">
        <v>85</v>
      </c>
      <c r="Z8" s="65" t="s">
        <v>87</v>
      </c>
      <c r="AA8" s="129" t="s">
        <v>113</v>
      </c>
      <c r="AB8" s="130" t="s">
        <v>112</v>
      </c>
      <c r="AC8" s="130" t="s">
        <v>115</v>
      </c>
      <c r="AD8" s="63" t="s">
        <v>132</v>
      </c>
      <c r="AE8" s="63" t="s">
        <v>122</v>
      </c>
      <c r="AF8" s="63" t="s">
        <v>133</v>
      </c>
      <c r="AG8" s="131" t="s">
        <v>100</v>
      </c>
      <c r="AH8" s="131" t="s">
        <v>100</v>
      </c>
      <c r="AI8" s="132" t="s">
        <v>79</v>
      </c>
      <c r="AJ8" s="132" t="s">
        <v>79</v>
      </c>
      <c r="AK8" s="132" t="s">
        <v>79</v>
      </c>
    </row>
    <row r="9" spans="1:37" ht="7.5" customHeight="1" thickBot="1">
      <c r="A9" s="185"/>
      <c r="B9" s="186"/>
      <c r="C9" s="187"/>
      <c r="D9" s="187"/>
      <c r="E9" s="187"/>
      <c r="F9" s="188"/>
      <c r="G9" s="189"/>
      <c r="H9" s="189"/>
      <c r="I9" s="187"/>
      <c r="J9" s="187"/>
      <c r="K9" s="187"/>
      <c r="L9" s="190"/>
      <c r="M9" s="190"/>
      <c r="N9" s="187"/>
      <c r="O9" s="191"/>
      <c r="P9" s="192"/>
    </row>
    <row r="10" spans="1:37" ht="15.75" customHeight="1" thickBot="1">
      <c r="A10" s="193" t="s">
        <v>121</v>
      </c>
      <c r="B10" s="136" t="s">
        <v>20</v>
      </c>
      <c r="C10" s="143">
        <f>VLOOKUP(B10,'DATA (hide)'!$A$4:$Y$30,2,FALSE)</f>
        <v>775</v>
      </c>
      <c r="D10" s="142" t="str">
        <f>VLOOKUP(B10,'DATA (hide)'!$A$4:$Y$30,3,FALSE)</f>
        <v>Bag</v>
      </c>
      <c r="E10" s="141">
        <f>VLOOKUP(B10,'DATA (hide)'!$A$4:$Y$30,4,FALSE)</f>
        <v>50</v>
      </c>
      <c r="F10" s="173">
        <f>G10*(C10/E10)</f>
        <v>77.5</v>
      </c>
      <c r="G10" s="174">
        <f>IF(L10=0,0,ROUND(((I10*L10)/(N10*O10))/10.4,1))</f>
        <v>5</v>
      </c>
      <c r="H10" s="209">
        <f>SUM(G10/E10)</f>
        <v>0.1</v>
      </c>
      <c r="I10" s="141">
        <f>VLOOKUP(B10,'DATA (hide)'!$A$4:$Y$30,10,FALSE)</f>
        <v>7.5</v>
      </c>
      <c r="J10" s="66" t="str">
        <f>VLOOKUP(B10,'DATA (hide)'!$A$4:$Y$30,8,FALSE)&amp;"-"&amp;VLOOKUP(B10,'DATA (hide)'!$A$4:$Y$30,9,FALSE)</f>
        <v>3-12</v>
      </c>
      <c r="K10" s="66">
        <f>ROUND(I10*10.7639,0)</f>
        <v>81</v>
      </c>
      <c r="L10" s="141">
        <f>VLOOKUP(B10,'DATA (hide)'!$A$4:$Y$30,14,FALSE)</f>
        <v>4.95</v>
      </c>
      <c r="M10" s="38" t="str">
        <f>VLOOKUP(B10,'DATA (hide)'!$A$4:$Y$30,12,FALSE)&amp;"-"&amp;VLOOKUP(B10,'DATA (hide)'!$A$4:$Y$30,13,FALSE)</f>
        <v>3-7</v>
      </c>
      <c r="N10" s="140">
        <f>VLOOKUP(B10,'DATA (hide)'!$A$4:$Y$30,15,FALSE)</f>
        <v>0.95</v>
      </c>
      <c r="O10" s="140">
        <f>VLOOKUP(B10,'DATA (hide)'!$A$4:$Y$30,18,FALSE)</f>
        <v>0.75</v>
      </c>
      <c r="P10" s="194" t="str">
        <f>VLOOKUP(B10,'DATA (hide)'!$A$4:$Y$30,16,FALSE)&amp;"-"&amp;VLOOKUP(B10,'DATA (hide)'!$A$4:$Y$30,17,FALSE)</f>
        <v>40-80</v>
      </c>
      <c r="V10" t="s">
        <v>121</v>
      </c>
      <c r="W10" s="81" t="s">
        <v>135</v>
      </c>
      <c r="X10" s="143">
        <f>VLOOKUP(W10,'DATA (hide)'!$A$4:$Y$30,2,FALSE)</f>
        <v>0</v>
      </c>
      <c r="Y10" s="142" t="str">
        <f>VLOOKUP(W10,'DATA (hide)'!$A$4:$Y$30,3,FALSE)</f>
        <v>Bu</v>
      </c>
      <c r="Z10" s="141">
        <f>VLOOKUP(W10,'DATA (hide)'!$A$4:$Y$30,4,FALSE)</f>
        <v>1</v>
      </c>
      <c r="AA10" s="91">
        <f>AB10*(X10/Z10)</f>
        <v>0</v>
      </c>
      <c r="AB10" s="93">
        <f>IF(AG10=0,0,ROUND(((AD10*AG10)/(AI10*AJ10))/10.4,1))</f>
        <v>0</v>
      </c>
      <c r="AC10" s="93">
        <f>SUM(AB10/Z10)</f>
        <v>0</v>
      </c>
      <c r="AD10" s="141">
        <f>VLOOKUP(W10,'DATA (hide)'!$A$4:$Y$30,10,FALSE)</f>
        <v>0</v>
      </c>
      <c r="AE10" s="49" t="str">
        <f>VLOOKUP(W10,'DATA (hide)'!$A$4:$Y$30,8,FALSE)&amp;"-"&amp;VLOOKUP(W10,'DATA (hide)'!$A$4:$Y$30,9,FALSE)</f>
        <v>0-0</v>
      </c>
      <c r="AF10" s="49">
        <f>ROUND(AD10*10.7639,0)</f>
        <v>0</v>
      </c>
      <c r="AG10" s="141">
        <f>VLOOKUP(W10,'DATA (hide)'!$A$4:$Y$30,14,FALSE)</f>
        <v>0</v>
      </c>
      <c r="AH10" s="3" t="str">
        <f>VLOOKUP(W10,'DATA (hide)'!$A$4:$Y$30,12,FALSE)&amp;"-"&amp;VLOOKUP(W10,'DATA (hide)'!$A$4:$Y$30,13,FALSE)</f>
        <v>0-0</v>
      </c>
      <c r="AI10" s="140">
        <f>VLOOKUP(W10,'DATA (hide)'!$A$4:$Y$30,15,FALSE)</f>
        <v>0</v>
      </c>
      <c r="AJ10" s="140">
        <f>VLOOKUP(W10,'DATA (hide)'!$A$4:$Y$30,18,FALSE)</f>
        <v>0</v>
      </c>
      <c r="AK10" s="3" t="str">
        <f>VLOOKUP(W10,'DATA (hide)'!$A$4:$Y$30,16,FALSE)&amp;"-"&amp;VLOOKUP(W10,'DATA (hide)'!$A$4:$Y$30,17,FALSE)</f>
        <v>0-0</v>
      </c>
    </row>
    <row r="11" spans="1:37" ht="6.75" customHeight="1">
      <c r="A11" s="193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95"/>
    </row>
    <row r="12" spans="1:37" ht="15.75" customHeight="1" thickBot="1">
      <c r="A12" s="193"/>
      <c r="B12" s="182" t="s">
        <v>148</v>
      </c>
      <c r="C12" s="177" t="s">
        <v>125</v>
      </c>
      <c r="D12" s="137">
        <v>160</v>
      </c>
      <c r="E12" s="175"/>
      <c r="F12" s="115" t="s">
        <v>127</v>
      </c>
      <c r="G12" s="175"/>
      <c r="H12" s="175"/>
      <c r="I12" s="175"/>
      <c r="J12" s="177" t="s">
        <v>128</v>
      </c>
      <c r="K12" s="66">
        <f>ROUND((G10*F13)/11.5,1)</f>
        <v>4.3</v>
      </c>
      <c r="L12" s="176"/>
      <c r="M12" s="135" t="s">
        <v>130</v>
      </c>
      <c r="N12" s="178">
        <f>IF(I10=0,0,(I10*43560)/(N10*O10))</f>
        <v>458526.31578947377</v>
      </c>
      <c r="O12" s="175"/>
      <c r="P12" s="195"/>
      <c r="W12" s="181" t="s">
        <v>134</v>
      </c>
      <c r="X12" s="5" t="s">
        <v>125</v>
      </c>
      <c r="Y12" s="137">
        <v>0</v>
      </c>
      <c r="AA12" s="115" t="s">
        <v>127</v>
      </c>
      <c r="AE12" s="134" t="s">
        <v>128</v>
      </c>
      <c r="AF12" s="49">
        <f>ROUND((AB10*AA13)/11.5,1)</f>
        <v>0</v>
      </c>
      <c r="AG12" s="5"/>
      <c r="AH12" s="135" t="s">
        <v>130</v>
      </c>
      <c r="AI12" s="118">
        <f>IF(AD10=0,0,(AD10*43560)/(AI10*AJ10))</f>
        <v>0</v>
      </c>
    </row>
    <row r="13" spans="1:37" ht="15.75" customHeight="1" thickBot="1">
      <c r="A13" s="193"/>
      <c r="B13" s="175"/>
      <c r="C13" s="177" t="s">
        <v>126</v>
      </c>
      <c r="D13" s="179">
        <f>SUM(D12*F10)</f>
        <v>12400</v>
      </c>
      <c r="E13" s="175"/>
      <c r="F13" s="136">
        <v>10</v>
      </c>
      <c r="G13" s="175"/>
      <c r="H13" s="175"/>
      <c r="I13" s="175"/>
      <c r="J13" s="177" t="s">
        <v>129</v>
      </c>
      <c r="K13" s="66">
        <f>IF(L10=0,0,ROUND(((K12/100)*1000)/L10,1))</f>
        <v>8.6999999999999993</v>
      </c>
      <c r="L13" s="175"/>
      <c r="M13" s="135" t="s">
        <v>78</v>
      </c>
      <c r="N13" s="178">
        <f>IF(L10=0,0,ROUND((1000*453.592)/L10,0))</f>
        <v>91635</v>
      </c>
      <c r="O13" s="175"/>
      <c r="P13" s="195"/>
      <c r="X13" s="5" t="s">
        <v>126</v>
      </c>
      <c r="Y13" s="116">
        <f>SUM(Y12*AA10)</f>
        <v>0</v>
      </c>
      <c r="AA13" s="136">
        <v>10</v>
      </c>
      <c r="AE13" s="134" t="s">
        <v>129</v>
      </c>
      <c r="AF13" s="49">
        <f>IF(AG10=0,0,ROUND(((AF12/100)*1000)/AG10,1))</f>
        <v>0</v>
      </c>
      <c r="AH13" s="135" t="s">
        <v>78</v>
      </c>
      <c r="AI13" s="118">
        <f>IF(AG10=0,0,ROUND((1000*453.592)/AG10,0))</f>
        <v>0</v>
      </c>
    </row>
    <row r="14" spans="1:37" ht="7.5" customHeight="1" thickBot="1">
      <c r="A14" s="196"/>
      <c r="B14" s="197"/>
      <c r="C14" s="198"/>
      <c r="D14" s="199"/>
      <c r="E14" s="197"/>
      <c r="F14" s="200"/>
      <c r="G14" s="197"/>
      <c r="H14" s="197"/>
      <c r="I14" s="197"/>
      <c r="J14" s="201"/>
      <c r="K14" s="202"/>
      <c r="L14" s="197"/>
      <c r="M14" s="203"/>
      <c r="N14" s="204"/>
      <c r="O14" s="197"/>
      <c r="P14" s="205"/>
      <c r="X14" s="5"/>
      <c r="Y14" s="116"/>
      <c r="AA14" s="172"/>
      <c r="AE14" s="134"/>
      <c r="AF14" s="49"/>
      <c r="AH14" s="135"/>
      <c r="AI14" s="118"/>
    </row>
    <row r="15" spans="1:37" ht="7.5" customHeight="1" thickBot="1">
      <c r="A15" s="206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207"/>
    </row>
    <row r="16" spans="1:37" ht="15.75" customHeight="1" thickBot="1">
      <c r="A16" s="208" t="s">
        <v>136</v>
      </c>
      <c r="B16" s="136" t="s">
        <v>51</v>
      </c>
      <c r="C16" s="143">
        <f>VLOOKUP(B16,'DATA (hide)'!$A$4:$Y$30,2,FALSE)</f>
        <v>17</v>
      </c>
      <c r="D16" s="142" t="str">
        <f>VLOOKUP(B16,'DATA (hide)'!$A$4:$Y$30,3,FALSE)</f>
        <v>Bu</v>
      </c>
      <c r="E16" s="141">
        <f>VLOOKUP(B16,'DATA (hide)'!$A$4:$Y$30,4,FALSE)</f>
        <v>60</v>
      </c>
      <c r="F16" s="173">
        <f>G16*(C16/E16)</f>
        <v>34</v>
      </c>
      <c r="G16" s="174">
        <f>IF(L16=0,0,ROUND(((I16*L16)/(N16*O16))/10.4,1))</f>
        <v>120</v>
      </c>
      <c r="H16" s="209">
        <f>SUM(G16/E16)</f>
        <v>2</v>
      </c>
      <c r="I16" s="141">
        <f>VLOOKUP(B16,'DATA (hide)'!$A$4:$Y$30,10,FALSE)</f>
        <v>28</v>
      </c>
      <c r="J16" s="66" t="str">
        <f>VLOOKUP(B16,'DATA (hide)'!$A$4:$Y$30,8,FALSE)&amp;"-"&amp;VLOOKUP(B16,'DATA (hide)'!$A$4:$Y$30,9,FALSE)</f>
        <v>23-28</v>
      </c>
      <c r="K16" s="66">
        <f>ROUND(I16*10.7639,0)</f>
        <v>301</v>
      </c>
      <c r="L16" s="141">
        <f>VLOOKUP(B16,'DATA (hide)'!$A$4:$Y$30,14,FALSE)</f>
        <v>36</v>
      </c>
      <c r="M16" s="38" t="str">
        <f>VLOOKUP(B16,'DATA (hide)'!$A$4:$Y$30,12,FALSE)&amp;"-"&amp;VLOOKUP(B16,'DATA (hide)'!$A$4:$Y$30,13,FALSE)</f>
        <v>31-38</v>
      </c>
      <c r="N16" s="140">
        <f>VLOOKUP(B16,'DATA (hide)'!$A$4:$Y$30,15,FALSE)</f>
        <v>0.95</v>
      </c>
      <c r="O16" s="140">
        <f>VLOOKUP(B16,'DATA (hide)'!$A$4:$Y$30,18,FALSE)</f>
        <v>0.85</v>
      </c>
      <c r="P16" s="194" t="str">
        <f>VLOOKUP(B16,'DATA (hide)'!$A$4:$Y$30,16,FALSE)&amp;"-"&amp;VLOOKUP(B16,'DATA (hide)'!$A$4:$Y$30,17,FALSE)</f>
        <v>85-90</v>
      </c>
      <c r="V16" s="5" t="s">
        <v>136</v>
      </c>
      <c r="W16" s="81" t="s">
        <v>135</v>
      </c>
      <c r="X16" s="143">
        <f>VLOOKUP(W16,'DATA (hide)'!$A$4:$Y$30,2,FALSE)</f>
        <v>0</v>
      </c>
      <c r="Y16" s="142" t="str">
        <f>VLOOKUP(W16,'DATA (hide)'!$A$4:$Y$30,3,FALSE)</f>
        <v>Bu</v>
      </c>
      <c r="Z16" s="141">
        <f>VLOOKUP(W16,'DATA (hide)'!$A$4:$Y$30,4,FALSE)</f>
        <v>1</v>
      </c>
      <c r="AA16" s="91">
        <f>AB16*(X16/Z16)</f>
        <v>0</v>
      </c>
      <c r="AB16" s="93">
        <f>IF(AG16=0,0,ROUND(((AD16*AG16)/(AI16*AJ16))/10.4,1))</f>
        <v>0</v>
      </c>
      <c r="AC16" s="93">
        <f>SUM(AB16/Z16)</f>
        <v>0</v>
      </c>
      <c r="AD16" s="141">
        <f>VLOOKUP(W16,'DATA (hide)'!$A$4:$Y$30,10,FALSE)</f>
        <v>0</v>
      </c>
      <c r="AE16" s="49" t="str">
        <f>VLOOKUP(W16,'DATA (hide)'!$A$4:$Y$30,8,FALSE)&amp;"-"&amp;VLOOKUP(W16,'DATA (hide)'!$A$4:$Y$30,9,FALSE)</f>
        <v>0-0</v>
      </c>
      <c r="AF16" s="49">
        <f>ROUND(AD16*10.7639,0)</f>
        <v>0</v>
      </c>
      <c r="AG16" s="141">
        <f>VLOOKUP(W16,'DATA (hide)'!$A$4:$Y$30,14,FALSE)</f>
        <v>0</v>
      </c>
      <c r="AH16" s="3" t="str">
        <f>VLOOKUP(W16,'DATA (hide)'!$A$4:$Y$30,12,FALSE)&amp;"-"&amp;VLOOKUP(W16,'DATA (hide)'!$A$4:$Y$30,13,FALSE)</f>
        <v>0-0</v>
      </c>
      <c r="AI16" s="140">
        <f>VLOOKUP(W16,'DATA (hide)'!$A$4:$Y$30,15,FALSE)</f>
        <v>0</v>
      </c>
      <c r="AJ16" s="140">
        <f>VLOOKUP(W16,'DATA (hide)'!$A$4:$Y$30,18,FALSE)</f>
        <v>0</v>
      </c>
      <c r="AK16" s="3" t="str">
        <f>VLOOKUP(W16,'DATA (hide)'!$A$4:$Y$30,16,FALSE)&amp;"-"&amp;VLOOKUP(W16,'DATA (hide)'!$A$4:$Y$30,17,FALSE)</f>
        <v>0-0</v>
      </c>
    </row>
    <row r="17" spans="1:37" ht="6.75" customHeight="1">
      <c r="A17" s="193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95"/>
    </row>
    <row r="18" spans="1:37" ht="15.75" customHeight="1" thickBot="1">
      <c r="A18" s="193"/>
      <c r="B18" s="181" t="s">
        <v>155</v>
      </c>
      <c r="C18" s="177" t="s">
        <v>125</v>
      </c>
      <c r="D18" s="137">
        <v>160</v>
      </c>
      <c r="E18" s="175"/>
      <c r="F18" s="115" t="s">
        <v>127</v>
      </c>
      <c r="G18" s="175"/>
      <c r="H18" s="175"/>
      <c r="I18" s="175"/>
      <c r="J18" s="177" t="s">
        <v>128</v>
      </c>
      <c r="K18" s="66">
        <f>ROUND((G16*F19)/11.5,1)</f>
        <v>104.3</v>
      </c>
      <c r="L18" s="176"/>
      <c r="M18" s="135" t="s">
        <v>130</v>
      </c>
      <c r="N18" s="178">
        <f>IF(I16=0,0,(I16*43560)/(N16*O16))</f>
        <v>1510439.628482972</v>
      </c>
      <c r="O18" s="175"/>
      <c r="P18" s="195"/>
      <c r="W18" s="181" t="s">
        <v>134</v>
      </c>
      <c r="X18" s="5" t="s">
        <v>125</v>
      </c>
      <c r="Y18" s="137">
        <v>0</v>
      </c>
      <c r="AA18" s="115" t="s">
        <v>127</v>
      </c>
      <c r="AE18" s="134" t="s">
        <v>128</v>
      </c>
      <c r="AF18" s="49">
        <f>ROUND((AB16*AA19)/11.5,1)</f>
        <v>0</v>
      </c>
      <c r="AG18" s="5"/>
      <c r="AH18" s="135" t="s">
        <v>130</v>
      </c>
      <c r="AI18" s="118">
        <f>IF(AD16=0,0,(AD16*43560)/(AI16*AJ16))</f>
        <v>0</v>
      </c>
    </row>
    <row r="19" spans="1:37" ht="15.75" customHeight="1" thickBot="1">
      <c r="A19" s="193"/>
      <c r="B19" s="175"/>
      <c r="C19" s="177" t="s">
        <v>126</v>
      </c>
      <c r="D19" s="179">
        <f>SUM(D18*F16)</f>
        <v>5440</v>
      </c>
      <c r="E19" s="175"/>
      <c r="F19" s="136">
        <v>10</v>
      </c>
      <c r="G19" s="175"/>
      <c r="H19" s="175"/>
      <c r="I19" s="175"/>
      <c r="J19" s="177" t="s">
        <v>129</v>
      </c>
      <c r="K19" s="66">
        <f>IF(L16=0,0,ROUND(((K18/100)*1000)/L16,1))</f>
        <v>29</v>
      </c>
      <c r="L19" s="175"/>
      <c r="M19" s="135" t="s">
        <v>78</v>
      </c>
      <c r="N19" s="178">
        <f>IF(L16=0,0,ROUND((1000*453.592)/L16,0))</f>
        <v>12600</v>
      </c>
      <c r="O19" s="175"/>
      <c r="P19" s="195"/>
      <c r="X19" s="5" t="s">
        <v>126</v>
      </c>
      <c r="Y19" s="116">
        <f>SUM(Y18*AA16)</f>
        <v>0</v>
      </c>
      <c r="AA19" s="136">
        <v>10</v>
      </c>
      <c r="AE19" s="134" t="s">
        <v>129</v>
      </c>
      <c r="AF19" s="49">
        <f>IF(AG16=0,0,ROUND(((AF18/100)*1000)/AG16,1))</f>
        <v>0</v>
      </c>
      <c r="AH19" s="135" t="s">
        <v>78</v>
      </c>
      <c r="AI19" s="118">
        <f>IF(AG16=0,0,ROUND((1000*453.592)/AG16,0))</f>
        <v>0</v>
      </c>
    </row>
    <row r="20" spans="1:37" ht="7.5" customHeight="1" thickBot="1">
      <c r="A20" s="196"/>
      <c r="B20" s="197"/>
      <c r="C20" s="198"/>
      <c r="D20" s="199"/>
      <c r="E20" s="197"/>
      <c r="F20" s="200"/>
      <c r="G20" s="197"/>
      <c r="H20" s="197"/>
      <c r="I20" s="197"/>
      <c r="J20" s="201"/>
      <c r="K20" s="202"/>
      <c r="L20" s="197"/>
      <c r="M20" s="203"/>
      <c r="N20" s="204"/>
      <c r="O20" s="197"/>
      <c r="P20" s="205"/>
      <c r="X20" s="5"/>
      <c r="Y20" s="116"/>
      <c r="AA20" s="172"/>
      <c r="AE20" s="134"/>
      <c r="AF20" s="49"/>
      <c r="AH20" s="135"/>
      <c r="AI20" s="118"/>
    </row>
    <row r="21" spans="1:37" ht="7.5" customHeight="1" thickBot="1">
      <c r="A21" s="206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207"/>
    </row>
    <row r="22" spans="1:37" ht="12.6" thickBot="1">
      <c r="A22" s="208" t="s">
        <v>138</v>
      </c>
      <c r="B22" s="136" t="s">
        <v>30</v>
      </c>
      <c r="C22" s="143">
        <f>VLOOKUP(B22,'DATA (hide)'!$A$4:$Y$30,2,FALSE)</f>
        <v>67.900000000000006</v>
      </c>
      <c r="D22" s="142" t="str">
        <f>VLOOKUP(B22,'DATA (hide)'!$A$4:$Y$30,3,FALSE)</f>
        <v>Unit</v>
      </c>
      <c r="E22" s="141">
        <f>VLOOKUP(B22,'DATA (hide)'!$A$4:$Y$30,4,FALSE)</f>
        <v>140000</v>
      </c>
      <c r="F22" s="173">
        <f>G22*(C22/E22)</f>
        <v>1399.0384690000001</v>
      </c>
      <c r="G22" s="174">
        <f>IF(L22=0,0,ROUND(((I22*L22)/(N22*O22))/10.4,1))</f>
        <v>2884615.4</v>
      </c>
      <c r="H22" s="209">
        <f>SUM(G22/E22)</f>
        <v>20.604395714285715</v>
      </c>
      <c r="I22" s="141">
        <f>VLOOKUP(B22,'DATA (hide)'!$A$4:$Y$30,10,FALSE)</f>
        <v>162000</v>
      </c>
      <c r="J22" s="66" t="str">
        <f>VLOOKUP(B22,'DATA (hide)'!$A$4:$Y$30,8,FALSE)&amp;"-"&amp;VLOOKUP(B22,'DATA (hide)'!$A$4:$Y$30,9,FALSE)</f>
        <v>150000-200000</v>
      </c>
      <c r="K22" s="66">
        <f>ROUND(I22*10.7639,0)</f>
        <v>1743752</v>
      </c>
      <c r="L22" s="141">
        <f>VLOOKUP(B22,'DATA (hide)'!$A$4:$Y$30,14,FALSE)</f>
        <v>150</v>
      </c>
      <c r="M22" s="38" t="str">
        <f>VLOOKUP(B22,'DATA (hide)'!$A$4:$Y$30,12,FALSE)&amp;"-"&amp;VLOOKUP(B22,'DATA (hide)'!$A$4:$Y$30,13,FALSE)</f>
        <v>100-200</v>
      </c>
      <c r="N22" s="140">
        <f>VLOOKUP(B22,'DATA (hide)'!$A$4:$Y$30,15,FALSE)</f>
        <v>0.9</v>
      </c>
      <c r="O22" s="140">
        <f>VLOOKUP(B22,'DATA (hide)'!$A$4:$Y$30,18,FALSE)</f>
        <v>0.9</v>
      </c>
      <c r="P22" s="194" t="str">
        <f>VLOOKUP(B22,'DATA (hide)'!$A$4:$Y$30,16,FALSE)&amp;"-"&amp;VLOOKUP(B22,'DATA (hide)'!$A$4:$Y$30,17,FALSE)</f>
        <v>75-80</v>
      </c>
      <c r="V22" s="5" t="s">
        <v>138</v>
      </c>
      <c r="W22" s="81" t="s">
        <v>135</v>
      </c>
      <c r="X22" s="143">
        <f>VLOOKUP(W22,'DATA (hide)'!$A$4:$Y$30,2,FALSE)</f>
        <v>0</v>
      </c>
      <c r="Y22" s="142" t="str">
        <f>VLOOKUP(W22,'DATA (hide)'!$A$4:$Y$30,3,FALSE)</f>
        <v>Bu</v>
      </c>
      <c r="Z22" s="141">
        <f>VLOOKUP(W22,'DATA (hide)'!$A$4:$Y$30,4,FALSE)</f>
        <v>1</v>
      </c>
      <c r="AA22" s="91">
        <f>AB22*(X22/Z22)</f>
        <v>0</v>
      </c>
      <c r="AB22" s="93">
        <f>IF(AG22=0,0,ROUND(((AD22*AG22)/(AI22*AJ22))/10.4,1))</f>
        <v>0</v>
      </c>
      <c r="AC22" s="93">
        <f>SUM(AB22/Z22)</f>
        <v>0</v>
      </c>
      <c r="AD22" s="141">
        <f>VLOOKUP(W22,'DATA (hide)'!$A$4:$Y$30,10,FALSE)</f>
        <v>0</v>
      </c>
      <c r="AE22" s="49" t="str">
        <f>VLOOKUP(W22,'DATA (hide)'!$A$4:$Y$30,8,FALSE)&amp;"-"&amp;VLOOKUP(W22,'DATA (hide)'!$A$4:$Y$30,9,FALSE)</f>
        <v>0-0</v>
      </c>
      <c r="AF22" s="49">
        <f>ROUND(AD22*10.7639,0)</f>
        <v>0</v>
      </c>
      <c r="AG22" s="141">
        <f>VLOOKUP(W22,'DATA (hide)'!$A$4:$Y$30,14,FALSE)</f>
        <v>0</v>
      </c>
      <c r="AH22" s="95" t="str">
        <f>VLOOKUP(W22,'DATA (hide)'!$A$4:$Y$30,12,FALSE)&amp;"-"&amp;VLOOKUP(W22,'DATA (hide)'!$A$4:$Y$30,13,FALSE)</f>
        <v>0-0</v>
      </c>
      <c r="AI22" s="140">
        <f>VLOOKUP(W22,'DATA (hide)'!$A$4:$Y$30,15,FALSE)</f>
        <v>0</v>
      </c>
      <c r="AJ22" s="140">
        <f>VLOOKUP(W22,'DATA (hide)'!$A$4:$Y$30,18,FALSE)</f>
        <v>0</v>
      </c>
      <c r="AK22" s="95" t="str">
        <f>VLOOKUP(W22,'DATA (hide)'!$A$4:$Y$30,16,FALSE)&amp;"-"&amp;VLOOKUP(W22,'DATA (hide)'!$A$4:$Y$30,17,FALSE)</f>
        <v>0-0</v>
      </c>
    </row>
    <row r="23" spans="1:37">
      <c r="A23" s="193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95"/>
    </row>
    <row r="24" spans="1:37" ht="12.6" thickBot="1">
      <c r="A24" s="193"/>
      <c r="B24" s="181" t="s">
        <v>156</v>
      </c>
      <c r="C24" s="177" t="s">
        <v>125</v>
      </c>
      <c r="D24" s="137">
        <v>160</v>
      </c>
      <c r="E24" s="175"/>
      <c r="F24" s="115" t="s">
        <v>127</v>
      </c>
      <c r="G24" s="175"/>
      <c r="H24" s="175"/>
      <c r="I24" s="175"/>
      <c r="J24" s="177" t="s">
        <v>128</v>
      </c>
      <c r="K24" s="66">
        <f>ROUND((G22*F25)/11.5,1)</f>
        <v>2508361.2000000002</v>
      </c>
      <c r="L24" s="176"/>
      <c r="M24" s="135" t="s">
        <v>130</v>
      </c>
      <c r="N24" s="178">
        <f>IF(I22=0,0,(I22*43560)/(N22*O22))</f>
        <v>8712000000</v>
      </c>
      <c r="O24" s="175"/>
      <c r="P24" s="195"/>
      <c r="W24" s="181" t="s">
        <v>134</v>
      </c>
      <c r="X24" s="5" t="s">
        <v>125</v>
      </c>
      <c r="Y24" s="137">
        <v>0</v>
      </c>
      <c r="AA24" s="115" t="s">
        <v>127</v>
      </c>
      <c r="AE24" s="134" t="s">
        <v>128</v>
      </c>
      <c r="AF24" s="49">
        <f>ROUND((AB22*AA25)/11.5,1)</f>
        <v>0</v>
      </c>
      <c r="AG24" s="5"/>
      <c r="AH24" s="135" t="s">
        <v>130</v>
      </c>
      <c r="AI24" s="118">
        <f>IF(AD22=0,0,(AD22*43560)/(AI22*AJ22))</f>
        <v>0</v>
      </c>
    </row>
    <row r="25" spans="1:37" ht="12.6" thickBot="1">
      <c r="A25" s="193"/>
      <c r="B25" s="175"/>
      <c r="C25" s="177" t="s">
        <v>126</v>
      </c>
      <c r="D25" s="179">
        <f>SUM(D24*F22)</f>
        <v>223846.15504000001</v>
      </c>
      <c r="E25" s="175"/>
      <c r="F25" s="136">
        <v>10</v>
      </c>
      <c r="G25" s="175"/>
      <c r="H25" s="175"/>
      <c r="I25" s="175"/>
      <c r="J25" s="177" t="s">
        <v>129</v>
      </c>
      <c r="K25" s="66">
        <f>IF(L22=0,0,ROUND(((K24/100)*1000)/L22,1))</f>
        <v>167224.1</v>
      </c>
      <c r="L25" s="175"/>
      <c r="M25" s="135" t="s">
        <v>78</v>
      </c>
      <c r="N25" s="178">
        <f>IF(L22=0,0,ROUND((1000*453.592)/L22,0))</f>
        <v>3024</v>
      </c>
      <c r="O25" s="175"/>
      <c r="P25" s="195"/>
      <c r="X25" s="5" t="s">
        <v>126</v>
      </c>
      <c r="Y25" s="116">
        <f>SUM(Y24*AA22)</f>
        <v>0</v>
      </c>
      <c r="AA25" s="136">
        <v>10</v>
      </c>
      <c r="AE25" s="134" t="s">
        <v>129</v>
      </c>
      <c r="AF25" s="49">
        <f>IF(AG22=0,0,ROUND(((AF24/100)*1000)/AG22,1))</f>
        <v>0</v>
      </c>
      <c r="AH25" s="135" t="s">
        <v>78</v>
      </c>
      <c r="AI25" s="118">
        <f>IF(AG22=0,0,ROUND((1000*453.592)/AG22,0))</f>
        <v>0</v>
      </c>
    </row>
    <row r="26" spans="1:37" ht="7.5" customHeight="1" thickBot="1">
      <c r="A26" s="196"/>
      <c r="B26" s="197"/>
      <c r="C26" s="198"/>
      <c r="D26" s="199"/>
      <c r="E26" s="197"/>
      <c r="F26" s="200"/>
      <c r="G26" s="197"/>
      <c r="H26" s="197"/>
      <c r="I26" s="197"/>
      <c r="J26" s="201"/>
      <c r="K26" s="202"/>
      <c r="L26" s="197"/>
      <c r="M26" s="203"/>
      <c r="N26" s="204"/>
      <c r="O26" s="197"/>
      <c r="P26" s="205"/>
      <c r="X26" s="5"/>
      <c r="Y26" s="116"/>
      <c r="AA26" s="172"/>
      <c r="AE26" s="134"/>
      <c r="AF26" s="49"/>
      <c r="AH26" s="135"/>
      <c r="AI26" s="118"/>
    </row>
    <row r="27" spans="1:37" ht="7.5" customHeight="1" thickBot="1">
      <c r="A27" s="206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207"/>
    </row>
    <row r="28" spans="1:37" ht="12.6" thickBot="1">
      <c r="A28" s="208" t="s">
        <v>139</v>
      </c>
      <c r="B28" s="136" t="s">
        <v>60</v>
      </c>
      <c r="C28" s="143">
        <f>VLOOKUP(B28,'DATA (hide)'!$A$4:$Y$30,2,FALSE)</f>
        <v>560</v>
      </c>
      <c r="D28" s="142" t="str">
        <f>VLOOKUP(B28,'DATA (hide)'!$A$4:$Y$30,3,FALSE)</f>
        <v>Bag</v>
      </c>
      <c r="E28" s="141">
        <f>VLOOKUP(B28,'DATA (hide)'!$A$4:$Y$30,4,FALSE)</f>
        <v>200000</v>
      </c>
      <c r="F28" s="173">
        <f>G28*(C28/E28)</f>
        <v>458.02148</v>
      </c>
      <c r="G28" s="174">
        <f>IF(L28=0,0,ROUND(((I28*L28)/(N28*O28))/10.4,1))</f>
        <v>163579.1</v>
      </c>
      <c r="H28" s="209">
        <f>SUM(G28/E28)</f>
        <v>0.8178955</v>
      </c>
      <c r="I28" s="141">
        <f>VLOOKUP(B28,'DATA (hide)'!$A$4:$Y$30,10,FALSE)</f>
        <v>16000</v>
      </c>
      <c r="J28" s="66" t="str">
        <f>VLOOKUP(B28,'DATA (hide)'!$A$4:$Y$30,8,FALSE)&amp;"-"&amp;VLOOKUP(B28,'DATA (hide)'!$A$4:$Y$30,9,FALSE)</f>
        <v>14000-18000</v>
      </c>
      <c r="K28" s="66">
        <f>ROUND(I28*10.7639,0)</f>
        <v>172222</v>
      </c>
      <c r="L28" s="141">
        <f>VLOOKUP(B28,'DATA (hide)'!$A$4:$Y$30,14,FALSE)</f>
        <v>100</v>
      </c>
      <c r="M28" s="38" t="str">
        <f>VLOOKUP(B28,'DATA (hide)'!$A$4:$Y$30,12,FALSE)&amp;"-"&amp;VLOOKUP(B28,'DATA (hide)'!$A$4:$Y$30,13,FALSE)</f>
        <v>91-151</v>
      </c>
      <c r="N28" s="140">
        <f>VLOOKUP(B28,'DATA (hide)'!$A$4:$Y$30,15,FALSE)</f>
        <v>0.99</v>
      </c>
      <c r="O28" s="140">
        <f>VLOOKUP(B28,'DATA (hide)'!$A$4:$Y$30,18,FALSE)</f>
        <v>0.95</v>
      </c>
      <c r="P28" s="194" t="str">
        <f>VLOOKUP(B28,'DATA (hide)'!$A$4:$Y$30,16,FALSE)&amp;"-"&amp;VLOOKUP(B28,'DATA (hide)'!$A$4:$Y$30,17,FALSE)</f>
        <v>95-99</v>
      </c>
      <c r="V28" s="5" t="s">
        <v>139</v>
      </c>
      <c r="W28" s="81" t="s">
        <v>135</v>
      </c>
      <c r="X28" s="143">
        <f>VLOOKUP(W28,'DATA (hide)'!$A$4:$Y$30,2,FALSE)</f>
        <v>0</v>
      </c>
      <c r="Y28" s="142" t="str">
        <f>VLOOKUP(W28,'DATA (hide)'!$A$4:$Y$30,3,FALSE)</f>
        <v>Bu</v>
      </c>
      <c r="Z28" s="141">
        <f>VLOOKUP(W28,'DATA (hide)'!$A$4:$Y$30,4,FALSE)</f>
        <v>1</v>
      </c>
      <c r="AA28" s="91">
        <f>AB28*(X28/Z28)</f>
        <v>0</v>
      </c>
      <c r="AB28" s="93">
        <f>IF(AG28=0,0,ROUND(((AD28*AG28)/(AI28*AJ28))/10.4,1))</f>
        <v>0</v>
      </c>
      <c r="AC28" s="93">
        <f>SUM(AB28/Z28)</f>
        <v>0</v>
      </c>
      <c r="AD28" s="141">
        <f>VLOOKUP(W28,'DATA (hide)'!$A$4:$Y$30,10,FALSE)</f>
        <v>0</v>
      </c>
      <c r="AE28" s="49" t="str">
        <f>VLOOKUP(W28,'DATA (hide)'!$A$4:$Y$30,8,FALSE)&amp;"-"&amp;VLOOKUP(W28,'DATA (hide)'!$A$4:$Y$30,9,FALSE)</f>
        <v>0-0</v>
      </c>
      <c r="AF28" s="49">
        <f>ROUND(AD28*10.7639,0)</f>
        <v>0</v>
      </c>
      <c r="AG28" s="141">
        <f>VLOOKUP(W28,'DATA (hide)'!$A$4:$Y$30,14,FALSE)</f>
        <v>0</v>
      </c>
      <c r="AH28" s="95" t="str">
        <f>VLOOKUP(W28,'DATA (hide)'!$A$4:$Y$30,12,FALSE)&amp;"-"&amp;VLOOKUP(W28,'DATA (hide)'!$A$4:$Y$30,13,FALSE)</f>
        <v>0-0</v>
      </c>
      <c r="AI28" s="140">
        <f>VLOOKUP(W28,'DATA (hide)'!$A$4:$Y$30,15,FALSE)</f>
        <v>0</v>
      </c>
      <c r="AJ28" s="140">
        <f>VLOOKUP(W28,'DATA (hide)'!$A$4:$Y$30,18,FALSE)</f>
        <v>0</v>
      </c>
      <c r="AK28" s="95" t="str">
        <f>VLOOKUP(W28,'DATA (hide)'!$A$4:$Y$30,16,FALSE)&amp;"-"&amp;VLOOKUP(W28,'DATA (hide)'!$A$4:$Y$30,17,FALSE)</f>
        <v>0-0</v>
      </c>
    </row>
    <row r="29" spans="1:37">
      <c r="A29" s="193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95"/>
    </row>
    <row r="30" spans="1:37" ht="12.6" thickBot="1">
      <c r="A30" s="193"/>
      <c r="B30" s="181" t="s">
        <v>134</v>
      </c>
      <c r="C30" s="177" t="s">
        <v>125</v>
      </c>
      <c r="D30" s="137">
        <v>80</v>
      </c>
      <c r="E30" s="175"/>
      <c r="F30" s="115" t="s">
        <v>127</v>
      </c>
      <c r="G30" s="175"/>
      <c r="H30" s="175"/>
      <c r="I30" s="175"/>
      <c r="J30" s="177" t="s">
        <v>128</v>
      </c>
      <c r="K30" s="66">
        <f>ROUND((G28*F31)/11.5,1)</f>
        <v>142242.70000000001</v>
      </c>
      <c r="L30" s="176"/>
      <c r="M30" s="135" t="s">
        <v>130</v>
      </c>
      <c r="N30" s="178">
        <f>IF(I28=0,0,(I28*43560)/(N28*O28))</f>
        <v>741052631.57894742</v>
      </c>
      <c r="O30" s="175"/>
      <c r="P30" s="195"/>
      <c r="W30" s="181" t="s">
        <v>134</v>
      </c>
      <c r="X30" s="5" t="s">
        <v>125</v>
      </c>
      <c r="Y30" s="137">
        <v>0</v>
      </c>
      <c r="AA30" s="115" t="s">
        <v>127</v>
      </c>
      <c r="AE30" s="134" t="s">
        <v>128</v>
      </c>
      <c r="AF30" s="49">
        <f>ROUND((AB28*AA31)/11.5,1)</f>
        <v>0</v>
      </c>
      <c r="AG30" s="5"/>
      <c r="AH30" s="135" t="s">
        <v>130</v>
      </c>
      <c r="AI30" s="118">
        <f>IF(AD28=0,0,(AD28*43560)/(AI28*AJ28))</f>
        <v>0</v>
      </c>
    </row>
    <row r="31" spans="1:37" ht="12.6" thickBot="1">
      <c r="A31" s="193"/>
      <c r="B31" s="175"/>
      <c r="C31" s="177" t="s">
        <v>126</v>
      </c>
      <c r="D31" s="179">
        <f>SUM(D30*F28)</f>
        <v>36641.718399999998</v>
      </c>
      <c r="E31" s="175"/>
      <c r="F31" s="136">
        <v>10</v>
      </c>
      <c r="G31" s="175"/>
      <c r="H31" s="175"/>
      <c r="I31" s="175"/>
      <c r="J31" s="177" t="s">
        <v>129</v>
      </c>
      <c r="K31" s="66">
        <f>IF(L28=0,0,ROUND(((K30/100)*1000)/L28,1))</f>
        <v>14224.3</v>
      </c>
      <c r="L31" s="175"/>
      <c r="M31" s="135" t="s">
        <v>78</v>
      </c>
      <c r="N31" s="178">
        <f>IF(L28=0,0,ROUND((1000*453.592)/L28,0))</f>
        <v>4536</v>
      </c>
      <c r="O31" s="175"/>
      <c r="P31" s="195"/>
      <c r="X31" s="5" t="s">
        <v>126</v>
      </c>
      <c r="Y31" s="116">
        <f>SUM(Y30*AA28)</f>
        <v>0</v>
      </c>
      <c r="AA31" s="136">
        <v>10</v>
      </c>
      <c r="AE31" s="134" t="s">
        <v>129</v>
      </c>
      <c r="AF31" s="49">
        <f>IF(AG28=0,0,ROUND(((AF30/100)*1000)/AG28,1))</f>
        <v>0</v>
      </c>
      <c r="AH31" s="135" t="s">
        <v>78</v>
      </c>
      <c r="AI31" s="118">
        <f>IF(AG28=0,0,ROUND((1000*453.592)/AG28,0))</f>
        <v>0</v>
      </c>
    </row>
    <row r="32" spans="1:37" ht="7.5" customHeight="1" thickBot="1">
      <c r="A32" s="196"/>
      <c r="B32" s="197"/>
      <c r="C32" s="198"/>
      <c r="D32" s="199"/>
      <c r="E32" s="197"/>
      <c r="F32" s="200"/>
      <c r="G32" s="197"/>
      <c r="H32" s="197"/>
      <c r="I32" s="197"/>
      <c r="J32" s="201"/>
      <c r="K32" s="202"/>
      <c r="L32" s="197"/>
      <c r="M32" s="203"/>
      <c r="N32" s="204"/>
      <c r="O32" s="197"/>
      <c r="P32" s="205"/>
      <c r="X32" s="5"/>
      <c r="Y32" s="116"/>
      <c r="AA32" s="172"/>
      <c r="AE32" s="134"/>
      <c r="AF32" s="49"/>
      <c r="AH32" s="135"/>
      <c r="AI32" s="118"/>
    </row>
    <row r="33" spans="1:37" ht="7.5" customHeight="1" thickBot="1">
      <c r="A33" s="20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207"/>
    </row>
    <row r="34" spans="1:37" ht="12.6" thickBot="1">
      <c r="A34" s="208" t="s">
        <v>140</v>
      </c>
      <c r="B34" s="136" t="s">
        <v>70</v>
      </c>
      <c r="C34" s="143">
        <f>VLOOKUP(B34,'DATA (hide)'!$A$4:$Y$30,2,FALSE)</f>
        <v>255</v>
      </c>
      <c r="D34" s="142" t="str">
        <f>VLOOKUP(B34,'DATA (hide)'!$A$4:$Y$30,3,FALSE)</f>
        <v>Bag</v>
      </c>
      <c r="E34" s="141">
        <f>VLOOKUP(B34,'DATA (hide)'!$A$4:$Y$30,4,FALSE)</f>
        <v>80000</v>
      </c>
      <c r="F34" s="173">
        <f>G34*(C34/E34)</f>
        <v>3432.8163749999999</v>
      </c>
      <c r="G34" s="174">
        <f>IF(L34=0,0,ROUND(((I34*L34)/(N34*O34))/10.4,1))</f>
        <v>1076962</v>
      </c>
      <c r="H34" s="209">
        <f>SUM(G34/E34)</f>
        <v>13.462025000000001</v>
      </c>
      <c r="I34" s="141">
        <f>VLOOKUP(B34,'DATA (hide)'!$A$4:$Y$30,10,FALSE)</f>
        <v>31000</v>
      </c>
      <c r="J34" s="66" t="str">
        <f>VLOOKUP(B34,'DATA (hide)'!$A$4:$Y$30,8,FALSE)&amp;"-"&amp;VLOOKUP(B34,'DATA (hide)'!$A$4:$Y$30,9,FALSE)</f>
        <v>30000-36000</v>
      </c>
      <c r="K34" s="66">
        <f>ROUND(I34*10.7639,0)</f>
        <v>333681</v>
      </c>
      <c r="L34" s="141">
        <f>VLOOKUP(B34,'DATA (hide)'!$A$4:$Y$30,14,FALSE)</f>
        <v>350</v>
      </c>
      <c r="M34" s="38" t="str">
        <f>VLOOKUP(B34,'DATA (hide)'!$A$4:$Y$30,12,FALSE)&amp;"-"&amp;VLOOKUP(B34,'DATA (hide)'!$A$4:$Y$30,13,FALSE)</f>
        <v>204-369</v>
      </c>
      <c r="N34" s="140">
        <f>VLOOKUP(B34,'DATA (hide)'!$A$4:$Y$30,15,FALSE)</f>
        <v>0.99</v>
      </c>
      <c r="O34" s="140">
        <f>VLOOKUP(B34,'DATA (hide)'!$A$4:$Y$30,18,FALSE)</f>
        <v>0.97850000000000004</v>
      </c>
      <c r="P34" s="194" t="str">
        <f>VLOOKUP(B34,'DATA (hide)'!$A$4:$Y$30,16,FALSE)&amp;"-"&amp;VLOOKUP(B34,'DATA (hide)'!$A$4:$Y$30,17,FALSE)</f>
        <v>95-99</v>
      </c>
      <c r="V34" s="5" t="s">
        <v>140</v>
      </c>
      <c r="W34" s="81" t="s">
        <v>135</v>
      </c>
      <c r="X34" s="143">
        <f>VLOOKUP(W34,'DATA (hide)'!$A$4:$Y$30,2,FALSE)</f>
        <v>0</v>
      </c>
      <c r="Y34" s="142" t="str">
        <f>VLOOKUP(W34,'DATA (hide)'!$A$4:$Y$30,3,FALSE)</f>
        <v>Bu</v>
      </c>
      <c r="Z34" s="141">
        <f>VLOOKUP(W34,'DATA (hide)'!$A$4:$Y$30,4,FALSE)</f>
        <v>1</v>
      </c>
      <c r="AA34" s="91">
        <f>AB34*(X34/Z34)</f>
        <v>0</v>
      </c>
      <c r="AB34" s="93">
        <f>IF(AG34=0,0,ROUND(((AD34*AG34)/(AI34*AJ34))/10.4,1))</f>
        <v>0</v>
      </c>
      <c r="AC34" s="93">
        <f>SUM(AB34/Z34)</f>
        <v>0</v>
      </c>
      <c r="AD34" s="141">
        <f>VLOOKUP(W34,'DATA (hide)'!$A$4:$Y$30,10,FALSE)</f>
        <v>0</v>
      </c>
      <c r="AE34" s="49" t="str">
        <f>VLOOKUP(W34,'DATA (hide)'!$A$4:$Y$30,8,FALSE)&amp;"-"&amp;VLOOKUP(W34,'DATA (hide)'!$A$4:$Y$30,9,FALSE)</f>
        <v>0-0</v>
      </c>
      <c r="AF34" s="49">
        <f>ROUND(AD34*10.7639,0)</f>
        <v>0</v>
      </c>
      <c r="AG34" s="141">
        <f>VLOOKUP(W34,'DATA (hide)'!$A$4:$Y$30,14,FALSE)</f>
        <v>0</v>
      </c>
      <c r="AH34" s="95" t="str">
        <f>VLOOKUP(W34,'DATA (hide)'!$A$4:$Y$30,12,FALSE)&amp;"-"&amp;VLOOKUP(W34,'DATA (hide)'!$A$4:$Y$30,13,FALSE)</f>
        <v>0-0</v>
      </c>
      <c r="AI34" s="140">
        <f>VLOOKUP(W34,'DATA (hide)'!$A$4:$Y$30,15,FALSE)</f>
        <v>0</v>
      </c>
      <c r="AJ34" s="140">
        <f>VLOOKUP(W34,'DATA (hide)'!$A$4:$Y$30,18,FALSE)</f>
        <v>0</v>
      </c>
      <c r="AK34" s="95" t="str">
        <f>VLOOKUP(W34,'DATA (hide)'!$A$4:$Y$30,16,FALSE)&amp;"-"&amp;VLOOKUP(W34,'DATA (hide)'!$A$4:$Y$30,17,FALSE)</f>
        <v>0-0</v>
      </c>
    </row>
    <row r="35" spans="1:37">
      <c r="A35" s="193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95"/>
    </row>
    <row r="36" spans="1:37" ht="12.6" thickBot="1">
      <c r="A36" s="193"/>
      <c r="B36" s="181" t="s">
        <v>134</v>
      </c>
      <c r="C36" s="177" t="s">
        <v>125</v>
      </c>
      <c r="D36" s="137">
        <v>80</v>
      </c>
      <c r="E36" s="175"/>
      <c r="F36" s="115" t="s">
        <v>127</v>
      </c>
      <c r="G36" s="175"/>
      <c r="H36" s="175"/>
      <c r="I36" s="175"/>
      <c r="J36" s="177" t="s">
        <v>128</v>
      </c>
      <c r="K36" s="66">
        <f>ROUND((G34*F37)/11.5,1)</f>
        <v>936488.7</v>
      </c>
      <c r="L36" s="176"/>
      <c r="M36" s="135" t="s">
        <v>130</v>
      </c>
      <c r="N36" s="178">
        <f>IF(I34=0,0,(I34*43560)/(N34*O34))</f>
        <v>1393970362.8002045</v>
      </c>
      <c r="O36" s="175"/>
      <c r="P36" s="195"/>
      <c r="W36" s="181" t="s">
        <v>134</v>
      </c>
      <c r="X36" s="5" t="s">
        <v>125</v>
      </c>
      <c r="Y36" s="137">
        <v>0</v>
      </c>
      <c r="AA36" s="115" t="s">
        <v>127</v>
      </c>
      <c r="AE36" s="134" t="s">
        <v>128</v>
      </c>
      <c r="AF36" s="49">
        <f>ROUND((AB34*AA37)/11.5,1)</f>
        <v>0</v>
      </c>
      <c r="AG36" s="5"/>
      <c r="AH36" s="135" t="s">
        <v>130</v>
      </c>
      <c r="AI36" s="118">
        <f>IF(AD34=0,0,(AD34*43560)/(AI34*AJ34))</f>
        <v>0</v>
      </c>
    </row>
    <row r="37" spans="1:37" ht="12.6" thickBot="1">
      <c r="A37" s="193"/>
      <c r="B37" s="175"/>
      <c r="C37" s="177" t="s">
        <v>126</v>
      </c>
      <c r="D37" s="179">
        <f>SUM(D36*F34)</f>
        <v>274625.31</v>
      </c>
      <c r="E37" s="175"/>
      <c r="F37" s="136">
        <v>10</v>
      </c>
      <c r="G37" s="175"/>
      <c r="H37" s="175"/>
      <c r="I37" s="175"/>
      <c r="J37" s="177" t="s">
        <v>129</v>
      </c>
      <c r="K37" s="66">
        <f>IF(L34=0,0,ROUND(((K36/100)*1000)/L34,1))</f>
        <v>26756.799999999999</v>
      </c>
      <c r="L37" s="175"/>
      <c r="M37" s="135" t="s">
        <v>78</v>
      </c>
      <c r="N37" s="178">
        <f>IF(L34=0,0,ROUND((1000*453.592)/L34,0))</f>
        <v>1296</v>
      </c>
      <c r="O37" s="175"/>
      <c r="P37" s="195"/>
      <c r="X37" s="5" t="s">
        <v>126</v>
      </c>
      <c r="Y37" s="116">
        <f>SUM(Y36*AA34)</f>
        <v>0</v>
      </c>
      <c r="AA37" s="136">
        <v>10</v>
      </c>
      <c r="AE37" s="134" t="s">
        <v>129</v>
      </c>
      <c r="AF37" s="49">
        <f>IF(AG34=0,0,ROUND(((AF36/100)*1000)/AG34,1))</f>
        <v>0</v>
      </c>
      <c r="AH37" s="135" t="s">
        <v>78</v>
      </c>
      <c r="AI37" s="118">
        <f>IF(AG34=0,0,ROUND((1000*453.592)/AG34,0))</f>
        <v>0</v>
      </c>
    </row>
    <row r="38" spans="1:37" ht="7.5" customHeight="1" thickBot="1">
      <c r="A38" s="196"/>
      <c r="B38" s="197"/>
      <c r="C38" s="198"/>
      <c r="D38" s="199"/>
      <c r="E38" s="197"/>
      <c r="F38" s="200"/>
      <c r="G38" s="197"/>
      <c r="H38" s="197"/>
      <c r="I38" s="197"/>
      <c r="J38" s="201"/>
      <c r="K38" s="202"/>
      <c r="L38" s="197"/>
      <c r="M38" s="203"/>
      <c r="N38" s="204"/>
      <c r="O38" s="197"/>
      <c r="P38" s="205"/>
      <c r="X38" s="5"/>
      <c r="Y38" s="116"/>
      <c r="AA38" s="172"/>
      <c r="AE38" s="134"/>
      <c r="AF38" s="49"/>
      <c r="AH38" s="135"/>
      <c r="AI38" s="118"/>
    </row>
    <row r="39" spans="1:37" ht="7.5" customHeight="1" thickBot="1">
      <c r="A39" s="206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207"/>
    </row>
    <row r="40" spans="1:37" ht="12.6" thickBot="1">
      <c r="A40" s="208" t="s">
        <v>141</v>
      </c>
      <c r="B40" s="136" t="s">
        <v>135</v>
      </c>
      <c r="C40" s="143">
        <f>VLOOKUP(B40,'DATA (hide)'!$A$4:$Y$30,2,FALSE)</f>
        <v>0</v>
      </c>
      <c r="D40" s="142" t="str">
        <f>VLOOKUP(B40,'DATA (hide)'!$A$4:$Y$30,3,FALSE)</f>
        <v>Bu</v>
      </c>
      <c r="E40" s="141">
        <f>VLOOKUP(B40,'DATA (hide)'!$A$4:$Y$30,4,FALSE)</f>
        <v>1</v>
      </c>
      <c r="F40" s="173">
        <f>G40*(C40/E40)</f>
        <v>0</v>
      </c>
      <c r="G40" s="174">
        <f>IF(L40=0,0,ROUND(((I40*L40)/(N40*O40))/10.4,1))</f>
        <v>0</v>
      </c>
      <c r="H40" s="209">
        <f>SUM(G40/E40)</f>
        <v>0</v>
      </c>
      <c r="I40" s="141">
        <f>VLOOKUP(B40,'DATA (hide)'!$A$4:$Y$30,10,FALSE)</f>
        <v>0</v>
      </c>
      <c r="J40" s="66" t="str">
        <f>VLOOKUP(B40,'DATA (hide)'!$A$4:$Y$30,8,FALSE)&amp;"-"&amp;VLOOKUP(B40,'DATA (hide)'!$A$4:$Y$30,9,FALSE)</f>
        <v>0-0</v>
      </c>
      <c r="K40" s="66">
        <f>ROUND(I40*10.7639,0)</f>
        <v>0</v>
      </c>
      <c r="L40" s="141">
        <f>VLOOKUP(B40,'DATA (hide)'!$A$4:$Y$30,14,FALSE)</f>
        <v>0</v>
      </c>
      <c r="M40" s="38" t="str">
        <f>VLOOKUP(B40,'DATA (hide)'!$A$4:$Y$30,12,FALSE)&amp;"-"&amp;VLOOKUP(B40,'DATA (hide)'!$A$4:$Y$30,13,FALSE)</f>
        <v>0-0</v>
      </c>
      <c r="N40" s="140">
        <f>VLOOKUP(B40,'DATA (hide)'!$A$4:$Y$30,15,FALSE)</f>
        <v>0</v>
      </c>
      <c r="O40" s="140">
        <f>VLOOKUP(B40,'DATA (hide)'!$A$4:$Y$30,18,FALSE)</f>
        <v>0</v>
      </c>
      <c r="P40" s="194" t="str">
        <f>VLOOKUP(B40,'DATA (hide)'!$A$4:$Y$30,16,FALSE)&amp;"-"&amp;VLOOKUP(B40,'DATA (hide)'!$A$4:$Y$30,17,FALSE)</f>
        <v>0-0</v>
      </c>
      <c r="V40" s="5" t="s">
        <v>141</v>
      </c>
      <c r="W40" s="81" t="s">
        <v>135</v>
      </c>
      <c r="X40" s="143">
        <f>VLOOKUP(W40,'DATA (hide)'!$A$4:$Y$30,2,FALSE)</f>
        <v>0</v>
      </c>
      <c r="Y40" s="142" t="str">
        <f>VLOOKUP(W40,'DATA (hide)'!$A$4:$Y$30,3,FALSE)</f>
        <v>Bu</v>
      </c>
      <c r="Z40" s="141">
        <f>VLOOKUP(W40,'DATA (hide)'!$A$4:$Y$30,4,FALSE)</f>
        <v>1</v>
      </c>
      <c r="AA40" s="91">
        <f>AB40*(X40/Z40)</f>
        <v>0</v>
      </c>
      <c r="AB40" s="93">
        <f>IF(AG40=0,0,ROUND(((AD40*AG40)/(AI40*AJ40))/10.4,1))</f>
        <v>0</v>
      </c>
      <c r="AC40" s="93">
        <f>SUM(AB40/Z40)</f>
        <v>0</v>
      </c>
      <c r="AD40" s="141">
        <f>VLOOKUP(W40,'DATA (hide)'!$A$4:$Y$30,10,FALSE)</f>
        <v>0</v>
      </c>
      <c r="AE40" s="49" t="str">
        <f>VLOOKUP(W40,'DATA (hide)'!$A$4:$Y$30,8,FALSE)&amp;"-"&amp;VLOOKUP(W40,'DATA (hide)'!$A$4:$Y$30,9,FALSE)</f>
        <v>0-0</v>
      </c>
      <c r="AF40" s="49">
        <f>ROUND(AD40*10.7639,0)</f>
        <v>0</v>
      </c>
      <c r="AG40" s="141">
        <f>VLOOKUP(W40,'DATA (hide)'!$A$4:$Y$30,14,FALSE)</f>
        <v>0</v>
      </c>
      <c r="AH40" s="95" t="str">
        <f>VLOOKUP(W40,'DATA (hide)'!$A$4:$Y$30,12,FALSE)&amp;"-"&amp;VLOOKUP(W40,'DATA (hide)'!$A$4:$Y$30,13,FALSE)</f>
        <v>0-0</v>
      </c>
      <c r="AI40" s="140">
        <f>VLOOKUP(W40,'DATA (hide)'!$A$4:$Y$30,15,FALSE)</f>
        <v>0</v>
      </c>
      <c r="AJ40" s="140">
        <f>VLOOKUP(W40,'DATA (hide)'!$A$4:$Y$30,18,FALSE)</f>
        <v>0</v>
      </c>
      <c r="AK40" s="95" t="str">
        <f>VLOOKUP(W40,'DATA (hide)'!$A$4:$Y$30,16,FALSE)&amp;"-"&amp;VLOOKUP(W40,'DATA (hide)'!$A$4:$Y$30,17,FALSE)</f>
        <v>0-0</v>
      </c>
    </row>
    <row r="41" spans="1:37">
      <c r="A41" s="193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95"/>
    </row>
    <row r="42" spans="1:37" ht="12.6" thickBot="1">
      <c r="A42" s="193"/>
      <c r="B42" s="137" t="s">
        <v>134</v>
      </c>
      <c r="C42" s="177" t="s">
        <v>125</v>
      </c>
      <c r="D42" s="137">
        <v>0</v>
      </c>
      <c r="E42" s="175"/>
      <c r="F42" s="115" t="s">
        <v>127</v>
      </c>
      <c r="G42" s="175"/>
      <c r="H42" s="175"/>
      <c r="I42" s="175"/>
      <c r="J42" s="177" t="s">
        <v>128</v>
      </c>
      <c r="K42" s="66">
        <f>ROUND((G40*F43)/11.5,1)</f>
        <v>0</v>
      </c>
      <c r="L42" s="176"/>
      <c r="M42" s="135" t="s">
        <v>130</v>
      </c>
      <c r="N42" s="178">
        <f>IF(I40=0,0,(I40*43560)/(N40*O40))</f>
        <v>0</v>
      </c>
      <c r="O42" s="175"/>
      <c r="P42" s="195"/>
      <c r="W42" s="181" t="s">
        <v>134</v>
      </c>
      <c r="X42" s="5" t="s">
        <v>125</v>
      </c>
      <c r="Y42" s="137">
        <v>0</v>
      </c>
      <c r="AA42" s="115" t="s">
        <v>127</v>
      </c>
      <c r="AE42" s="134" t="s">
        <v>128</v>
      </c>
      <c r="AF42" s="49">
        <f>ROUND((AB40*AA43)/11.5,1)</f>
        <v>0</v>
      </c>
      <c r="AG42" s="5"/>
      <c r="AH42" s="135" t="s">
        <v>130</v>
      </c>
      <c r="AI42" s="118">
        <f>IF(AD40=0,0,(AD40*43560)/(AI40*AJ40))</f>
        <v>0</v>
      </c>
    </row>
    <row r="43" spans="1:37" ht="12.6" thickBot="1">
      <c r="A43" s="193"/>
      <c r="B43" s="175"/>
      <c r="C43" s="177" t="s">
        <v>126</v>
      </c>
      <c r="D43" s="179">
        <f>SUM(D42*F40)</f>
        <v>0</v>
      </c>
      <c r="E43" s="175"/>
      <c r="F43" s="136">
        <v>10</v>
      </c>
      <c r="G43" s="175"/>
      <c r="H43" s="175"/>
      <c r="I43" s="175"/>
      <c r="J43" s="177" t="s">
        <v>129</v>
      </c>
      <c r="K43" s="66">
        <f>IF(L40=0,0,ROUND(((K42/100)*1000)/L40,1))</f>
        <v>0</v>
      </c>
      <c r="L43" s="175"/>
      <c r="M43" s="135" t="s">
        <v>78</v>
      </c>
      <c r="N43" s="178">
        <f>IF(L40=0,0,ROUND((1000*453.592)/L40,0))</f>
        <v>0</v>
      </c>
      <c r="O43" s="175"/>
      <c r="P43" s="195"/>
      <c r="X43" s="5" t="s">
        <v>126</v>
      </c>
      <c r="Y43" s="116">
        <f>SUM(Y42*AA40)</f>
        <v>0</v>
      </c>
      <c r="AA43" s="136">
        <v>10</v>
      </c>
      <c r="AE43" s="134" t="s">
        <v>129</v>
      </c>
      <c r="AF43" s="49">
        <f>IF(AG40=0,0,ROUND(((AF42/100)*1000)/AG40,1))</f>
        <v>0</v>
      </c>
      <c r="AH43" s="135" t="s">
        <v>78</v>
      </c>
      <c r="AI43" s="118">
        <f>IF(AG40=0,0,ROUND((1000*453.592)/AG40,0))</f>
        <v>0</v>
      </c>
    </row>
    <row r="44" spans="1:37" ht="7.5" customHeight="1" thickBot="1">
      <c r="A44" s="196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205"/>
    </row>
    <row r="46" spans="1:37" ht="15">
      <c r="B46" s="165"/>
      <c r="C46" s="165" t="s">
        <v>152</v>
      </c>
      <c r="D46" s="166">
        <f>D42+D36+D30+D24+D18+D12</f>
        <v>640</v>
      </c>
    </row>
    <row r="47" spans="1:37" ht="15">
      <c r="B47" s="166"/>
      <c r="C47" s="165" t="s">
        <v>154</v>
      </c>
      <c r="D47" s="167">
        <f>ROUND(D43+D37+D31+D25+D19+D13,0)</f>
        <v>552953</v>
      </c>
    </row>
    <row r="48" spans="1:37" ht="15">
      <c r="B48" s="166"/>
      <c r="C48" s="165" t="s">
        <v>153</v>
      </c>
      <c r="D48" s="167">
        <f>IF(D46=0,0,D47/D46)</f>
        <v>863.98906250000005</v>
      </c>
    </row>
    <row r="49" spans="1:21" ht="15">
      <c r="A49" s="168"/>
      <c r="B49" s="169"/>
      <c r="C49" s="169"/>
      <c r="D49" s="170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</row>
    <row r="50" spans="1:21" ht="12.75" customHeight="1">
      <c r="A50" s="309" t="s">
        <v>147</v>
      </c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309"/>
    </row>
    <row r="51" spans="1:21" ht="12.75" customHeight="1">
      <c r="A51" s="309"/>
      <c r="B51" s="309"/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</row>
    <row r="52" spans="1:21" ht="9" customHeight="1"/>
    <row r="53" spans="1:21" s="149" customFormat="1" ht="14.5" customHeight="1">
      <c r="A53" s="144" t="s">
        <v>142</v>
      </c>
      <c r="B53" s="144"/>
      <c r="C53" s="144"/>
      <c r="D53" s="145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7" t="s">
        <v>150</v>
      </c>
      <c r="Q53" s="148"/>
      <c r="S53" s="150"/>
      <c r="T53" s="151"/>
      <c r="U53" s="151"/>
    </row>
    <row r="54" spans="1:21" s="149" customFormat="1" ht="16.5" customHeight="1">
      <c r="A54" s="152" t="s">
        <v>143</v>
      </c>
      <c r="B54" s="153"/>
      <c r="C54" s="153"/>
      <c r="D54" s="153"/>
      <c r="E54" s="145"/>
      <c r="F54" s="145"/>
      <c r="G54" s="145"/>
      <c r="H54" s="145"/>
      <c r="I54" s="145"/>
      <c r="J54" s="145"/>
      <c r="K54" s="145"/>
      <c r="L54" s="145"/>
      <c r="N54" s="150"/>
      <c r="O54" s="151"/>
      <c r="P54" s="151"/>
    </row>
    <row r="55" spans="1:21" s="156" customFormat="1" ht="14.1">
      <c r="A55" s="164" t="s">
        <v>144</v>
      </c>
      <c r="B55" s="154"/>
      <c r="D55" s="155" t="s">
        <v>145</v>
      </c>
      <c r="E55" s="157"/>
      <c r="F55" s="158"/>
      <c r="G55" s="159"/>
      <c r="H55" s="160"/>
      <c r="I55" s="160"/>
      <c r="J55" s="158"/>
      <c r="K55" s="158"/>
      <c r="L55" s="158"/>
      <c r="P55" s="171" t="s">
        <v>149</v>
      </c>
    </row>
    <row r="56" spans="1:21" s="156" customFormat="1" ht="13.8">
      <c r="A56" s="161" t="s">
        <v>146</v>
      </c>
      <c r="B56" s="158"/>
      <c r="D56" s="161" t="s">
        <v>146</v>
      </c>
      <c r="E56" s="162"/>
      <c r="F56" s="158"/>
      <c r="G56" s="163"/>
      <c r="H56" s="160"/>
      <c r="I56" s="160"/>
      <c r="J56" s="158"/>
      <c r="K56" s="158"/>
      <c r="L56" s="158"/>
    </row>
  </sheetData>
  <mergeCells count="10">
    <mergeCell ref="O3:P3"/>
    <mergeCell ref="C6:E6"/>
    <mergeCell ref="I6:K6"/>
    <mergeCell ref="L6:M6"/>
    <mergeCell ref="O6:P6"/>
    <mergeCell ref="A50:P51"/>
    <mergeCell ref="X6:Z6"/>
    <mergeCell ref="AD6:AF6"/>
    <mergeCell ref="AG6:AH6"/>
    <mergeCell ref="AJ6:AK6"/>
  </mergeCells>
  <dataValidations count="2">
    <dataValidation type="list" allowBlank="1" showInputMessage="1" showErrorMessage="1" sqref="W40 B28 W10 W16 B34 B10 B16 B22 W22 W28 W34 B40">
      <formula1>smallgrain</formula1>
    </dataValidation>
    <dataValidation type="list" allowBlank="1" showInputMessage="1" showErrorMessage="1" sqref="AA37:AA38 F37:F38 AA13:AA14 F43 F13:F14 F19:F20 F25:F26 F31:F32 AA19:AA20 AA25:AA26 AA31:AA32 AA43">
      <formula1>ROW</formula1>
    </dataValidation>
  </dataValidations>
  <hyperlinks>
    <hyperlink ref="D55" r:id="rId1"/>
    <hyperlink ref="A55" r:id="rId2"/>
  </hyperlinks>
  <pageMargins left="0.7" right="0.7" top="0.75" bottom="0.75" header="0.3" footer="0.3"/>
  <pageSetup scale="57" orientation="portrait" r:id="rId3"/>
  <colBreaks count="1" manualBreakCount="1">
    <brk id="16" max="1048575" man="1"/>
  </colBreak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31"/>
  <sheetViews>
    <sheetView zoomScaleNormal="100" workbookViewId="0">
      <selection activeCell="B8" sqref="B8"/>
    </sheetView>
  </sheetViews>
  <sheetFormatPr defaultRowHeight="12.3"/>
  <cols>
    <col min="1" max="1" width="2.83203125" customWidth="1"/>
    <col min="2" max="2" width="31.44140625" customWidth="1"/>
    <col min="4" max="4" width="10.71875" customWidth="1"/>
    <col min="5" max="5" width="11.71875" customWidth="1"/>
    <col min="6" max="6" width="10" customWidth="1"/>
    <col min="8" max="8" width="12.71875" customWidth="1"/>
    <col min="9" max="9" width="14.44140625" customWidth="1"/>
    <col min="10" max="10" width="12.71875" customWidth="1"/>
    <col min="11" max="11" width="14.71875" customWidth="1"/>
    <col min="12" max="12" width="10.71875" customWidth="1"/>
    <col min="13" max="13" width="9.71875" customWidth="1"/>
    <col min="14" max="14" width="12.83203125" customWidth="1"/>
    <col min="18" max="28" width="9.1640625" hidden="1" customWidth="1"/>
    <col min="29" max="37" width="9.1640625" customWidth="1"/>
  </cols>
  <sheetData>
    <row r="1" spans="1:35" s="98" customFormat="1" ht="27" customHeight="1">
      <c r="A1" s="96"/>
      <c r="B1" s="96"/>
      <c r="C1" s="96"/>
      <c r="D1" s="96"/>
      <c r="E1" s="96"/>
      <c r="F1" s="97"/>
      <c r="G1" s="97"/>
      <c r="H1" s="97"/>
      <c r="I1" s="97"/>
      <c r="J1" s="97"/>
      <c r="K1" s="97"/>
      <c r="L1" s="97"/>
      <c r="M1" s="96"/>
      <c r="N1" s="96"/>
      <c r="O1" s="96"/>
      <c r="P1" s="96"/>
      <c r="Q1" s="96"/>
    </row>
    <row r="2" spans="1:35" s="98" customFormat="1" ht="27">
      <c r="A2" s="99" t="s">
        <v>178</v>
      </c>
      <c r="B2" s="99"/>
      <c r="C2" s="99"/>
      <c r="D2" s="99"/>
      <c r="E2" s="96"/>
      <c r="F2" s="97"/>
      <c r="G2" s="97"/>
      <c r="H2" s="97"/>
      <c r="I2" s="97"/>
      <c r="J2" s="97"/>
      <c r="K2" s="97"/>
      <c r="L2" s="97"/>
      <c r="M2" s="96"/>
      <c r="N2" s="96"/>
      <c r="O2" s="96"/>
      <c r="P2" s="96"/>
      <c r="Q2" s="96"/>
    </row>
    <row r="3" spans="1:35" s="98" customFormat="1" ht="22.5">
      <c r="A3" s="100" t="s">
        <v>184</v>
      </c>
      <c r="B3" s="100"/>
      <c r="C3" s="103"/>
      <c r="D3" s="103"/>
      <c r="E3" s="100"/>
      <c r="F3" s="102"/>
      <c r="G3" s="102"/>
      <c r="H3" s="102"/>
      <c r="I3" s="103"/>
      <c r="J3" s="103"/>
      <c r="K3" s="103" t="s">
        <v>118</v>
      </c>
      <c r="L3" s="217">
        <f ca="1">TODAY()</f>
        <v>44893</v>
      </c>
      <c r="Q3" s="96"/>
    </row>
    <row r="4" spans="1:35" s="107" customFormat="1" ht="7.5" customHeight="1">
      <c r="A4" s="104"/>
      <c r="B4" s="104"/>
      <c r="C4" s="104"/>
      <c r="D4" s="106"/>
      <c r="E4" s="106"/>
      <c r="F4" s="106"/>
      <c r="G4" s="106"/>
      <c r="J4" s="106"/>
      <c r="K4" s="106"/>
      <c r="M4" s="105"/>
      <c r="N4" s="105"/>
      <c r="Q4" s="109"/>
      <c r="R4" s="110"/>
      <c r="S4" s="110"/>
      <c r="T4" s="111"/>
      <c r="U4" s="111"/>
      <c r="V4" s="112"/>
      <c r="W4" s="112"/>
      <c r="X4" s="112"/>
      <c r="Y4" s="113"/>
      <c r="Z4" s="114"/>
      <c r="AA4" s="112"/>
    </row>
    <row r="5" spans="1:35" s="107" customFormat="1" ht="15.75" customHeight="1">
      <c r="A5" s="104"/>
      <c r="B5" s="104"/>
      <c r="C5" s="104"/>
      <c r="D5" s="106" t="s">
        <v>119</v>
      </c>
      <c r="E5" s="106"/>
      <c r="F5" s="106"/>
      <c r="G5" s="106"/>
      <c r="H5" s="106"/>
      <c r="I5" s="106"/>
      <c r="J5" s="106"/>
      <c r="K5" s="106"/>
      <c r="L5" s="108" t="s">
        <v>120</v>
      </c>
      <c r="M5" s="105"/>
      <c r="N5" s="105"/>
      <c r="O5" s="105"/>
      <c r="Q5" s="108"/>
      <c r="R5" s="109"/>
      <c r="S5" s="110"/>
      <c r="T5" s="110"/>
      <c r="U5" s="111"/>
      <c r="V5" s="111"/>
      <c r="W5" s="112"/>
      <c r="X5" s="112"/>
      <c r="Y5" s="112"/>
      <c r="Z5" s="113"/>
      <c r="AA5" s="114"/>
      <c r="AB5" s="112"/>
    </row>
    <row r="6" spans="1:35" ht="7.5" customHeight="1">
      <c r="A6" s="175"/>
      <c r="B6" s="216"/>
      <c r="C6" s="177"/>
      <c r="D6" s="179"/>
      <c r="E6" s="175"/>
      <c r="F6" s="175"/>
      <c r="G6" s="175"/>
      <c r="H6" s="175"/>
      <c r="I6" s="175"/>
      <c r="J6" s="177"/>
      <c r="K6" s="66"/>
      <c r="L6" s="175"/>
      <c r="M6" s="135"/>
      <c r="N6" s="178"/>
      <c r="O6" s="175"/>
      <c r="P6" s="175"/>
      <c r="X6" s="5"/>
      <c r="Y6" s="116"/>
      <c r="AA6" s="112"/>
      <c r="AE6" s="134"/>
      <c r="AF6" s="49"/>
      <c r="AH6" s="135"/>
      <c r="AI6" s="118"/>
    </row>
    <row r="7" spans="1:35" ht="15.75" customHeight="1" thickBot="1">
      <c r="A7" s="110"/>
      <c r="B7" s="233"/>
      <c r="C7" s="234"/>
      <c r="D7" s="235"/>
      <c r="E7" s="236"/>
      <c r="F7" s="234"/>
      <c r="G7" s="237" t="s">
        <v>80</v>
      </c>
      <c r="H7" s="238" t="s">
        <v>173</v>
      </c>
      <c r="I7" s="239" t="s">
        <v>191</v>
      </c>
      <c r="J7" s="314" t="s">
        <v>75</v>
      </c>
      <c r="K7" s="315"/>
      <c r="L7" s="237" t="s">
        <v>183</v>
      </c>
      <c r="N7" s="323"/>
      <c r="O7" s="323"/>
      <c r="P7" s="175"/>
      <c r="R7" s="233"/>
      <c r="S7" s="234"/>
      <c r="T7" s="235"/>
      <c r="U7" s="236"/>
      <c r="V7" s="234"/>
      <c r="W7" s="237"/>
      <c r="X7" s="238"/>
      <c r="Y7" s="239"/>
      <c r="Z7" s="314"/>
      <c r="AA7" s="315"/>
      <c r="AB7" s="237"/>
      <c r="AE7" s="134"/>
      <c r="AF7" s="49"/>
      <c r="AH7" s="135"/>
      <c r="AI7" s="118"/>
    </row>
    <row r="8" spans="1:35" s="175" customFormat="1" ht="15.75" customHeight="1" thickBot="1">
      <c r="A8" s="110"/>
      <c r="B8" s="306" t="s">
        <v>135</v>
      </c>
      <c r="C8" s="240"/>
      <c r="D8" s="241" t="s">
        <v>84</v>
      </c>
      <c r="E8" s="241"/>
      <c r="F8" s="241" t="s">
        <v>86</v>
      </c>
      <c r="G8" s="241" t="s">
        <v>172</v>
      </c>
      <c r="H8" s="242" t="s">
        <v>176</v>
      </c>
      <c r="I8" s="242" t="s">
        <v>177</v>
      </c>
      <c r="J8" s="308" t="s">
        <v>174</v>
      </c>
      <c r="K8" s="308" t="s">
        <v>175</v>
      </c>
      <c r="L8" s="241" t="s">
        <v>91</v>
      </c>
      <c r="N8" s="66"/>
      <c r="O8" s="215"/>
      <c r="R8" s="306" t="s">
        <v>135</v>
      </c>
      <c r="S8" s="240"/>
      <c r="T8" s="241"/>
      <c r="U8" s="241"/>
      <c r="V8" s="241"/>
      <c r="W8" s="241"/>
      <c r="X8" s="242"/>
      <c r="Y8" s="242"/>
      <c r="Z8" s="237"/>
      <c r="AA8" s="237"/>
      <c r="AB8" s="241"/>
      <c r="AE8" s="177"/>
      <c r="AF8" s="66"/>
      <c r="AH8" s="135"/>
      <c r="AI8" s="178"/>
    </row>
    <row r="9" spans="1:35" s="175" customFormat="1" ht="15.75" customHeight="1">
      <c r="A9" s="110"/>
      <c r="B9" s="243"/>
      <c r="C9" s="244" t="s">
        <v>125</v>
      </c>
      <c r="D9" s="244" t="str">
        <f>"per "&amp;E10</f>
        <v>per Bu</v>
      </c>
      <c r="E9" s="244" t="s">
        <v>85</v>
      </c>
      <c r="F9" s="244" t="str">
        <f>"per "&amp;E10</f>
        <v>per Bu</v>
      </c>
      <c r="G9" s="244" t="s">
        <v>79</v>
      </c>
      <c r="H9" s="245" t="str">
        <f>"(Range "&amp;VLOOKUP(B8,'DATA (hide)'!$A$4:$Y$30,12,FALSE)&amp;"-"&amp;VLOOKUP(B8,'DATA (hide)'!$A$4:$Y$30,13,FALSE)&amp;")"</f>
        <v>(Range 0-0)</v>
      </c>
      <c r="I9" s="245" t="str">
        <f>"(Range "&amp;VLOOKUP(B8,'DATA (hide)'!$A$4:$Y$30,16,FALSE)&amp;"-"&amp;VLOOKUP(B8,'DATA (hide)'!$A$4:$Y$30,17,FALSE)&amp;"%)"</f>
        <v>(Range 0-0%)</v>
      </c>
      <c r="J9" s="246" t="str">
        <f>"(Range "&amp;VLOOKUP(B8,'DATA (hide)'!$A$4:$Y$30,8,FALSE)&amp;"-"&amp;VLOOKUP(B8,'DATA (hide)'!$A$4:$Y$30,9,FALSE)&amp;")"</f>
        <v>(Range 0-0)</v>
      </c>
      <c r="K9" s="247" t="str">
        <f>"(Range "&amp;ROUND(VLOOKUP(B8,'DATA (hide)'!$A$4:$Y$30,8,FALSE)*10.7639,0)&amp;"-"&amp;ROUND(VLOOKUP(B8,'DATA (hide)'!$A$4:$Y$30,9,FALSE)*10.7639,0)&amp;")"</f>
        <v>(Range 0-0)</v>
      </c>
      <c r="L9" s="246" t="s">
        <v>92</v>
      </c>
      <c r="N9" s="66"/>
      <c r="O9" s="66"/>
      <c r="R9" s="243"/>
      <c r="S9" s="244"/>
      <c r="T9" s="244"/>
      <c r="U9" s="244"/>
      <c r="V9" s="244"/>
      <c r="W9" s="244"/>
      <c r="X9" s="245"/>
      <c r="Y9" s="245"/>
      <c r="Z9" s="246"/>
      <c r="AA9" s="247"/>
      <c r="AB9" s="246"/>
      <c r="AE9" s="177"/>
      <c r="AF9" s="66"/>
      <c r="AH9" s="135"/>
      <c r="AI9" s="178"/>
    </row>
    <row r="10" spans="1:35" ht="15.75" customHeight="1">
      <c r="A10" s="110"/>
      <c r="B10" s="230" t="s">
        <v>179</v>
      </c>
      <c r="C10" s="214">
        <v>0</v>
      </c>
      <c r="D10" s="212">
        <f>VLOOKUP(B8,'DATA (hide)'!$A$4:$Y$30,2,FALSE)</f>
        <v>0</v>
      </c>
      <c r="E10" s="142" t="str">
        <f>VLOOKUP(B8,'DATA (hide)'!$A$4:$Y$30,3,FALSE)</f>
        <v>Bu</v>
      </c>
      <c r="F10" s="142">
        <f>VLOOKUP(B8,'DATA (hide)'!$A$4:$Y$30,4,FALSE)</f>
        <v>1</v>
      </c>
      <c r="G10" s="213">
        <f>VLOOKUP(B8,'DATA (hide)'!$A$4:$Y$30,15,FALSE)</f>
        <v>0</v>
      </c>
      <c r="H10" s="142">
        <f>VLOOKUP(B8,'DATA (hide)'!$A$4:$Y$30,14,FALSE)</f>
        <v>0</v>
      </c>
      <c r="I10" s="213">
        <f>VLOOKUP(B8,'DATA (hide)'!$A$4:$Y$30,18,FALSE)</f>
        <v>0</v>
      </c>
      <c r="J10" s="142">
        <f>VLOOKUP(B8,'DATA (hide)'!$A$4:$Y$30,10,FALSE)</f>
        <v>0</v>
      </c>
      <c r="K10" s="248">
        <f>ROUND(J10*10.7639,0)</f>
        <v>0</v>
      </c>
      <c r="L10" s="265">
        <f>VLOOKUP(B8,'DATA (hide)'!$A$4:$Y$30,19,FALSE)</f>
        <v>10</v>
      </c>
      <c r="O10" s="135"/>
      <c r="P10" s="175"/>
      <c r="R10" s="230" t="s">
        <v>179</v>
      </c>
      <c r="S10" s="214">
        <v>0</v>
      </c>
      <c r="T10" s="212">
        <f>VLOOKUP(R8,'DATA (hide)'!$A$4:$Y$30,2,FALSE)</f>
        <v>0</v>
      </c>
      <c r="U10" s="142" t="str">
        <f>VLOOKUP(R8,'DATA (hide)'!$A$4:$Y$30,3,FALSE)</f>
        <v>Bu</v>
      </c>
      <c r="V10" s="142">
        <f>VLOOKUP(R8,'DATA (hide)'!$A$4:$Y$30,4,FALSE)</f>
        <v>1</v>
      </c>
      <c r="W10" s="213">
        <f>VLOOKUP(R8,'DATA (hide)'!$A$4:$Y$30,15,FALSE)</f>
        <v>0</v>
      </c>
      <c r="X10" s="142">
        <f>VLOOKUP(R8,'DATA (hide)'!$A$4:$Y$30,14,FALSE)</f>
        <v>0</v>
      </c>
      <c r="Y10" s="213">
        <f>VLOOKUP(R8,'DATA (hide)'!$A$4:$Y$30,18,FALSE)</f>
        <v>0</v>
      </c>
      <c r="Z10" s="142">
        <f>VLOOKUP(R8,'DATA (hide)'!$A$4:$Y$30,10,FALSE)</f>
        <v>0</v>
      </c>
      <c r="AA10" s="248"/>
      <c r="AB10" s="265">
        <f>VLOOKUP(R8,'DATA (hide)'!$A$4:$Y$30,19,FALSE)</f>
        <v>10</v>
      </c>
      <c r="AE10" s="134"/>
      <c r="AF10" s="49"/>
      <c r="AH10" s="135"/>
      <c r="AI10" s="118"/>
    </row>
    <row r="11" spans="1:35" ht="7.5" customHeight="1">
      <c r="A11" s="110"/>
      <c r="B11" s="249"/>
      <c r="C11" s="114"/>
      <c r="D11" s="250"/>
      <c r="E11" s="110"/>
      <c r="F11" s="110"/>
      <c r="G11" s="110"/>
      <c r="H11" s="110"/>
      <c r="I11" s="110"/>
      <c r="J11" s="114"/>
      <c r="K11" s="248"/>
      <c r="L11" s="240"/>
      <c r="M11" s="135"/>
      <c r="N11" s="178"/>
      <c r="O11" s="175"/>
      <c r="P11" s="175"/>
      <c r="X11" s="5"/>
      <c r="Y11" s="116"/>
      <c r="AA11" s="112"/>
      <c r="AE11" s="134"/>
      <c r="AF11" s="49"/>
      <c r="AH11" s="135"/>
      <c r="AI11" s="118"/>
    </row>
    <row r="12" spans="1:35" ht="15.75" customHeight="1">
      <c r="A12" s="110"/>
      <c r="B12" s="249"/>
      <c r="C12" s="251" t="s">
        <v>94</v>
      </c>
      <c r="D12" s="316" t="s">
        <v>169</v>
      </c>
      <c r="E12" s="317"/>
      <c r="F12" s="237" t="str">
        <f>E10&amp;" of"</f>
        <v>Bu of</v>
      </c>
      <c r="G12" s="316" t="s">
        <v>182</v>
      </c>
      <c r="H12" s="317"/>
      <c r="I12" s="238" t="s">
        <v>105</v>
      </c>
      <c r="J12" s="237" t="s">
        <v>105</v>
      </c>
      <c r="K12" s="237" t="s">
        <v>105</v>
      </c>
      <c r="L12" s="237" t="s">
        <v>99</v>
      </c>
      <c r="M12" s="135"/>
      <c r="N12" s="178"/>
      <c r="O12" s="175"/>
      <c r="P12" s="175"/>
      <c r="X12" s="5"/>
      <c r="Y12" s="116"/>
      <c r="AA12" s="112"/>
      <c r="AE12" s="134"/>
      <c r="AF12" s="49"/>
      <c r="AH12" s="135"/>
      <c r="AI12" s="118"/>
    </row>
    <row r="13" spans="1:35" ht="15.75" customHeight="1">
      <c r="A13" s="110"/>
      <c r="B13" s="249"/>
      <c r="C13" s="252" t="s">
        <v>95</v>
      </c>
      <c r="D13" s="318"/>
      <c r="E13" s="319"/>
      <c r="F13" s="241" t="s">
        <v>159</v>
      </c>
      <c r="G13" s="318"/>
      <c r="H13" s="319"/>
      <c r="I13" s="242" t="s">
        <v>106</v>
      </c>
      <c r="J13" s="242" t="s">
        <v>106</v>
      </c>
      <c r="K13" s="241" t="s">
        <v>106</v>
      </c>
      <c r="L13" s="241" t="s">
        <v>168</v>
      </c>
      <c r="M13" s="135"/>
      <c r="N13" s="178"/>
      <c r="O13" s="175"/>
      <c r="P13" s="175"/>
      <c r="X13" s="5"/>
      <c r="Y13" s="116"/>
      <c r="AA13" s="112"/>
      <c r="AE13" s="134"/>
      <c r="AF13" s="49"/>
      <c r="AH13" s="135"/>
      <c r="AI13" s="118"/>
    </row>
    <row r="14" spans="1:35" ht="15.75" customHeight="1">
      <c r="A14" s="110"/>
      <c r="B14" s="249"/>
      <c r="C14" s="253" t="s">
        <v>112</v>
      </c>
      <c r="D14" s="253" t="str">
        <f>"("&amp;E10&amp;"/ac)"</f>
        <v>(Bu/ac)</v>
      </c>
      <c r="E14" s="254" t="str">
        <f>"(acres/"&amp;E10&amp;")"</f>
        <v>(acres/Bu)</v>
      </c>
      <c r="F14" s="244" t="s">
        <v>160</v>
      </c>
      <c r="G14" s="255" t="s">
        <v>181</v>
      </c>
      <c r="H14" s="256" t="s">
        <v>180</v>
      </c>
      <c r="I14" s="244" t="s">
        <v>170</v>
      </c>
      <c r="J14" s="244" t="s">
        <v>193</v>
      </c>
      <c r="K14" s="244" t="s">
        <v>167</v>
      </c>
      <c r="L14" s="246" t="s">
        <v>100</v>
      </c>
      <c r="M14" s="135"/>
      <c r="N14" s="178"/>
      <c r="O14" s="175"/>
      <c r="P14" s="175"/>
      <c r="X14" s="5"/>
      <c r="Y14" s="116"/>
      <c r="AA14" s="112"/>
      <c r="AE14" s="134"/>
      <c r="AF14" s="49"/>
      <c r="AH14" s="135"/>
      <c r="AI14" s="118"/>
    </row>
    <row r="15" spans="1:35" ht="15.75" customHeight="1">
      <c r="A15" s="110"/>
      <c r="B15" s="257"/>
      <c r="C15" s="258">
        <f>IF(H10=0,0,ROUND(((J10*H10)/(G10*I10))/10.4,1))</f>
        <v>0</v>
      </c>
      <c r="D15" s="259">
        <f>SUM(C15/F10)</f>
        <v>0</v>
      </c>
      <c r="E15" s="258">
        <f>IF(C15=0,0,SUM(F10/C15))</f>
        <v>0</v>
      </c>
      <c r="F15" s="258">
        <f>C10*D15</f>
        <v>0</v>
      </c>
      <c r="G15" s="260">
        <f>C15*(D10/F10)</f>
        <v>0</v>
      </c>
      <c r="H15" s="261">
        <f>SUM(C10*G15)</f>
        <v>0</v>
      </c>
      <c r="I15" s="262">
        <f>IF(H10=0,0,ROUND((1000*453.592)/H10,0))</f>
        <v>0</v>
      </c>
      <c r="J15" s="262">
        <f>IF(J10=0,0,(J10)/(G10*I10))</f>
        <v>0</v>
      </c>
      <c r="K15" s="263">
        <f>IF(H10=0,0,ROUND(((L15/100)*1000)/H10,1))</f>
        <v>0</v>
      </c>
      <c r="L15" s="264">
        <f>ROUND((C15*L10)/11.5,1)</f>
        <v>0</v>
      </c>
      <c r="M15" s="135"/>
      <c r="N15" s="178"/>
      <c r="O15" s="175"/>
      <c r="P15" s="175"/>
      <c r="X15" s="5"/>
      <c r="Y15" s="116"/>
      <c r="AA15" s="112"/>
      <c r="AE15" s="134"/>
      <c r="AF15" s="49"/>
      <c r="AH15" s="135"/>
      <c r="AI15" s="118"/>
    </row>
    <row r="16" spans="1:35" ht="7.5" customHeight="1">
      <c r="A16" s="175"/>
      <c r="B16" s="175"/>
      <c r="C16" s="228"/>
      <c r="D16" s="179"/>
      <c r="E16" s="175"/>
      <c r="F16" s="175"/>
      <c r="G16" s="175"/>
      <c r="H16" s="175"/>
      <c r="I16" s="175"/>
      <c r="J16" s="177"/>
      <c r="K16" s="66"/>
      <c r="L16" s="175"/>
      <c r="M16" s="135"/>
      <c r="N16" s="178"/>
      <c r="O16" s="175"/>
      <c r="P16" s="175"/>
      <c r="X16" s="5"/>
      <c r="Y16" s="116"/>
      <c r="AA16" s="112"/>
      <c r="AE16" s="134"/>
      <c r="AF16" s="49"/>
      <c r="AH16" s="135"/>
      <c r="AI16" s="118"/>
    </row>
    <row r="17" spans="1:35" ht="15.75" customHeight="1">
      <c r="A17" s="175"/>
      <c r="B17" s="176" t="s">
        <v>192</v>
      </c>
      <c r="C17" s="228"/>
      <c r="D17" s="179"/>
      <c r="E17" s="175"/>
      <c r="F17" s="175"/>
      <c r="G17" s="175"/>
      <c r="H17" s="175"/>
      <c r="I17" s="175"/>
      <c r="J17" s="177"/>
      <c r="K17" s="229"/>
      <c r="L17" s="175"/>
      <c r="M17" s="135"/>
      <c r="N17" s="178"/>
      <c r="O17" s="175"/>
      <c r="P17" s="175"/>
      <c r="X17" s="5"/>
      <c r="Y17" s="116"/>
      <c r="AA17" s="112"/>
      <c r="AE17" s="134"/>
      <c r="AF17" s="49"/>
      <c r="AH17" s="135"/>
      <c r="AI17" s="118"/>
    </row>
    <row r="18" spans="1:35" ht="7.5" customHeight="1">
      <c r="A18" s="175"/>
      <c r="B18" s="176"/>
      <c r="C18" s="228"/>
      <c r="D18" s="179"/>
      <c r="E18" s="175"/>
      <c r="F18" s="175"/>
      <c r="G18" s="175"/>
      <c r="H18" s="175"/>
      <c r="I18" s="175"/>
      <c r="J18" s="177"/>
      <c r="K18" s="229"/>
      <c r="L18" s="175"/>
      <c r="M18" s="135"/>
      <c r="N18" s="178"/>
      <c r="O18" s="175"/>
      <c r="P18" s="175"/>
      <c r="X18" s="5"/>
      <c r="Y18" s="116"/>
      <c r="AA18" s="112"/>
      <c r="AE18" s="134"/>
      <c r="AF18" s="49"/>
      <c r="AH18" s="135"/>
      <c r="AI18" s="118"/>
    </row>
    <row r="19" spans="1:35" ht="15.75" customHeight="1">
      <c r="A19" s="175"/>
      <c r="B19" s="285"/>
      <c r="C19" s="324" t="s">
        <v>198</v>
      </c>
      <c r="D19" s="325"/>
      <c r="E19" s="325"/>
      <c r="F19" s="325"/>
      <c r="G19" s="325"/>
      <c r="H19" s="325"/>
      <c r="I19" s="325"/>
      <c r="J19" s="325"/>
      <c r="K19" s="326"/>
      <c r="L19" s="293">
        <v>0.02</v>
      </c>
      <c r="M19" s="135"/>
      <c r="N19" s="178"/>
      <c r="O19" s="175"/>
      <c r="P19" s="175"/>
      <c r="X19" s="5"/>
      <c r="Y19" s="116"/>
      <c r="AA19" s="112"/>
      <c r="AE19" s="134"/>
      <c r="AF19" s="49"/>
      <c r="AH19" s="135"/>
      <c r="AI19" s="118"/>
    </row>
    <row r="20" spans="1:35" ht="15.75" customHeight="1">
      <c r="A20" s="175"/>
      <c r="B20" s="290" t="s">
        <v>197</v>
      </c>
      <c r="C20" s="277">
        <f>IF($I$10=0%,0%,D20-$L$19)</f>
        <v>0</v>
      </c>
      <c r="D20" s="278">
        <f t="shared" ref="D20:G20" si="0">IF($I$10=0%,0%,E20-$L$19)</f>
        <v>0</v>
      </c>
      <c r="E20" s="278">
        <f t="shared" si="0"/>
        <v>0</v>
      </c>
      <c r="F20" s="278">
        <f t="shared" si="0"/>
        <v>0</v>
      </c>
      <c r="G20" s="278">
        <f t="shared" si="0"/>
        <v>0</v>
      </c>
      <c r="H20" s="279">
        <f>I10</f>
        <v>0</v>
      </c>
      <c r="I20" s="278">
        <f>IF($I$10=0%,0%,IF(H20+$L$19&gt;100%,100%,H20+$L$19))</f>
        <v>0</v>
      </c>
      <c r="J20" s="278">
        <f t="shared" ref="J20:L20" si="1">IF($I$10=0%,0%,IF(I20+$L$19&gt;100%,100%,I20+$L$19))</f>
        <v>0</v>
      </c>
      <c r="K20" s="278">
        <f t="shared" si="1"/>
        <v>0</v>
      </c>
      <c r="L20" s="280">
        <f t="shared" si="1"/>
        <v>0</v>
      </c>
      <c r="M20" s="135"/>
      <c r="N20" s="178"/>
      <c r="O20" s="175"/>
      <c r="P20" s="175"/>
      <c r="X20" s="5"/>
      <c r="Y20" s="116"/>
      <c r="AA20" s="112"/>
      <c r="AE20" s="134"/>
      <c r="AF20" s="49"/>
      <c r="AH20" s="135"/>
      <c r="AI20" s="118"/>
    </row>
    <row r="21" spans="1:35" ht="15.75" customHeight="1">
      <c r="A21" s="175"/>
      <c r="B21" s="286" t="s">
        <v>189</v>
      </c>
      <c r="C21" s="296">
        <f t="shared" ref="C21:D21" si="2">IF($H$10=0,0,ROUND((($J$10*$H$10)/($G$10*C20))/10.4,1))</f>
        <v>0</v>
      </c>
      <c r="D21" s="297">
        <f t="shared" si="2"/>
        <v>0</v>
      </c>
      <c r="E21" s="297">
        <f>IF($H$10=0,0,ROUND((($J$10*$H$10)/($G$10*E20))/10.4,1))</f>
        <v>0</v>
      </c>
      <c r="F21" s="297">
        <f t="shared" ref="F21:L21" si="3">IF($H$10=0,0,ROUND((($J$10*$H$10)/($G$10*F20))/10.4,1))</f>
        <v>0</v>
      </c>
      <c r="G21" s="297">
        <f t="shared" si="3"/>
        <v>0</v>
      </c>
      <c r="H21" s="298">
        <f t="shared" si="3"/>
        <v>0</v>
      </c>
      <c r="I21" s="297">
        <f t="shared" si="3"/>
        <v>0</v>
      </c>
      <c r="J21" s="297">
        <f t="shared" si="3"/>
        <v>0</v>
      </c>
      <c r="K21" s="297">
        <f t="shared" si="3"/>
        <v>0</v>
      </c>
      <c r="L21" s="299">
        <f t="shared" si="3"/>
        <v>0</v>
      </c>
      <c r="M21" s="135"/>
      <c r="N21" s="178"/>
      <c r="O21" s="175"/>
      <c r="P21" s="175"/>
      <c r="X21" s="5"/>
      <c r="Y21" s="116"/>
      <c r="AA21" s="112"/>
      <c r="AE21" s="134"/>
      <c r="AF21" s="49"/>
      <c r="AH21" s="135"/>
      <c r="AI21" s="118"/>
    </row>
    <row r="22" spans="1:35" ht="15.75" customHeight="1">
      <c r="A22" s="175"/>
      <c r="B22" s="286" t="s">
        <v>194</v>
      </c>
      <c r="C22" s="300">
        <f t="shared" ref="C22:L22" si="4">IF($J$10=0,0,($J$10)/($G$10*C20))</f>
        <v>0</v>
      </c>
      <c r="D22" s="295">
        <f t="shared" si="4"/>
        <v>0</v>
      </c>
      <c r="E22" s="295">
        <f t="shared" si="4"/>
        <v>0</v>
      </c>
      <c r="F22" s="295">
        <f t="shared" si="4"/>
        <v>0</v>
      </c>
      <c r="G22" s="295">
        <f t="shared" si="4"/>
        <v>0</v>
      </c>
      <c r="H22" s="294">
        <f>IF($J$10=0,0,($J$10)/($G$10*H20))</f>
        <v>0</v>
      </c>
      <c r="I22" s="295">
        <f t="shared" si="4"/>
        <v>0</v>
      </c>
      <c r="J22" s="295">
        <f t="shared" si="4"/>
        <v>0</v>
      </c>
      <c r="K22" s="295">
        <f t="shared" si="4"/>
        <v>0</v>
      </c>
      <c r="L22" s="301">
        <f t="shared" si="4"/>
        <v>0</v>
      </c>
      <c r="M22" s="135"/>
      <c r="N22" s="178"/>
      <c r="O22" s="175"/>
      <c r="P22" s="175"/>
      <c r="X22" s="5"/>
      <c r="Y22" s="116"/>
      <c r="AA22" s="112"/>
      <c r="AE22" s="134"/>
      <c r="AF22" s="49"/>
      <c r="AH22" s="135"/>
      <c r="AI22" s="118"/>
    </row>
    <row r="23" spans="1:35" ht="15.75" customHeight="1">
      <c r="A23" s="175"/>
      <c r="B23" s="287" t="s">
        <v>190</v>
      </c>
      <c r="C23" s="281">
        <f t="shared" ref="C23:D23" si="5">C21*($D$10/$F$10)</f>
        <v>0</v>
      </c>
      <c r="D23" s="282">
        <f t="shared" si="5"/>
        <v>0</v>
      </c>
      <c r="E23" s="282">
        <f>E21*($D$10/$F$10)</f>
        <v>0</v>
      </c>
      <c r="F23" s="282">
        <f t="shared" ref="F23:L23" si="6">F21*($D$10/$F$10)</f>
        <v>0</v>
      </c>
      <c r="G23" s="282">
        <f t="shared" si="6"/>
        <v>0</v>
      </c>
      <c r="H23" s="283">
        <f t="shared" si="6"/>
        <v>0</v>
      </c>
      <c r="I23" s="282">
        <f t="shared" si="6"/>
        <v>0</v>
      </c>
      <c r="J23" s="282">
        <f t="shared" si="6"/>
        <v>0</v>
      </c>
      <c r="K23" s="282">
        <f t="shared" si="6"/>
        <v>0</v>
      </c>
      <c r="L23" s="284">
        <f t="shared" si="6"/>
        <v>0</v>
      </c>
      <c r="M23" s="135"/>
      <c r="N23" s="178"/>
      <c r="O23" s="175"/>
      <c r="P23" s="175"/>
      <c r="X23" s="5"/>
      <c r="Y23" s="116"/>
      <c r="AA23" s="112"/>
      <c r="AE23" s="134"/>
      <c r="AF23" s="49"/>
      <c r="AH23" s="135"/>
      <c r="AI23" s="118"/>
    </row>
    <row r="24" spans="1:35" ht="7.5" customHeight="1">
      <c r="A24" s="175"/>
      <c r="B24" s="175"/>
      <c r="C24" s="228"/>
      <c r="D24" s="179"/>
      <c r="E24" s="175"/>
      <c r="F24" s="175"/>
      <c r="G24" s="175"/>
      <c r="H24" s="175"/>
      <c r="I24" s="175"/>
      <c r="J24" s="177"/>
      <c r="K24" s="229"/>
      <c r="L24" s="175"/>
      <c r="M24" s="135"/>
      <c r="N24" s="178"/>
      <c r="O24" s="175"/>
      <c r="P24" s="175"/>
      <c r="X24" s="5"/>
      <c r="Y24" s="116"/>
      <c r="AA24" s="112"/>
      <c r="AE24" s="134"/>
      <c r="AF24" s="49"/>
      <c r="AH24" s="135"/>
      <c r="AI24" s="118"/>
    </row>
    <row r="25" spans="1:35" ht="15">
      <c r="A25" s="168"/>
      <c r="B25" s="169"/>
      <c r="C25" s="169"/>
      <c r="D25" s="170"/>
      <c r="E25" s="168"/>
      <c r="F25" s="168"/>
      <c r="G25" s="168"/>
      <c r="H25" s="168"/>
      <c r="I25" s="168"/>
      <c r="J25" s="168"/>
      <c r="K25" s="168"/>
      <c r="L25" s="168"/>
    </row>
    <row r="26" spans="1:35" ht="15" customHeight="1">
      <c r="A26" s="320" t="s">
        <v>199</v>
      </c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231"/>
      <c r="N26" s="231"/>
      <c r="O26" s="231"/>
      <c r="P26" s="231"/>
    </row>
    <row r="27" spans="1:35" ht="15" customHeight="1">
      <c r="A27" s="322"/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231"/>
      <c r="N27" s="231"/>
      <c r="O27" s="231"/>
      <c r="P27" s="231"/>
    </row>
    <row r="28" spans="1:35" s="149" customFormat="1" ht="15" customHeight="1">
      <c r="A28" s="144"/>
      <c r="B28" s="144"/>
      <c r="C28" s="144"/>
      <c r="D28" s="145"/>
      <c r="E28" s="146"/>
      <c r="F28" s="146"/>
      <c r="G28" s="146"/>
      <c r="H28" s="146"/>
      <c r="I28" s="146"/>
      <c r="J28" s="146"/>
      <c r="K28" s="146"/>
      <c r="L28" s="147" t="s">
        <v>200</v>
      </c>
      <c r="M28" s="231"/>
      <c r="N28" s="231"/>
      <c r="O28" s="231"/>
      <c r="Q28" s="148"/>
      <c r="S28" s="150"/>
      <c r="T28" s="151"/>
      <c r="U28" s="151"/>
    </row>
    <row r="29" spans="1:35" s="149" customFormat="1" ht="16.5" customHeight="1">
      <c r="A29" s="152"/>
      <c r="B29" s="153"/>
      <c r="C29" s="153"/>
      <c r="D29" s="153"/>
      <c r="E29" s="145"/>
      <c r="F29" s="145"/>
      <c r="G29" s="145"/>
      <c r="H29" s="145"/>
      <c r="I29" s="145"/>
      <c r="J29" s="145"/>
      <c r="K29" s="145"/>
      <c r="L29" s="145"/>
      <c r="N29" s="150"/>
      <c r="O29" s="151"/>
      <c r="P29" s="151"/>
    </row>
    <row r="30" spans="1:35" s="156" customFormat="1" ht="14.1">
      <c r="A30" s="164"/>
      <c r="B30" s="154"/>
      <c r="D30" s="161"/>
      <c r="E30" s="157"/>
      <c r="F30" s="158"/>
      <c r="G30" s="159"/>
      <c r="H30" s="160"/>
      <c r="I30" s="160"/>
      <c r="J30" s="158"/>
      <c r="K30" s="158"/>
      <c r="L30" s="171" t="s">
        <v>149</v>
      </c>
    </row>
    <row r="31" spans="1:35" s="156" customFormat="1" ht="13.8">
      <c r="A31" s="161"/>
      <c r="B31" s="158"/>
      <c r="D31"/>
      <c r="E31" s="162"/>
      <c r="F31" s="158"/>
      <c r="G31" s="163"/>
      <c r="H31" s="160"/>
      <c r="I31" s="160"/>
      <c r="J31" s="158"/>
      <c r="K31" s="158"/>
      <c r="L31" s="266" t="s">
        <v>185</v>
      </c>
    </row>
  </sheetData>
  <sheetProtection password="C6A6" sheet="1" objects="1" scenarios="1"/>
  <mergeCells count="7">
    <mergeCell ref="Z7:AA7"/>
    <mergeCell ref="G12:H13"/>
    <mergeCell ref="A26:L27"/>
    <mergeCell ref="N7:O7"/>
    <mergeCell ref="J7:K7"/>
    <mergeCell ref="C19:K19"/>
    <mergeCell ref="D12:E13"/>
  </mergeCells>
  <dataValidations count="1">
    <dataValidation type="list" allowBlank="1" showInputMessage="1" showErrorMessage="1" sqref="R8 B8">
      <formula1>smallgrain</formula1>
    </dataValidation>
  </dataValidations>
  <pageMargins left="0.70866141732283472" right="0.70866141732283472" top="0.74803149606299213" bottom="0.74803149606299213" header="0.31496062992125984" footer="0.31496062992125984"/>
  <pageSetup scale="83" orientation="landscape" r:id="rId1"/>
  <colBreaks count="1" manualBreakCount="1">
    <brk id="16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33"/>
  <sheetViews>
    <sheetView tabSelected="1" zoomScaleNormal="100" workbookViewId="0">
      <selection activeCell="B8" sqref="B8"/>
    </sheetView>
  </sheetViews>
  <sheetFormatPr defaultRowHeight="12.3"/>
  <cols>
    <col min="1" max="1" width="2.83203125" customWidth="1"/>
    <col min="2" max="2" width="31.44140625" customWidth="1"/>
    <col min="4" max="4" width="10.71875" customWidth="1"/>
    <col min="5" max="5" width="11.71875" customWidth="1"/>
    <col min="6" max="6" width="10" customWidth="1"/>
    <col min="8" max="8" width="14.83203125" customWidth="1"/>
    <col min="9" max="9" width="14.44140625" customWidth="1"/>
    <col min="10" max="11" width="13.71875" customWidth="1"/>
    <col min="12" max="12" width="10.71875" customWidth="1"/>
    <col min="13" max="13" width="9.71875" customWidth="1"/>
    <col min="14" max="14" width="12.83203125" customWidth="1"/>
    <col min="18" max="21" width="0" hidden="1" customWidth="1"/>
    <col min="22" max="28" width="9.1640625" hidden="1" customWidth="1"/>
    <col min="29" max="37" width="9.1640625" customWidth="1"/>
  </cols>
  <sheetData>
    <row r="1" spans="1:35" s="98" customFormat="1" ht="27" customHeight="1">
      <c r="A1" s="96"/>
      <c r="B1" s="96"/>
      <c r="C1" s="96"/>
      <c r="D1" s="96"/>
      <c r="E1" s="96"/>
      <c r="F1" s="97"/>
      <c r="G1" s="97"/>
      <c r="H1" s="97"/>
      <c r="I1" s="97"/>
      <c r="J1" s="97"/>
      <c r="K1" s="97"/>
      <c r="L1" s="97"/>
      <c r="M1" s="96"/>
      <c r="N1" s="96"/>
      <c r="O1" s="96"/>
      <c r="P1" s="96"/>
      <c r="Q1" s="96"/>
    </row>
    <row r="2" spans="1:35" s="98" customFormat="1" ht="27">
      <c r="A2" s="99" t="s">
        <v>188</v>
      </c>
      <c r="B2" s="99"/>
      <c r="C2" s="99"/>
      <c r="D2" s="99"/>
      <c r="E2" s="96"/>
      <c r="F2" s="97"/>
      <c r="G2" s="97"/>
      <c r="H2" s="97"/>
      <c r="I2" s="97"/>
      <c r="J2" s="97"/>
      <c r="K2" s="97"/>
      <c r="L2" s="97"/>
      <c r="M2" s="96"/>
      <c r="N2" s="96"/>
      <c r="O2" s="96"/>
      <c r="P2" s="96"/>
      <c r="Q2" s="96"/>
    </row>
    <row r="3" spans="1:35" s="98" customFormat="1" ht="22.5">
      <c r="A3" s="100" t="s">
        <v>196</v>
      </c>
      <c r="B3" s="100"/>
      <c r="C3" s="103"/>
      <c r="D3" s="103"/>
      <c r="E3" s="100"/>
      <c r="F3" s="102"/>
      <c r="G3" s="102"/>
      <c r="H3" s="102"/>
      <c r="I3" s="103"/>
      <c r="J3" s="103"/>
      <c r="K3" s="103" t="s">
        <v>118</v>
      </c>
      <c r="L3" s="217">
        <f ca="1">TODAY()</f>
        <v>44893</v>
      </c>
      <c r="Q3" s="96"/>
    </row>
    <row r="4" spans="1:35" s="107" customFormat="1" ht="7.5" customHeight="1">
      <c r="A4" s="104"/>
      <c r="B4" s="104"/>
      <c r="C4" s="104"/>
      <c r="D4" s="106"/>
      <c r="E4" s="106"/>
      <c r="F4" s="106"/>
      <c r="G4" s="106"/>
      <c r="J4" s="106"/>
      <c r="K4" s="106"/>
      <c r="M4" s="105"/>
      <c r="N4" s="105"/>
      <c r="Q4" s="109"/>
      <c r="R4" s="110"/>
      <c r="S4" s="110"/>
      <c r="T4" s="111"/>
      <c r="U4" s="111"/>
      <c r="V4" s="112"/>
      <c r="W4" s="112"/>
      <c r="X4" s="112"/>
      <c r="Y4" s="113"/>
      <c r="Z4" s="114"/>
      <c r="AA4" s="112"/>
    </row>
    <row r="5" spans="1:35" s="107" customFormat="1" ht="15.75" customHeight="1">
      <c r="A5" s="104"/>
      <c r="B5" s="104"/>
      <c r="C5" s="104"/>
      <c r="D5" s="106" t="s">
        <v>119</v>
      </c>
      <c r="E5" s="106"/>
      <c r="F5" s="106"/>
      <c r="G5" s="106"/>
      <c r="H5" s="106"/>
      <c r="I5" s="106"/>
      <c r="J5" s="106"/>
      <c r="K5" s="106"/>
      <c r="L5" s="108" t="s">
        <v>120</v>
      </c>
      <c r="M5" s="105"/>
      <c r="N5" s="105"/>
      <c r="O5" s="105"/>
      <c r="Q5" s="108"/>
      <c r="R5" s="109"/>
      <c r="S5" s="110"/>
      <c r="T5" s="110"/>
      <c r="U5" s="111"/>
      <c r="V5" s="111"/>
      <c r="W5" s="112"/>
      <c r="X5" s="112"/>
      <c r="Y5" s="112"/>
      <c r="Z5" s="113"/>
      <c r="AA5" s="114"/>
      <c r="AB5" s="112"/>
    </row>
    <row r="6" spans="1:35" ht="7.5" customHeight="1">
      <c r="A6" s="175"/>
      <c r="B6" s="216"/>
      <c r="C6" s="177"/>
      <c r="D6" s="179"/>
      <c r="E6" s="175"/>
      <c r="F6" s="175"/>
      <c r="G6" s="175"/>
      <c r="H6" s="175"/>
      <c r="I6" s="175"/>
      <c r="J6" s="177"/>
      <c r="K6" s="66"/>
      <c r="L6" s="175"/>
      <c r="M6" s="135"/>
      <c r="N6" s="178"/>
      <c r="O6" s="175"/>
      <c r="P6" s="175"/>
      <c r="X6" s="5"/>
      <c r="Y6" s="116"/>
      <c r="AA6" s="112"/>
      <c r="AE6" s="134"/>
      <c r="AF6" s="49"/>
      <c r="AH6" s="135"/>
      <c r="AI6" s="118"/>
    </row>
    <row r="7" spans="1:35" ht="15.75" customHeight="1" thickBot="1">
      <c r="A7" s="110"/>
      <c r="B7" s="233"/>
      <c r="C7" s="234"/>
      <c r="D7" s="235"/>
      <c r="E7" s="236"/>
      <c r="F7" s="234"/>
      <c r="G7" s="237" t="s">
        <v>80</v>
      </c>
      <c r="H7" s="238" t="s">
        <v>173</v>
      </c>
      <c r="I7" s="239" t="s">
        <v>191</v>
      </c>
      <c r="J7" s="314" t="s">
        <v>75</v>
      </c>
      <c r="K7" s="315"/>
      <c r="L7" s="237" t="s">
        <v>183</v>
      </c>
      <c r="N7" s="323"/>
      <c r="O7" s="323"/>
      <c r="P7" s="175"/>
      <c r="R7" s="233"/>
      <c r="S7" s="234"/>
      <c r="T7" s="235"/>
      <c r="U7" s="236"/>
      <c r="V7" s="234"/>
      <c r="W7" s="237" t="s">
        <v>80</v>
      </c>
      <c r="X7" s="238" t="s">
        <v>173</v>
      </c>
      <c r="Y7" s="239" t="s">
        <v>124</v>
      </c>
      <c r="Z7" s="314" t="s">
        <v>75</v>
      </c>
      <c r="AA7" s="315"/>
      <c r="AB7" s="237" t="s">
        <v>183</v>
      </c>
      <c r="AE7" s="134"/>
      <c r="AF7" s="49"/>
      <c r="AH7" s="135"/>
      <c r="AI7" s="118"/>
    </row>
    <row r="8" spans="1:35" s="175" customFormat="1" ht="15.75" customHeight="1" thickBot="1">
      <c r="A8" s="110"/>
      <c r="B8" s="306" t="s">
        <v>186</v>
      </c>
      <c r="C8" s="240"/>
      <c r="D8" s="241" t="s">
        <v>84</v>
      </c>
      <c r="E8" s="241"/>
      <c r="F8" s="241" t="s">
        <v>105</v>
      </c>
      <c r="G8" s="241" t="s">
        <v>172</v>
      </c>
      <c r="H8" s="242" t="s">
        <v>176</v>
      </c>
      <c r="I8" s="242" t="s">
        <v>177</v>
      </c>
      <c r="J8" s="330" t="s">
        <v>187</v>
      </c>
      <c r="K8" s="331"/>
      <c r="L8" s="241" t="s">
        <v>91</v>
      </c>
      <c r="N8" s="66"/>
      <c r="O8" s="215"/>
      <c r="R8" s="232" t="s">
        <v>186</v>
      </c>
      <c r="S8" s="240"/>
      <c r="T8" s="241" t="s">
        <v>84</v>
      </c>
      <c r="U8" s="241"/>
      <c r="V8" s="241" t="s">
        <v>105</v>
      </c>
      <c r="W8" s="241" t="s">
        <v>172</v>
      </c>
      <c r="X8" s="242" t="s">
        <v>176</v>
      </c>
      <c r="Y8" s="242" t="s">
        <v>177</v>
      </c>
      <c r="Z8" s="330" t="s">
        <v>187</v>
      </c>
      <c r="AA8" s="331"/>
      <c r="AB8" s="241" t="s">
        <v>91</v>
      </c>
      <c r="AE8" s="177"/>
      <c r="AF8" s="66"/>
      <c r="AH8" s="135"/>
      <c r="AI8" s="178"/>
    </row>
    <row r="9" spans="1:35" s="175" customFormat="1" ht="15.75" customHeight="1">
      <c r="A9" s="110"/>
      <c r="B9" s="243"/>
      <c r="C9" s="244" t="s">
        <v>125</v>
      </c>
      <c r="D9" s="244" t="str">
        <f>"per "&amp;E10</f>
        <v>per Bag</v>
      </c>
      <c r="E9" s="244" t="s">
        <v>85</v>
      </c>
      <c r="F9" s="244" t="str">
        <f>"per "&amp;E10</f>
        <v>per Bag</v>
      </c>
      <c r="G9" s="244" t="s">
        <v>79</v>
      </c>
      <c r="H9" s="245" t="str">
        <f>"(Range "&amp;VLOOKUP(B8,'DATA (hide)'!$A$4:$Y$30,12,FALSE)&amp;"-"&amp;VLOOKUP(B8,'DATA (hide)'!$A$4:$Y$30,13,FALSE)&amp;")"</f>
        <v>(Range 0-0)</v>
      </c>
      <c r="I9" s="245" t="str">
        <f>"(Range "&amp;VLOOKUP(B8,'DATA (hide)'!$A$4:$Y$30,16,FALSE)&amp;"-"&amp;VLOOKUP(B8,'DATA (hide)'!$A$4:$Y$30,17,FALSE)&amp;"%)"</f>
        <v>(Range 0-0%)</v>
      </c>
      <c r="J9" s="327" t="str">
        <f>"(Range "&amp;TEXT(VLOOKUP(B8,'DATA (hide)'!$A$4:$Y$30,8,FALSE),"#,###")&amp;"-"&amp;TEXT(VLOOKUP(B8,'DATA (hide)'!$A$4:$Y$30,9,FALSE),"#,###")&amp;")"</f>
        <v>(Range -)</v>
      </c>
      <c r="K9" s="328"/>
      <c r="L9" s="246" t="s">
        <v>92</v>
      </c>
      <c r="N9" s="66"/>
      <c r="O9" s="66"/>
      <c r="R9" s="243"/>
      <c r="S9" s="244" t="s">
        <v>125</v>
      </c>
      <c r="T9" s="244" t="str">
        <f>"per "&amp;U10</f>
        <v>per Bag</v>
      </c>
      <c r="U9" s="244" t="s">
        <v>85</v>
      </c>
      <c r="V9" s="244" t="str">
        <f>"per "&amp;U10</f>
        <v>per Bag</v>
      </c>
      <c r="W9" s="244" t="s">
        <v>79</v>
      </c>
      <c r="X9" s="245" t="str">
        <f>"(Range "&amp;VLOOKUP(R8,'DATA (hide)'!$A$4:$Y$30,12,FALSE)&amp;"-"&amp;VLOOKUP(R8,'DATA (hide)'!$A$4:$Y$30,13,FALSE)&amp;")"</f>
        <v>(Range 0-0)</v>
      </c>
      <c r="Y9" s="245" t="str">
        <f>"(Range "&amp;VLOOKUP(R8,'DATA (hide)'!$A$4:$Y$30,16,FALSE)&amp;"-"&amp;VLOOKUP(R8,'DATA (hide)'!$A$4:$Y$30,17,FALSE)&amp;"%)"</f>
        <v>(Range 0-0%)</v>
      </c>
      <c r="Z9" s="327" t="str">
        <f>"(Range "&amp;TEXT(VLOOKUP(R8,'DATA (hide)'!$A$4:$Y$30,8,FALSE),"#,###")&amp;"-"&amp;TEXT(VLOOKUP(R8,'DATA (hide)'!$A$4:$Y$30,9,FALSE),"#,###")&amp;")"</f>
        <v>(Range -)</v>
      </c>
      <c r="AA9" s="328"/>
      <c r="AB9" s="246" t="s">
        <v>92</v>
      </c>
      <c r="AE9" s="177"/>
      <c r="AF9" s="66"/>
      <c r="AH9" s="135"/>
      <c r="AI9" s="178"/>
    </row>
    <row r="10" spans="1:35" ht="15.75" customHeight="1">
      <c r="A10" s="110"/>
      <c r="B10" s="230" t="s">
        <v>179</v>
      </c>
      <c r="C10" s="214">
        <v>100</v>
      </c>
      <c r="D10" s="212">
        <f>VLOOKUP(B8,'DATA (hide)'!$A$4:$Y$30,2,FALSE)</f>
        <v>0</v>
      </c>
      <c r="E10" s="142" t="str">
        <f>VLOOKUP(B8,'DATA (hide)'!$A$4:$Y$30,3,FALSE)</f>
        <v>Bag</v>
      </c>
      <c r="F10" s="267">
        <f>VLOOKUP(B8,'DATA (hide)'!$A$4:$Y$30,4,FALSE)</f>
        <v>1</v>
      </c>
      <c r="G10" s="213">
        <f>VLOOKUP(B8,'DATA (hide)'!$A$4:$Y$30,15,FALSE)</f>
        <v>0</v>
      </c>
      <c r="H10" s="142">
        <f>VLOOKUP(B8,'DATA (hide)'!$A$4:$Y$30,14,FALSE)</f>
        <v>0</v>
      </c>
      <c r="I10" s="213">
        <f>VLOOKUP(B8,'DATA (hide)'!$A$4:$Y$30,18,FALSE)</f>
        <v>0</v>
      </c>
      <c r="J10" s="329">
        <f>VLOOKUP(B8,'DATA (hide)'!$A$4:$Y$30,10,FALSE)</f>
        <v>0</v>
      </c>
      <c r="K10" s="329"/>
      <c r="L10" s="265">
        <f>VLOOKUP(B8,'DATA (hide)'!$A$4:$Y$30,19,FALSE)</f>
        <v>10</v>
      </c>
      <c r="O10" s="135"/>
      <c r="P10" s="175"/>
      <c r="R10" s="230" t="s">
        <v>179</v>
      </c>
      <c r="S10" s="214">
        <v>0</v>
      </c>
      <c r="T10" s="212">
        <f>VLOOKUP(R8,'DATA (hide)'!$A$4:$Y$30,2,FALSE)</f>
        <v>0</v>
      </c>
      <c r="U10" s="142" t="str">
        <f>VLOOKUP(R8,'DATA (hide)'!$A$4:$Y$30,3,FALSE)</f>
        <v>Bag</v>
      </c>
      <c r="V10" s="267">
        <f>VLOOKUP(R8,'DATA (hide)'!$A$4:$Y$30,4,FALSE)</f>
        <v>1</v>
      </c>
      <c r="W10" s="213">
        <f>VLOOKUP(R8,'DATA (hide)'!$A$4:$Y$30,15,FALSE)</f>
        <v>0</v>
      </c>
      <c r="X10" s="142">
        <f>VLOOKUP(R8,'DATA (hide)'!$A$4:$Y$30,14,FALSE)</f>
        <v>0</v>
      </c>
      <c r="Y10" s="213">
        <f>VLOOKUP(R8,'DATA (hide)'!$A$4:$Y$30,18,FALSE)</f>
        <v>0</v>
      </c>
      <c r="Z10" s="329">
        <f>VLOOKUP(R8,'DATA (hide)'!$A$4:$Y$30,10,FALSE)</f>
        <v>0</v>
      </c>
      <c r="AA10" s="329"/>
      <c r="AB10" s="265">
        <f>VLOOKUP(R8,'DATA (hide)'!$A$4:$Y$30,19,FALSE)</f>
        <v>10</v>
      </c>
      <c r="AE10" s="134"/>
      <c r="AF10" s="49"/>
      <c r="AH10" s="135"/>
      <c r="AI10" s="118"/>
    </row>
    <row r="11" spans="1:35" ht="7.5" customHeight="1">
      <c r="A11" s="110"/>
      <c r="B11" s="249"/>
      <c r="C11" s="114"/>
      <c r="D11" s="250"/>
      <c r="E11" s="110"/>
      <c r="F11" s="110"/>
      <c r="G11" s="110"/>
      <c r="H11" s="110"/>
      <c r="I11" s="110"/>
      <c r="J11" s="114"/>
      <c r="K11" s="248"/>
      <c r="L11" s="240"/>
      <c r="M11" s="135"/>
      <c r="N11" s="178"/>
      <c r="O11" s="175"/>
      <c r="P11" s="175"/>
      <c r="X11" s="5"/>
      <c r="Y11" s="116"/>
      <c r="AA11" s="112"/>
      <c r="AE11" s="134"/>
      <c r="AF11" s="49"/>
      <c r="AH11" s="135"/>
      <c r="AI11" s="118"/>
    </row>
    <row r="12" spans="1:35" ht="15.75" customHeight="1">
      <c r="A12" s="110"/>
      <c r="B12" s="249"/>
      <c r="C12" s="251" t="s">
        <v>94</v>
      </c>
      <c r="D12" s="316" t="s">
        <v>169</v>
      </c>
      <c r="E12" s="317"/>
      <c r="F12" s="237" t="str">
        <f>E10&amp;" of"</f>
        <v>Bag of</v>
      </c>
      <c r="G12" s="316" t="s">
        <v>182</v>
      </c>
      <c r="H12" s="317"/>
      <c r="I12" s="238" t="s">
        <v>105</v>
      </c>
      <c r="J12" s="237" t="s">
        <v>105</v>
      </c>
      <c r="K12" s="237" t="s">
        <v>105</v>
      </c>
      <c r="L12" s="237" t="s">
        <v>99</v>
      </c>
      <c r="M12" s="135"/>
      <c r="N12" s="178"/>
      <c r="O12" s="175"/>
      <c r="P12" s="175"/>
      <c r="X12" s="5"/>
      <c r="Y12" s="116"/>
      <c r="AA12" s="112"/>
      <c r="AE12" s="134"/>
      <c r="AF12" s="49"/>
      <c r="AH12" s="135"/>
      <c r="AI12" s="118"/>
    </row>
    <row r="13" spans="1:35" ht="15.75" customHeight="1">
      <c r="A13" s="110"/>
      <c r="B13" s="249"/>
      <c r="C13" s="252" t="s">
        <v>95</v>
      </c>
      <c r="D13" s="318"/>
      <c r="E13" s="319"/>
      <c r="F13" s="241" t="s">
        <v>159</v>
      </c>
      <c r="G13" s="318"/>
      <c r="H13" s="319"/>
      <c r="I13" s="242" t="s">
        <v>106</v>
      </c>
      <c r="J13" s="242" t="s">
        <v>106</v>
      </c>
      <c r="K13" s="241" t="s">
        <v>106</v>
      </c>
      <c r="L13" s="241" t="s">
        <v>168</v>
      </c>
      <c r="M13" s="135"/>
      <c r="N13" s="178"/>
      <c r="O13" s="175"/>
      <c r="P13" s="175"/>
      <c r="X13" s="5"/>
      <c r="Y13" s="116"/>
      <c r="AA13" s="112"/>
      <c r="AE13" s="134"/>
      <c r="AF13" s="49"/>
      <c r="AH13" s="135"/>
      <c r="AI13" s="118"/>
    </row>
    <row r="14" spans="1:35" ht="15.75" customHeight="1">
      <c r="A14" s="110"/>
      <c r="B14" s="249"/>
      <c r="C14" s="253" t="s">
        <v>112</v>
      </c>
      <c r="D14" s="253" t="str">
        <f>"("&amp;E10&amp;"/ac)"</f>
        <v>(Bag/ac)</v>
      </c>
      <c r="E14" s="254" t="str">
        <f>"(acres/"&amp;E10&amp;")"</f>
        <v>(acres/Bag)</v>
      </c>
      <c r="F14" s="244" t="s">
        <v>160</v>
      </c>
      <c r="G14" s="255" t="s">
        <v>181</v>
      </c>
      <c r="H14" s="256" t="s">
        <v>180</v>
      </c>
      <c r="I14" s="244" t="s">
        <v>170</v>
      </c>
      <c r="J14" s="244" t="s">
        <v>171</v>
      </c>
      <c r="K14" s="244" t="s">
        <v>167</v>
      </c>
      <c r="L14" s="246" t="s">
        <v>100</v>
      </c>
      <c r="M14" s="135"/>
      <c r="N14" s="178"/>
      <c r="O14" s="175"/>
      <c r="P14" s="175"/>
      <c r="X14" s="5"/>
      <c r="Y14" s="116"/>
      <c r="AA14" s="112"/>
      <c r="AE14" s="134"/>
      <c r="AF14" s="49"/>
      <c r="AH14" s="135"/>
      <c r="AI14" s="118"/>
    </row>
    <row r="15" spans="1:35" ht="15.75" customHeight="1">
      <c r="A15" s="110"/>
      <c r="B15" s="257"/>
      <c r="C15" s="268">
        <f>IF(H10=0,0,ROUND(((J10/1000)*(H10/453.6)/(G10*I10)),2))</f>
        <v>0</v>
      </c>
      <c r="D15" s="269">
        <f>IF(C15=0,0,SUM(C15/((H10/453.592)*(F10/1000))))</f>
        <v>0</v>
      </c>
      <c r="E15" s="268">
        <f>IF(H10=0,0,SUM(F10/J15))</f>
        <v>0</v>
      </c>
      <c r="F15" s="275">
        <f>C10*D15</f>
        <v>0</v>
      </c>
      <c r="G15" s="270">
        <f>D15*D10</f>
        <v>0</v>
      </c>
      <c r="H15" s="271">
        <f>SUM(C10*G15)</f>
        <v>0</v>
      </c>
      <c r="I15" s="272">
        <f>IF(H10=0,0,ROUND((1000*453.592)/H10,0))</f>
        <v>0</v>
      </c>
      <c r="J15" s="272">
        <f>IF(H10=0,0,ROUND((J10)/(G10*I10),-3))</f>
        <v>0</v>
      </c>
      <c r="K15" s="273">
        <f>IF(H10=0,0,ROUND(((L15/100)*1000)/H10,1))</f>
        <v>0</v>
      </c>
      <c r="L15" s="274">
        <f>ROUND((C15*L10)/11.5,1)</f>
        <v>0</v>
      </c>
      <c r="M15" s="135"/>
      <c r="N15" s="178"/>
      <c r="O15" s="175"/>
      <c r="P15" s="175"/>
      <c r="X15" s="5"/>
      <c r="Y15" s="116"/>
      <c r="AA15" s="112"/>
      <c r="AE15" s="134"/>
      <c r="AF15" s="49"/>
      <c r="AH15" s="135"/>
      <c r="AI15" s="118"/>
    </row>
    <row r="16" spans="1:35" ht="7.5" customHeight="1">
      <c r="A16" s="175"/>
      <c r="B16" s="175"/>
      <c r="C16" s="228"/>
      <c r="D16" s="179"/>
      <c r="E16" s="175"/>
      <c r="F16" s="175"/>
      <c r="G16" s="175"/>
      <c r="H16" s="175"/>
      <c r="I16" s="175"/>
      <c r="J16" s="177"/>
      <c r="K16" s="66"/>
      <c r="L16" s="175"/>
      <c r="M16" s="135"/>
      <c r="N16" s="178"/>
      <c r="O16" s="175"/>
      <c r="P16" s="175"/>
      <c r="X16" s="5"/>
      <c r="Y16" s="116"/>
      <c r="AA16" s="112"/>
      <c r="AE16" s="134"/>
      <c r="AF16" s="49"/>
      <c r="AH16" s="135"/>
      <c r="AI16" s="118"/>
    </row>
    <row r="17" spans="1:35" ht="15.75" customHeight="1">
      <c r="A17" s="175"/>
      <c r="B17" s="176" t="s">
        <v>192</v>
      </c>
      <c r="C17" s="228"/>
      <c r="D17" s="179"/>
      <c r="E17" s="175"/>
      <c r="F17" s="175"/>
      <c r="G17" s="175"/>
      <c r="H17" s="175"/>
      <c r="I17" s="175"/>
      <c r="J17" s="177"/>
      <c r="K17" s="229"/>
      <c r="L17" s="175"/>
      <c r="M17" s="135"/>
      <c r="N17" s="178"/>
      <c r="O17" s="175"/>
      <c r="P17" s="175"/>
      <c r="X17" s="5"/>
      <c r="Y17" s="116"/>
      <c r="AA17" s="112"/>
      <c r="AE17" s="134"/>
      <c r="AF17" s="49"/>
      <c r="AH17" s="135"/>
      <c r="AI17" s="118"/>
    </row>
    <row r="18" spans="1:35" ht="7.5" customHeight="1">
      <c r="A18" s="175"/>
      <c r="B18" s="176"/>
      <c r="C18" s="228"/>
      <c r="D18" s="179"/>
      <c r="E18" s="175"/>
      <c r="F18" s="175"/>
      <c r="G18" s="175"/>
      <c r="H18" s="175"/>
      <c r="I18" s="175"/>
      <c r="J18" s="177"/>
      <c r="K18" s="229"/>
      <c r="L18" s="175"/>
      <c r="M18" s="135"/>
      <c r="N18" s="178"/>
      <c r="O18" s="175"/>
      <c r="P18" s="175"/>
      <c r="X18" s="5"/>
      <c r="Y18" s="116"/>
      <c r="AA18" s="112"/>
      <c r="AE18" s="134"/>
      <c r="AF18" s="49"/>
      <c r="AH18" s="135"/>
      <c r="AI18" s="118"/>
    </row>
    <row r="19" spans="1:35" ht="15.75" customHeight="1">
      <c r="A19" s="175"/>
      <c r="B19" s="285"/>
      <c r="C19" s="324" t="s">
        <v>198</v>
      </c>
      <c r="D19" s="325"/>
      <c r="E19" s="325"/>
      <c r="F19" s="325"/>
      <c r="G19" s="325"/>
      <c r="H19" s="325"/>
      <c r="I19" s="325"/>
      <c r="J19" s="325"/>
      <c r="K19" s="326"/>
      <c r="L19" s="293">
        <v>0.02</v>
      </c>
      <c r="M19" s="135"/>
      <c r="N19" s="178"/>
      <c r="O19" s="175"/>
      <c r="P19" s="175"/>
      <c r="X19" s="5"/>
      <c r="Y19" s="116"/>
      <c r="AA19" s="112"/>
      <c r="AE19" s="134"/>
      <c r="AF19" s="49"/>
      <c r="AH19" s="135"/>
      <c r="AI19" s="118"/>
    </row>
    <row r="20" spans="1:35" ht="15.75" customHeight="1">
      <c r="A20" s="175"/>
      <c r="B20" s="290" t="s">
        <v>197</v>
      </c>
      <c r="C20" s="277">
        <f>IF($I$10=0%,0%,D20-$L$19)</f>
        <v>0</v>
      </c>
      <c r="D20" s="278">
        <f t="shared" ref="D20:G20" si="0">IF($I$10=0%,0%,E20-$L$19)</f>
        <v>0</v>
      </c>
      <c r="E20" s="278">
        <f t="shared" si="0"/>
        <v>0</v>
      </c>
      <c r="F20" s="278">
        <f t="shared" si="0"/>
        <v>0</v>
      </c>
      <c r="G20" s="278">
        <f t="shared" si="0"/>
        <v>0</v>
      </c>
      <c r="H20" s="279">
        <f>I10</f>
        <v>0</v>
      </c>
      <c r="I20" s="278">
        <f>IF($I$10=0%,0%,IF(H20+$L$19&gt;100%,100%,H20+$L$19))</f>
        <v>0</v>
      </c>
      <c r="J20" s="278">
        <f t="shared" ref="J20:L20" si="1">IF($I$10=0%,0%,IF(I20+$L$19&gt;100%,100%,I20+$L$19))</f>
        <v>0</v>
      </c>
      <c r="K20" s="278">
        <f t="shared" si="1"/>
        <v>0</v>
      </c>
      <c r="L20" s="280">
        <f t="shared" si="1"/>
        <v>0</v>
      </c>
      <c r="M20" s="135"/>
      <c r="N20" s="178"/>
      <c r="O20" s="175"/>
      <c r="P20" s="175"/>
      <c r="X20" s="5"/>
      <c r="Y20" s="116"/>
      <c r="AA20" s="112"/>
      <c r="AE20" s="134"/>
      <c r="AF20" s="49"/>
      <c r="AH20" s="135"/>
      <c r="AI20" s="118"/>
    </row>
    <row r="21" spans="1:35" ht="15.75" customHeight="1">
      <c r="A21" s="175"/>
      <c r="B21" s="289" t="s">
        <v>189</v>
      </c>
      <c r="C21" s="296">
        <f>IF($H$10=0,0,ROUND((($J$10/1000)*($H$10/453.6)/($G$10*C20)),2))</f>
        <v>0</v>
      </c>
      <c r="D21" s="297">
        <f t="shared" ref="D21:L21" si="2">IF($H$10=0,0,ROUND((($J$10/1000)*($H$10/453.6)/($G$10*D20)),2))</f>
        <v>0</v>
      </c>
      <c r="E21" s="297">
        <f t="shared" si="2"/>
        <v>0</v>
      </c>
      <c r="F21" s="297">
        <f t="shared" si="2"/>
        <v>0</v>
      </c>
      <c r="G21" s="297">
        <f t="shared" si="2"/>
        <v>0</v>
      </c>
      <c r="H21" s="298">
        <f t="shared" si="2"/>
        <v>0</v>
      </c>
      <c r="I21" s="297">
        <f t="shared" si="2"/>
        <v>0</v>
      </c>
      <c r="J21" s="297">
        <f t="shared" si="2"/>
        <v>0</v>
      </c>
      <c r="K21" s="297">
        <f t="shared" si="2"/>
        <v>0</v>
      </c>
      <c r="L21" s="299">
        <f t="shared" si="2"/>
        <v>0</v>
      </c>
      <c r="M21" s="135"/>
      <c r="N21" s="178"/>
      <c r="O21" s="175"/>
      <c r="P21" s="175"/>
      <c r="X21" s="5"/>
      <c r="Y21" s="116"/>
      <c r="AA21" s="112"/>
      <c r="AE21" s="134"/>
      <c r="AF21" s="49"/>
      <c r="AH21" s="135"/>
      <c r="AI21" s="118"/>
    </row>
    <row r="22" spans="1:35" ht="15.75" customHeight="1">
      <c r="A22" s="175"/>
      <c r="B22" s="289" t="str">
        <f>"Seeding Rate ("&amp;E10&amp;"/ac)"</f>
        <v>Seeding Rate (Bag/ac)</v>
      </c>
      <c r="C22" s="288">
        <f>IF($C$15=0,0,SUM(C21/(($H$10/453.6)*($F$10/1000))))</f>
        <v>0</v>
      </c>
      <c r="D22" s="276">
        <f t="shared" ref="D22:L22" si="3">IF($C$15=0,0,SUM(D21/(($H$10/453.6)*($F$10/1000))))</f>
        <v>0</v>
      </c>
      <c r="E22" s="276">
        <f t="shared" si="3"/>
        <v>0</v>
      </c>
      <c r="F22" s="276">
        <f t="shared" si="3"/>
        <v>0</v>
      </c>
      <c r="G22" s="276">
        <f t="shared" si="3"/>
        <v>0</v>
      </c>
      <c r="H22" s="291">
        <f t="shared" si="3"/>
        <v>0</v>
      </c>
      <c r="I22" s="276">
        <f t="shared" si="3"/>
        <v>0</v>
      </c>
      <c r="J22" s="276">
        <f t="shared" si="3"/>
        <v>0</v>
      </c>
      <c r="K22" s="276">
        <f t="shared" si="3"/>
        <v>0</v>
      </c>
      <c r="L22" s="292">
        <f t="shared" si="3"/>
        <v>0</v>
      </c>
      <c r="M22" s="135"/>
      <c r="N22" s="178"/>
      <c r="O22" s="175"/>
      <c r="P22" s="175"/>
      <c r="X22" s="5"/>
      <c r="Y22" s="116"/>
      <c r="AA22" s="112"/>
      <c r="AE22" s="134"/>
      <c r="AF22" s="49"/>
      <c r="AH22" s="135"/>
      <c r="AI22" s="118"/>
    </row>
    <row r="23" spans="1:35" ht="15.75" customHeight="1">
      <c r="A23" s="175"/>
      <c r="B23" s="289" t="s">
        <v>195</v>
      </c>
      <c r="C23" s="304">
        <f t="shared" ref="C23:G23" si="4">IF($H$10=0,0,ROUND(($J$10)/($G$10*C20),-3))</f>
        <v>0</v>
      </c>
      <c r="D23" s="303">
        <f t="shared" si="4"/>
        <v>0</v>
      </c>
      <c r="E23" s="303">
        <f t="shared" si="4"/>
        <v>0</v>
      </c>
      <c r="F23" s="303">
        <f t="shared" si="4"/>
        <v>0</v>
      </c>
      <c r="G23" s="303">
        <f t="shared" si="4"/>
        <v>0</v>
      </c>
      <c r="H23" s="302">
        <f>IF($H$10=0,0,ROUND(($J$10)/($G$10*H20),-3))</f>
        <v>0</v>
      </c>
      <c r="I23" s="303">
        <f t="shared" ref="I23:L23" si="5">IF($H$10=0,0,ROUND(($J$10)/($G$10*I20),-3))</f>
        <v>0</v>
      </c>
      <c r="J23" s="303">
        <f t="shared" si="5"/>
        <v>0</v>
      </c>
      <c r="K23" s="303">
        <f t="shared" si="5"/>
        <v>0</v>
      </c>
      <c r="L23" s="305">
        <f t="shared" si="5"/>
        <v>0</v>
      </c>
      <c r="M23" s="135"/>
      <c r="N23" s="178"/>
      <c r="O23" s="175"/>
      <c r="P23" s="175"/>
      <c r="X23" s="5"/>
      <c r="Y23" s="116"/>
      <c r="AA23" s="112"/>
      <c r="AE23" s="134"/>
      <c r="AF23" s="49"/>
      <c r="AH23" s="135"/>
      <c r="AI23" s="118"/>
    </row>
    <row r="24" spans="1:35" ht="15.75" customHeight="1">
      <c r="A24" s="175"/>
      <c r="B24" s="290" t="s">
        <v>190</v>
      </c>
      <c r="C24" s="281">
        <f>C22*$D$10</f>
        <v>0</v>
      </c>
      <c r="D24" s="282">
        <f t="shared" ref="D24:L24" si="6">D22*$D$10</f>
        <v>0</v>
      </c>
      <c r="E24" s="282">
        <f t="shared" si="6"/>
        <v>0</v>
      </c>
      <c r="F24" s="282">
        <f t="shared" si="6"/>
        <v>0</v>
      </c>
      <c r="G24" s="282">
        <f t="shared" si="6"/>
        <v>0</v>
      </c>
      <c r="H24" s="283">
        <f t="shared" si="6"/>
        <v>0</v>
      </c>
      <c r="I24" s="282">
        <f t="shared" si="6"/>
        <v>0</v>
      </c>
      <c r="J24" s="282">
        <f t="shared" si="6"/>
        <v>0</v>
      </c>
      <c r="K24" s="282">
        <f t="shared" si="6"/>
        <v>0</v>
      </c>
      <c r="L24" s="284">
        <f t="shared" si="6"/>
        <v>0</v>
      </c>
      <c r="M24" s="135"/>
      <c r="N24" s="178"/>
      <c r="O24" s="175"/>
      <c r="P24" s="175"/>
      <c r="X24" s="5"/>
      <c r="Y24" s="116"/>
      <c r="AA24" s="112"/>
      <c r="AE24" s="134"/>
      <c r="AF24" s="49"/>
      <c r="AH24" s="135"/>
      <c r="AI24" s="118"/>
    </row>
    <row r="25" spans="1:35" ht="7.5" customHeight="1">
      <c r="A25" s="175"/>
      <c r="B25" s="175"/>
      <c r="C25" s="228"/>
      <c r="D25" s="179"/>
      <c r="E25" s="175"/>
      <c r="F25" s="175"/>
      <c r="G25" s="175"/>
      <c r="H25" s="175"/>
      <c r="I25" s="175"/>
      <c r="J25" s="177"/>
      <c r="K25" s="229"/>
      <c r="L25" s="175"/>
      <c r="M25" s="135"/>
      <c r="N25" s="178"/>
      <c r="O25" s="175"/>
      <c r="P25" s="175"/>
      <c r="X25" s="5"/>
      <c r="Y25" s="116"/>
      <c r="AA25" s="112"/>
      <c r="AE25" s="134"/>
      <c r="AF25" s="49"/>
      <c r="AH25" s="135"/>
      <c r="AI25" s="118"/>
    </row>
    <row r="26" spans="1:35" ht="15.75" customHeight="1"/>
    <row r="27" spans="1:35" ht="15">
      <c r="A27" s="168"/>
      <c r="B27" s="169"/>
      <c r="C27" s="169"/>
      <c r="D27" s="170"/>
      <c r="E27" s="168"/>
      <c r="F27" s="168"/>
      <c r="G27" s="168"/>
      <c r="H27" s="168"/>
      <c r="I27" s="168"/>
      <c r="J27" s="168"/>
      <c r="K27" s="168"/>
      <c r="L27" s="168"/>
    </row>
    <row r="28" spans="1:35" ht="15" customHeight="1">
      <c r="A28" s="320" t="s">
        <v>199</v>
      </c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231"/>
      <c r="N28" s="231"/>
      <c r="O28" s="231"/>
      <c r="P28" s="231"/>
    </row>
    <row r="29" spans="1:35" ht="15" customHeight="1">
      <c r="A29" s="322"/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231"/>
      <c r="N29" s="231"/>
      <c r="O29" s="231"/>
      <c r="P29" s="231"/>
    </row>
    <row r="30" spans="1:35" s="149" customFormat="1" ht="15" customHeight="1">
      <c r="A30" s="144"/>
      <c r="B30" s="144"/>
      <c r="C30" s="144"/>
      <c r="D30" s="145"/>
      <c r="E30" s="146"/>
      <c r="F30" s="146"/>
      <c r="G30" s="146"/>
      <c r="H30" s="146"/>
      <c r="I30" s="146"/>
      <c r="J30" s="146"/>
      <c r="K30" s="146"/>
      <c r="L30" s="147" t="s">
        <v>200</v>
      </c>
      <c r="M30" s="231"/>
      <c r="N30" s="231"/>
      <c r="O30" s="231"/>
      <c r="Q30" s="148"/>
      <c r="S30" s="150"/>
      <c r="T30" s="151"/>
      <c r="U30" s="151"/>
    </row>
    <row r="31" spans="1:35" s="149" customFormat="1" ht="16.5" customHeight="1">
      <c r="A31" s="152"/>
      <c r="B31" s="153"/>
      <c r="C31" s="153"/>
      <c r="D31" s="153"/>
      <c r="E31" s="145"/>
      <c r="F31" s="145"/>
      <c r="G31" s="145"/>
      <c r="H31" s="145"/>
      <c r="I31" s="145"/>
      <c r="J31" s="145"/>
      <c r="K31" s="145"/>
      <c r="L31" s="145"/>
      <c r="N31" s="150"/>
      <c r="O31" s="151"/>
      <c r="P31" s="151"/>
    </row>
    <row r="32" spans="1:35" s="156" customFormat="1" ht="14.1">
      <c r="A32" s="164"/>
      <c r="B32" s="154"/>
      <c r="D32" s="155"/>
      <c r="E32" s="157"/>
      <c r="F32" s="158"/>
      <c r="G32" s="159"/>
      <c r="H32" s="160"/>
      <c r="I32" s="160"/>
      <c r="J32" s="158"/>
      <c r="K32" s="158"/>
      <c r="L32" s="171" t="s">
        <v>149</v>
      </c>
    </row>
    <row r="33" spans="1:12" s="156" customFormat="1" ht="13.8">
      <c r="A33" s="161"/>
      <c r="B33" s="158"/>
      <c r="D33" s="161"/>
      <c r="E33" s="162"/>
      <c r="F33" s="158"/>
      <c r="G33" s="163"/>
      <c r="H33" s="160"/>
      <c r="I33" s="160"/>
      <c r="J33" s="158"/>
      <c r="K33" s="158"/>
      <c r="L33" s="266" t="s">
        <v>185</v>
      </c>
    </row>
  </sheetData>
  <sheetProtection password="C6A6" sheet="1" objects="1" scenarios="1"/>
  <mergeCells count="13">
    <mergeCell ref="G12:H13"/>
    <mergeCell ref="A28:L29"/>
    <mergeCell ref="J8:K8"/>
    <mergeCell ref="J9:K9"/>
    <mergeCell ref="J10:K10"/>
    <mergeCell ref="C19:K19"/>
    <mergeCell ref="D12:E13"/>
    <mergeCell ref="Z9:AA9"/>
    <mergeCell ref="Z10:AA10"/>
    <mergeCell ref="J7:K7"/>
    <mergeCell ref="N7:O7"/>
    <mergeCell ref="Z7:AA7"/>
    <mergeCell ref="Z8:AA8"/>
  </mergeCells>
  <dataValidations count="1">
    <dataValidation type="list" allowBlank="1" showInputMessage="1" showErrorMessage="1" sqref="R8 B8">
      <formula1>Other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r:id="rId1"/>
  <colBreaks count="1" manualBreakCount="1">
    <brk id="16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8"/>
  <sheetViews>
    <sheetView workbookViewId="0">
      <selection activeCell="B4" sqref="B4"/>
    </sheetView>
  </sheetViews>
  <sheetFormatPr defaultRowHeight="12.3"/>
  <cols>
    <col min="1" max="1" width="26" customWidth="1"/>
    <col min="2" max="3" width="9.1640625" customWidth="1"/>
    <col min="4" max="4" width="8.83203125" customWidth="1"/>
    <col min="5" max="7" width="7.83203125" customWidth="1"/>
    <col min="8" max="9" width="8.71875" customWidth="1"/>
    <col min="10" max="10" width="7.5546875" customWidth="1"/>
    <col min="12" max="14" width="6.71875" customWidth="1"/>
    <col min="15" max="15" width="11.83203125" customWidth="1"/>
    <col min="16" max="17" width="5.71875" customWidth="1"/>
    <col min="18" max="18" width="11.5546875" customWidth="1"/>
    <col min="19" max="19" width="7.71875" customWidth="1"/>
    <col min="21" max="21" width="6.1640625" customWidth="1"/>
    <col min="22" max="22" width="13.5546875" customWidth="1"/>
    <col min="23" max="24" width="8.71875" customWidth="1"/>
  </cols>
  <sheetData>
    <row r="1" spans="1:25">
      <c r="B1" s="53" t="s">
        <v>93</v>
      </c>
      <c r="C1" s="54"/>
      <c r="D1" s="55"/>
      <c r="E1" s="90" t="s">
        <v>80</v>
      </c>
      <c r="F1" s="74" t="s">
        <v>94</v>
      </c>
      <c r="G1" s="74" t="s">
        <v>94</v>
      </c>
      <c r="H1" s="53" t="s">
        <v>75</v>
      </c>
      <c r="I1" s="54"/>
      <c r="J1" s="54"/>
      <c r="K1" s="77"/>
      <c r="L1" s="78" t="s">
        <v>76</v>
      </c>
      <c r="M1" s="79"/>
      <c r="N1" s="77"/>
      <c r="O1" s="56" t="s">
        <v>80</v>
      </c>
      <c r="P1" s="60" t="s">
        <v>96</v>
      </c>
      <c r="Q1" s="61"/>
      <c r="R1" s="43"/>
      <c r="S1" s="56" t="s">
        <v>90</v>
      </c>
      <c r="T1" s="56" t="s">
        <v>99</v>
      </c>
      <c r="U1" s="56" t="s">
        <v>80</v>
      </c>
      <c r="V1" s="83" t="s">
        <v>105</v>
      </c>
      <c r="W1" s="78" t="s">
        <v>78</v>
      </c>
      <c r="X1" s="79"/>
      <c r="Y1" s="77"/>
    </row>
    <row r="2" spans="1:25" ht="24.6">
      <c r="B2" s="59" t="s">
        <v>84</v>
      </c>
      <c r="C2" s="37"/>
      <c r="D2" s="62" t="s">
        <v>157</v>
      </c>
      <c r="E2" s="75" t="s">
        <v>114</v>
      </c>
      <c r="F2" s="75" t="s">
        <v>95</v>
      </c>
      <c r="G2" s="75" t="s">
        <v>95</v>
      </c>
      <c r="H2" s="85" t="s">
        <v>102</v>
      </c>
      <c r="I2" s="86" t="s">
        <v>103</v>
      </c>
      <c r="J2" s="38" t="s">
        <v>74</v>
      </c>
      <c r="K2" s="70" t="s">
        <v>74</v>
      </c>
      <c r="L2" s="85" t="s">
        <v>102</v>
      </c>
      <c r="M2" s="86" t="s">
        <v>103</v>
      </c>
      <c r="N2" s="62" t="s">
        <v>77</v>
      </c>
      <c r="O2" s="57" t="s">
        <v>81</v>
      </c>
      <c r="P2" s="85" t="s">
        <v>102</v>
      </c>
      <c r="Q2" s="86" t="s">
        <v>103</v>
      </c>
      <c r="R2" s="62" t="s">
        <v>82</v>
      </c>
      <c r="S2" s="57" t="s">
        <v>91</v>
      </c>
      <c r="T2" s="71" t="s">
        <v>98</v>
      </c>
      <c r="U2" s="71" t="s">
        <v>110</v>
      </c>
      <c r="V2" s="71" t="s">
        <v>106</v>
      </c>
      <c r="W2" s="85" t="s">
        <v>72</v>
      </c>
      <c r="X2" s="86" t="s">
        <v>73</v>
      </c>
      <c r="Y2" s="62"/>
    </row>
    <row r="3" spans="1:25" ht="14.1" thickBot="1">
      <c r="A3" t="s">
        <v>1</v>
      </c>
      <c r="B3" s="67" t="s">
        <v>83</v>
      </c>
      <c r="C3" s="68" t="s">
        <v>85</v>
      </c>
      <c r="D3" s="69" t="s">
        <v>87</v>
      </c>
      <c r="E3" s="76" t="s">
        <v>113</v>
      </c>
      <c r="F3" s="92" t="s">
        <v>112</v>
      </c>
      <c r="G3" s="92" t="s">
        <v>115</v>
      </c>
      <c r="H3" s="67" t="s">
        <v>107</v>
      </c>
      <c r="I3" s="67" t="s">
        <v>107</v>
      </c>
      <c r="J3" s="67" t="s">
        <v>107</v>
      </c>
      <c r="K3" s="67" t="s">
        <v>108</v>
      </c>
      <c r="L3" s="87" t="s">
        <v>100</v>
      </c>
      <c r="M3" s="87" t="s">
        <v>100</v>
      </c>
      <c r="N3" s="87" t="s">
        <v>100</v>
      </c>
      <c r="O3" s="58" t="s">
        <v>79</v>
      </c>
      <c r="P3" s="63" t="s">
        <v>79</v>
      </c>
      <c r="Q3" s="64" t="s">
        <v>79</v>
      </c>
      <c r="R3" s="65" t="s">
        <v>79</v>
      </c>
      <c r="S3" s="88" t="s">
        <v>92</v>
      </c>
      <c r="T3" s="89" t="s">
        <v>100</v>
      </c>
      <c r="U3" s="72" t="s">
        <v>101</v>
      </c>
      <c r="V3" s="72" t="s">
        <v>111</v>
      </c>
      <c r="W3" s="67" t="s">
        <v>109</v>
      </c>
      <c r="X3" s="68" t="s">
        <v>109</v>
      </c>
      <c r="Y3" s="69" t="s">
        <v>77</v>
      </c>
    </row>
    <row r="4" spans="1:25" ht="12.6" thickBot="1">
      <c r="A4" s="5" t="s">
        <v>135</v>
      </c>
      <c r="B4" s="50">
        <v>0</v>
      </c>
      <c r="C4" s="81" t="s">
        <v>165</v>
      </c>
      <c r="D4" s="47">
        <v>1</v>
      </c>
      <c r="E4" s="91">
        <f t="shared" ref="E4" si="0">F4*(B4/D4)</f>
        <v>0</v>
      </c>
      <c r="F4" s="73">
        <f>IF(N4=0,0,ROUND(((J4*N4)/(O4*R4))/10.4,2))</f>
        <v>0</v>
      </c>
      <c r="G4" s="73">
        <f t="shared" ref="G4" si="1">SUM(F4/D4)</f>
        <v>0</v>
      </c>
      <c r="H4" s="46">
        <v>0</v>
      </c>
      <c r="I4" s="46">
        <v>0</v>
      </c>
      <c r="J4" s="47">
        <v>0</v>
      </c>
      <c r="K4" s="3">
        <f t="shared" ref="K4:K11" si="2">ROUND(J4*10.7639,0)</f>
        <v>0</v>
      </c>
      <c r="L4" s="82">
        <v>0</v>
      </c>
      <c r="M4" s="82">
        <v>0</v>
      </c>
      <c r="N4" s="48">
        <v>0</v>
      </c>
      <c r="O4" s="44">
        <v>0</v>
      </c>
      <c r="P4" s="80">
        <v>0</v>
      </c>
      <c r="Q4" s="80">
        <v>0</v>
      </c>
      <c r="R4" s="44">
        <v>0</v>
      </c>
      <c r="S4" s="81">
        <v>10</v>
      </c>
      <c r="T4" s="93">
        <f t="shared" ref="T4" si="3">ROUND((F4*S4)/11.5,1)</f>
        <v>0</v>
      </c>
      <c r="U4" s="93">
        <f>IF(N4=0,0,ROUND(((T4/100)*1000)/N4,1))</f>
        <v>0</v>
      </c>
      <c r="V4" s="84">
        <f>IF(J4=0,0,(J4*43560)/(O4*R4))</f>
        <v>0</v>
      </c>
      <c r="W4" s="26">
        <f>IF(M4=0,0,ROUND((1000*453.592)/M4,0))</f>
        <v>0</v>
      </c>
      <c r="X4" s="26">
        <f>IF(L4=0,0,ROUND((1000*453.592)/L4,0))</f>
        <v>0</v>
      </c>
      <c r="Y4" s="26">
        <f>IF(N4=0,0,ROUND((1000*453.592)/N4,0))</f>
        <v>0</v>
      </c>
    </row>
    <row r="5" spans="1:25" ht="12.6" thickBot="1">
      <c r="A5" t="s">
        <v>20</v>
      </c>
      <c r="B5" s="50">
        <f>77.5*10</f>
        <v>775</v>
      </c>
      <c r="C5" s="81" t="s">
        <v>161</v>
      </c>
      <c r="D5" s="47">
        <v>50</v>
      </c>
      <c r="E5" s="91">
        <f t="shared" ref="E5:E11" si="4">F5*(B5/D5)</f>
        <v>77.655000000000001</v>
      </c>
      <c r="F5" s="73">
        <f t="shared" ref="F5:F11" si="5">ROUND(((J5*N5)/(O5*R5))/10.4,2)</f>
        <v>5.01</v>
      </c>
      <c r="G5" s="73">
        <f t="shared" ref="G5:G11" si="6">SUM(F5/D5)</f>
        <v>0.1002</v>
      </c>
      <c r="H5" s="46">
        <v>3</v>
      </c>
      <c r="I5" s="46">
        <v>12</v>
      </c>
      <c r="J5" s="47">
        <v>7.5</v>
      </c>
      <c r="K5" s="3">
        <f t="shared" si="2"/>
        <v>81</v>
      </c>
      <c r="L5" s="82">
        <v>3</v>
      </c>
      <c r="M5" s="82">
        <v>7</v>
      </c>
      <c r="N5" s="210">
        <v>4.95</v>
      </c>
      <c r="O5" s="44">
        <v>0.95</v>
      </c>
      <c r="P5" s="80">
        <v>40</v>
      </c>
      <c r="Q5" s="80">
        <v>80</v>
      </c>
      <c r="R5" s="44">
        <v>0.75</v>
      </c>
      <c r="S5" s="81">
        <v>10</v>
      </c>
      <c r="T5" s="93">
        <f t="shared" ref="T5:T11" si="7">ROUND((F5*S5)/11.5,1)</f>
        <v>4.4000000000000004</v>
      </c>
      <c r="U5" s="93">
        <f t="shared" ref="U5:U11" si="8">ROUND(((T5/100)*1000)/N5,1)</f>
        <v>8.9</v>
      </c>
      <c r="V5" s="84">
        <f t="shared" ref="V5:V11" si="9">(J5*43560)/(O5*R5)</f>
        <v>458526.31578947377</v>
      </c>
      <c r="W5" s="26">
        <f t="shared" ref="W5:W11" si="10">ROUND((1000*453.592)/M5,0)</f>
        <v>64799</v>
      </c>
      <c r="X5" s="26">
        <f t="shared" ref="X5:X11" si="11">ROUND((1000*453.592)/L5,0)</f>
        <v>151197</v>
      </c>
      <c r="Y5" s="26">
        <f t="shared" ref="Y5:Y11" si="12">ROUND((1000*453.592)/N5,0)</f>
        <v>91635</v>
      </c>
    </row>
    <row r="6" spans="1:25" ht="12.6" thickBot="1">
      <c r="A6" t="s">
        <v>51</v>
      </c>
      <c r="B6" s="50">
        <v>17</v>
      </c>
      <c r="C6" s="81" t="s">
        <v>165</v>
      </c>
      <c r="D6" s="47">
        <v>60</v>
      </c>
      <c r="E6" s="91">
        <f t="shared" si="4"/>
        <v>34.008499999999998</v>
      </c>
      <c r="F6" s="94">
        <f t="shared" si="5"/>
        <v>120.03</v>
      </c>
      <c r="G6" s="73">
        <f t="shared" si="6"/>
        <v>2.0005000000000002</v>
      </c>
      <c r="H6" s="46">
        <v>23</v>
      </c>
      <c r="I6" s="46">
        <v>28</v>
      </c>
      <c r="J6" s="47">
        <v>28</v>
      </c>
      <c r="K6" s="3">
        <f t="shared" si="2"/>
        <v>301</v>
      </c>
      <c r="L6" s="82">
        <v>31</v>
      </c>
      <c r="M6" s="82">
        <v>38</v>
      </c>
      <c r="N6" s="48">
        <v>36</v>
      </c>
      <c r="O6" s="44">
        <v>0.95</v>
      </c>
      <c r="P6" s="80">
        <v>85</v>
      </c>
      <c r="Q6" s="80">
        <v>90</v>
      </c>
      <c r="R6" s="44">
        <v>0.85</v>
      </c>
      <c r="S6" s="81">
        <v>10</v>
      </c>
      <c r="T6" s="93">
        <f t="shared" si="7"/>
        <v>104.4</v>
      </c>
      <c r="U6" s="93">
        <f t="shared" si="8"/>
        <v>29</v>
      </c>
      <c r="V6" s="84">
        <f t="shared" si="9"/>
        <v>1510439.628482972</v>
      </c>
      <c r="W6" s="26">
        <f t="shared" si="10"/>
        <v>11937</v>
      </c>
      <c r="X6" s="26">
        <f t="shared" si="11"/>
        <v>14632</v>
      </c>
      <c r="Y6" s="26">
        <f t="shared" si="12"/>
        <v>12600</v>
      </c>
    </row>
    <row r="7" spans="1:25" ht="12.6" thickBot="1">
      <c r="A7" t="s">
        <v>53</v>
      </c>
      <c r="B7" s="50">
        <v>17</v>
      </c>
      <c r="C7" s="81" t="s">
        <v>165</v>
      </c>
      <c r="D7" s="47">
        <v>60</v>
      </c>
      <c r="E7" s="91">
        <f t="shared" si="4"/>
        <v>34.008499999999998</v>
      </c>
      <c r="F7" s="94">
        <f t="shared" si="5"/>
        <v>120.03</v>
      </c>
      <c r="G7" s="73">
        <f t="shared" si="6"/>
        <v>2.0005000000000002</v>
      </c>
      <c r="H7" s="46">
        <v>23</v>
      </c>
      <c r="I7" s="46">
        <v>28</v>
      </c>
      <c r="J7" s="47">
        <v>28</v>
      </c>
      <c r="K7" s="3">
        <f t="shared" si="2"/>
        <v>301</v>
      </c>
      <c r="L7" s="82">
        <v>31</v>
      </c>
      <c r="M7" s="82">
        <v>38</v>
      </c>
      <c r="N7" s="48">
        <v>36</v>
      </c>
      <c r="O7" s="44">
        <v>0.95</v>
      </c>
      <c r="P7" s="80">
        <v>85</v>
      </c>
      <c r="Q7" s="80">
        <v>90</v>
      </c>
      <c r="R7" s="44">
        <v>0.85</v>
      </c>
      <c r="S7" s="81">
        <v>10</v>
      </c>
      <c r="T7" s="93">
        <f t="shared" si="7"/>
        <v>104.4</v>
      </c>
      <c r="U7" s="93">
        <f t="shared" si="8"/>
        <v>29</v>
      </c>
      <c r="V7" s="84">
        <f t="shared" si="9"/>
        <v>1510439.628482972</v>
      </c>
      <c r="W7" s="26">
        <f t="shared" si="10"/>
        <v>11937</v>
      </c>
      <c r="X7" s="26">
        <f t="shared" si="11"/>
        <v>14632</v>
      </c>
      <c r="Y7" s="26">
        <f t="shared" si="12"/>
        <v>12600</v>
      </c>
    </row>
    <row r="8" spans="1:25" ht="12.6" thickBot="1">
      <c r="A8" t="s">
        <v>62</v>
      </c>
      <c r="B8" s="50">
        <v>17</v>
      </c>
      <c r="C8" s="81" t="s">
        <v>165</v>
      </c>
      <c r="D8" s="47">
        <v>60</v>
      </c>
      <c r="E8" s="91">
        <f t="shared" si="4"/>
        <v>42.511333333333333</v>
      </c>
      <c r="F8" s="94">
        <f t="shared" si="5"/>
        <v>150.04</v>
      </c>
      <c r="G8" s="73">
        <f t="shared" si="6"/>
        <v>2.5006666666666666</v>
      </c>
      <c r="H8" s="46">
        <v>23</v>
      </c>
      <c r="I8" s="46">
        <v>28</v>
      </c>
      <c r="J8" s="47">
        <v>28</v>
      </c>
      <c r="K8" s="3">
        <f t="shared" si="2"/>
        <v>301</v>
      </c>
      <c r="L8" s="82">
        <v>39</v>
      </c>
      <c r="M8" s="82">
        <v>50</v>
      </c>
      <c r="N8" s="48">
        <v>45</v>
      </c>
      <c r="O8" s="44">
        <v>0.95</v>
      </c>
      <c r="P8" s="80">
        <v>85</v>
      </c>
      <c r="Q8" s="80">
        <v>90</v>
      </c>
      <c r="R8" s="44">
        <v>0.85</v>
      </c>
      <c r="S8" s="81">
        <v>10</v>
      </c>
      <c r="T8" s="93">
        <f t="shared" si="7"/>
        <v>130.5</v>
      </c>
      <c r="U8" s="93">
        <f t="shared" si="8"/>
        <v>29</v>
      </c>
      <c r="V8" s="84">
        <f t="shared" si="9"/>
        <v>1510439.628482972</v>
      </c>
      <c r="W8" s="26">
        <f t="shared" si="10"/>
        <v>9072</v>
      </c>
      <c r="X8" s="26">
        <f t="shared" si="11"/>
        <v>11631</v>
      </c>
      <c r="Y8" s="26">
        <f t="shared" si="12"/>
        <v>10080</v>
      </c>
    </row>
    <row r="9" spans="1:25" ht="12.6" thickBot="1">
      <c r="A9" t="s">
        <v>52</v>
      </c>
      <c r="B9" s="50">
        <v>17</v>
      </c>
      <c r="C9" s="81" t="s">
        <v>165</v>
      </c>
      <c r="D9" s="47">
        <v>60</v>
      </c>
      <c r="E9" s="91">
        <f t="shared" si="4"/>
        <v>37.448166666666665</v>
      </c>
      <c r="F9" s="94">
        <f t="shared" si="5"/>
        <v>132.16999999999999</v>
      </c>
      <c r="G9" s="73">
        <f t="shared" si="6"/>
        <v>2.202833333333333</v>
      </c>
      <c r="H9" s="46">
        <v>30</v>
      </c>
      <c r="I9" s="46">
        <v>35</v>
      </c>
      <c r="J9" s="47">
        <v>30</v>
      </c>
      <c r="K9" s="3">
        <f t="shared" si="2"/>
        <v>323</v>
      </c>
      <c r="L9" s="82">
        <v>30</v>
      </c>
      <c r="M9" s="82">
        <v>40</v>
      </c>
      <c r="N9" s="48">
        <v>37</v>
      </c>
      <c r="O9" s="44">
        <v>0.95</v>
      </c>
      <c r="P9" s="80">
        <v>85</v>
      </c>
      <c r="Q9" s="80">
        <v>90</v>
      </c>
      <c r="R9" s="44">
        <v>0.85</v>
      </c>
      <c r="S9" s="81">
        <v>10</v>
      </c>
      <c r="T9" s="93">
        <f t="shared" si="7"/>
        <v>114.9</v>
      </c>
      <c r="U9" s="93">
        <f t="shared" si="8"/>
        <v>31.1</v>
      </c>
      <c r="V9" s="84">
        <f t="shared" si="9"/>
        <v>1618328.173374613</v>
      </c>
      <c r="W9" s="26">
        <f t="shared" si="10"/>
        <v>11340</v>
      </c>
      <c r="X9" s="26">
        <f t="shared" si="11"/>
        <v>15120</v>
      </c>
      <c r="Y9" s="26">
        <f t="shared" si="12"/>
        <v>12259</v>
      </c>
    </row>
    <row r="10" spans="1:25" ht="12.6" thickBot="1">
      <c r="A10" t="s">
        <v>158</v>
      </c>
      <c r="B10" s="50">
        <v>17</v>
      </c>
      <c r="C10" s="81" t="s">
        <v>165</v>
      </c>
      <c r="D10" s="47">
        <v>60</v>
      </c>
      <c r="E10" s="91">
        <f t="shared" si="4"/>
        <v>34.008499999999998</v>
      </c>
      <c r="F10" s="94">
        <f t="shared" si="5"/>
        <v>120.03</v>
      </c>
      <c r="G10" s="73">
        <f t="shared" si="6"/>
        <v>2.0005000000000002</v>
      </c>
      <c r="H10" s="46">
        <v>23</v>
      </c>
      <c r="I10" s="46">
        <v>28</v>
      </c>
      <c r="J10" s="47">
        <v>28</v>
      </c>
      <c r="K10" s="3">
        <f t="shared" si="2"/>
        <v>301</v>
      </c>
      <c r="L10" s="82">
        <v>31</v>
      </c>
      <c r="M10" s="82">
        <v>38</v>
      </c>
      <c r="N10" s="48">
        <v>36</v>
      </c>
      <c r="O10" s="44">
        <v>0.95</v>
      </c>
      <c r="P10" s="80">
        <v>85</v>
      </c>
      <c r="Q10" s="80">
        <v>90</v>
      </c>
      <c r="R10" s="44">
        <v>0.85</v>
      </c>
      <c r="S10" s="81">
        <v>10</v>
      </c>
      <c r="T10" s="93">
        <f t="shared" si="7"/>
        <v>104.4</v>
      </c>
      <c r="U10" s="93">
        <f t="shared" si="8"/>
        <v>29</v>
      </c>
      <c r="V10" s="84">
        <f t="shared" si="9"/>
        <v>1510439.628482972</v>
      </c>
      <c r="W10" s="26">
        <f t="shared" si="10"/>
        <v>11937</v>
      </c>
      <c r="X10" s="26">
        <f t="shared" si="11"/>
        <v>14632</v>
      </c>
      <c r="Y10" s="26">
        <f t="shared" si="12"/>
        <v>12600</v>
      </c>
    </row>
    <row r="11" spans="1:25" ht="12.6" thickBot="1">
      <c r="A11" t="s">
        <v>17</v>
      </c>
      <c r="B11" s="50">
        <v>12</v>
      </c>
      <c r="C11" s="81" t="s">
        <v>165</v>
      </c>
      <c r="D11" s="224">
        <v>32</v>
      </c>
      <c r="E11" s="220">
        <f t="shared" si="4"/>
        <v>30.067500000000003</v>
      </c>
      <c r="F11" s="225">
        <f t="shared" si="5"/>
        <v>80.180000000000007</v>
      </c>
      <c r="G11" s="221">
        <f t="shared" si="6"/>
        <v>2.5056250000000002</v>
      </c>
      <c r="H11" s="46">
        <v>20</v>
      </c>
      <c r="I11" s="46">
        <v>30</v>
      </c>
      <c r="J11" s="224">
        <v>23</v>
      </c>
      <c r="K11" s="226">
        <f t="shared" si="2"/>
        <v>248</v>
      </c>
      <c r="L11" s="82">
        <v>30</v>
      </c>
      <c r="M11" s="82">
        <v>45</v>
      </c>
      <c r="N11" s="223">
        <v>31</v>
      </c>
      <c r="O11" s="44">
        <v>0.95</v>
      </c>
      <c r="P11" s="80">
        <v>85</v>
      </c>
      <c r="Q11" s="80">
        <v>90</v>
      </c>
      <c r="R11" s="44">
        <v>0.9</v>
      </c>
      <c r="S11" s="81">
        <v>10</v>
      </c>
      <c r="T11" s="93">
        <f t="shared" si="7"/>
        <v>69.7</v>
      </c>
      <c r="U11" s="93">
        <f t="shared" si="8"/>
        <v>22.5</v>
      </c>
      <c r="V11" s="84">
        <f t="shared" si="9"/>
        <v>1171789.4736842106</v>
      </c>
      <c r="W11" s="26">
        <f t="shared" si="10"/>
        <v>10080</v>
      </c>
      <c r="X11" s="26">
        <f t="shared" si="11"/>
        <v>15120</v>
      </c>
      <c r="Y11" s="26">
        <f t="shared" si="12"/>
        <v>14632</v>
      </c>
    </row>
    <row r="12" spans="1:25" ht="12.6" thickBot="1">
      <c r="A12" t="s">
        <v>61</v>
      </c>
      <c r="B12" s="50">
        <v>14.5</v>
      </c>
      <c r="C12" s="81" t="s">
        <v>165</v>
      </c>
      <c r="D12" s="224">
        <v>48</v>
      </c>
      <c r="E12" s="220">
        <f t="shared" ref="E12:E14" si="13">F12*(B12/D12)</f>
        <v>28.909375000000001</v>
      </c>
      <c r="F12" s="225">
        <f t="shared" ref="F12:F14" si="14">ROUND(((J12*N12)/(O12*R12))/10.4,2)</f>
        <v>95.7</v>
      </c>
      <c r="G12" s="221">
        <f t="shared" ref="G12:G14" si="15">SUM(F12/D12)</f>
        <v>1.9937500000000001</v>
      </c>
      <c r="H12" s="46">
        <v>22</v>
      </c>
      <c r="I12" s="46">
        <v>25</v>
      </c>
      <c r="J12" s="224">
        <v>23</v>
      </c>
      <c r="K12" s="226">
        <f t="shared" ref="K12:K14" si="16">ROUND(J12*10.7639,0)</f>
        <v>248</v>
      </c>
      <c r="L12" s="82">
        <v>30</v>
      </c>
      <c r="M12" s="82">
        <v>45</v>
      </c>
      <c r="N12" s="223">
        <v>37</v>
      </c>
      <c r="O12" s="44">
        <v>0.95</v>
      </c>
      <c r="P12" s="80">
        <v>85</v>
      </c>
      <c r="Q12" s="80">
        <v>90</v>
      </c>
      <c r="R12" s="44">
        <v>0.9</v>
      </c>
      <c r="S12" s="81">
        <v>10</v>
      </c>
      <c r="T12" s="93">
        <f t="shared" ref="T12:T28" si="17">ROUND((F12*S12)/11.5,1)</f>
        <v>83.2</v>
      </c>
      <c r="U12" s="93">
        <f t="shared" ref="U12:U28" si="18">ROUND(((T12/100)*1000)/N12,1)</f>
        <v>22.5</v>
      </c>
      <c r="V12" s="84">
        <f t="shared" ref="V12:V14" si="19">(J12*43560)/(O12*R12)</f>
        <v>1171789.4736842106</v>
      </c>
      <c r="W12" s="26">
        <f t="shared" ref="W12:W28" si="20">ROUND((1000*453.592)/M12,0)</f>
        <v>10080</v>
      </c>
      <c r="X12" s="26">
        <f t="shared" ref="X12:X28" si="21">ROUND((1000*453.592)/L12,0)</f>
        <v>15120</v>
      </c>
      <c r="Y12" s="26">
        <f t="shared" ref="Y12:Y28" si="22">ROUND((1000*453.592)/N12,0)</f>
        <v>12259</v>
      </c>
    </row>
    <row r="13" spans="1:25" ht="12.6" thickBot="1">
      <c r="A13" t="s">
        <v>54</v>
      </c>
      <c r="B13" s="50">
        <v>29.33</v>
      </c>
      <c r="C13" s="81" t="s">
        <v>165</v>
      </c>
      <c r="D13" s="224">
        <v>60</v>
      </c>
      <c r="E13" s="220">
        <f t="shared" si="13"/>
        <v>96.754781666666659</v>
      </c>
      <c r="F13" s="225">
        <f t="shared" si="14"/>
        <v>197.93</v>
      </c>
      <c r="G13" s="221">
        <f t="shared" si="15"/>
        <v>3.2988333333333335</v>
      </c>
      <c r="H13" s="46">
        <v>7</v>
      </c>
      <c r="I13" s="46">
        <v>9</v>
      </c>
      <c r="J13" s="224">
        <v>8</v>
      </c>
      <c r="K13" s="226">
        <f t="shared" si="16"/>
        <v>86</v>
      </c>
      <c r="L13" s="82">
        <v>125</v>
      </c>
      <c r="M13" s="82">
        <v>300</v>
      </c>
      <c r="N13" s="223">
        <v>220</v>
      </c>
      <c r="O13" s="44">
        <v>0.95</v>
      </c>
      <c r="P13" s="80">
        <v>85</v>
      </c>
      <c r="Q13" s="80">
        <v>90</v>
      </c>
      <c r="R13" s="44">
        <v>0.9</v>
      </c>
      <c r="S13" s="81">
        <v>10</v>
      </c>
      <c r="T13" s="93">
        <f t="shared" si="17"/>
        <v>172.1</v>
      </c>
      <c r="U13" s="93">
        <f t="shared" si="18"/>
        <v>7.8</v>
      </c>
      <c r="V13" s="84">
        <f t="shared" si="19"/>
        <v>407578.94736842107</v>
      </c>
      <c r="W13" s="26">
        <f t="shared" si="20"/>
        <v>1512</v>
      </c>
      <c r="X13" s="26">
        <f t="shared" si="21"/>
        <v>3629</v>
      </c>
      <c r="Y13" s="26">
        <f t="shared" si="22"/>
        <v>2062</v>
      </c>
    </row>
    <row r="14" spans="1:25" ht="12.6" thickBot="1">
      <c r="A14" t="s">
        <v>57</v>
      </c>
      <c r="B14" s="50">
        <v>65</v>
      </c>
      <c r="C14" s="81" t="s">
        <v>165</v>
      </c>
      <c r="D14" s="224">
        <v>56</v>
      </c>
      <c r="E14" s="220">
        <f t="shared" si="13"/>
        <v>67.878571428571433</v>
      </c>
      <c r="F14" s="225">
        <f t="shared" si="14"/>
        <v>58.48</v>
      </c>
      <c r="G14" s="221">
        <f t="shared" si="15"/>
        <v>1.0442857142857143</v>
      </c>
      <c r="H14" s="46">
        <v>28</v>
      </c>
      <c r="I14" s="46">
        <v>48</v>
      </c>
      <c r="J14" s="224">
        <v>40</v>
      </c>
      <c r="K14" s="226">
        <f t="shared" si="16"/>
        <v>431</v>
      </c>
      <c r="L14" s="82">
        <v>5</v>
      </c>
      <c r="M14" s="82">
        <v>6.5</v>
      </c>
      <c r="N14" s="223">
        <v>6.5</v>
      </c>
      <c r="O14" s="44">
        <v>0.95</v>
      </c>
      <c r="P14" s="80">
        <v>40</v>
      </c>
      <c r="Q14" s="80">
        <v>75</v>
      </c>
      <c r="R14" s="44">
        <v>0.45</v>
      </c>
      <c r="S14" s="81">
        <v>10</v>
      </c>
      <c r="T14" s="93">
        <f t="shared" si="17"/>
        <v>50.9</v>
      </c>
      <c r="U14" s="93">
        <f t="shared" si="18"/>
        <v>78.3</v>
      </c>
      <c r="V14" s="84">
        <f t="shared" si="19"/>
        <v>4075789.4736842108</v>
      </c>
      <c r="W14" s="26">
        <f t="shared" si="20"/>
        <v>69783</v>
      </c>
      <c r="X14" s="26">
        <f t="shared" si="21"/>
        <v>90718</v>
      </c>
      <c r="Y14" s="26">
        <f t="shared" si="22"/>
        <v>69783</v>
      </c>
    </row>
    <row r="15" spans="1:25" ht="12.6" thickBot="1">
      <c r="A15" t="s">
        <v>64</v>
      </c>
      <c r="B15" s="50">
        <v>2.35</v>
      </c>
      <c r="C15" s="81" t="s">
        <v>166</v>
      </c>
      <c r="D15" s="47">
        <v>1</v>
      </c>
      <c r="E15" s="91">
        <f>F15*(B15/D15)</f>
        <v>59.807499999999997</v>
      </c>
      <c r="F15" s="94">
        <f>ROUND(((J15*N15)/(O15*R15))/10.4,2)</f>
        <v>25.45</v>
      </c>
      <c r="G15" s="73">
        <f>SUM(F15/D15)</f>
        <v>25.45</v>
      </c>
      <c r="H15" s="46">
        <v>10</v>
      </c>
      <c r="I15" s="46">
        <v>12</v>
      </c>
      <c r="J15" s="47">
        <v>11</v>
      </c>
      <c r="K15" s="3">
        <f>ROUND(J15*10.7639,0)</f>
        <v>118</v>
      </c>
      <c r="L15" s="82">
        <v>13.5</v>
      </c>
      <c r="M15" s="82">
        <v>21.5</v>
      </c>
      <c r="N15" s="48">
        <v>16</v>
      </c>
      <c r="O15" s="44">
        <v>0.95</v>
      </c>
      <c r="P15" s="80">
        <v>70</v>
      </c>
      <c r="Q15" s="80">
        <v>75</v>
      </c>
      <c r="R15" s="44">
        <v>0.7</v>
      </c>
      <c r="S15" s="81">
        <v>10</v>
      </c>
      <c r="T15" s="93">
        <f>ROUND((F15*S15)/11.5,1)</f>
        <v>22.1</v>
      </c>
      <c r="U15" s="93">
        <f>ROUND(((T15/100)*1000)/N15,1)</f>
        <v>13.8</v>
      </c>
      <c r="V15" s="84">
        <f>(J15*43560)/(O15*R15)</f>
        <v>720541.35338345869</v>
      </c>
      <c r="W15" s="26">
        <f>ROUND((1000*453.592)/M15,0)</f>
        <v>21097</v>
      </c>
      <c r="X15" s="26">
        <f>ROUND((1000*453.592)/L15,0)</f>
        <v>33599</v>
      </c>
      <c r="Y15" s="26">
        <f>ROUND((1000*453.592)/N15,0)</f>
        <v>28350</v>
      </c>
    </row>
    <row r="16" spans="1:25" ht="12.6" thickBot="1">
      <c r="A16" t="s">
        <v>66</v>
      </c>
      <c r="B16" s="50">
        <v>0.3</v>
      </c>
      <c r="C16" s="81" t="s">
        <v>166</v>
      </c>
      <c r="D16" s="47">
        <v>1</v>
      </c>
      <c r="E16" s="91">
        <f>F16*(B16/D16)</f>
        <v>53.981999999999999</v>
      </c>
      <c r="F16" s="94">
        <f>ROUND(((J16*N16)/(O16*R16))/10.4,2)</f>
        <v>179.94</v>
      </c>
      <c r="G16" s="73">
        <f>SUM(F16/D16)</f>
        <v>179.94</v>
      </c>
      <c r="H16" s="46">
        <v>4</v>
      </c>
      <c r="I16" s="46">
        <v>4.3</v>
      </c>
      <c r="J16" s="47">
        <v>4</v>
      </c>
      <c r="K16" s="3">
        <f>ROUND(J16*10.7639,0)</f>
        <v>43</v>
      </c>
      <c r="L16" s="82">
        <v>350</v>
      </c>
      <c r="M16" s="82">
        <v>425</v>
      </c>
      <c r="N16" s="48">
        <v>400</v>
      </c>
      <c r="O16" s="44">
        <v>0.95</v>
      </c>
      <c r="P16" s="80">
        <v>85</v>
      </c>
      <c r="Q16" s="80">
        <v>90</v>
      </c>
      <c r="R16" s="44">
        <v>0.9</v>
      </c>
      <c r="S16" s="81">
        <v>10</v>
      </c>
      <c r="T16" s="93">
        <f>ROUND((F16*S16)/11.5,1)</f>
        <v>156.5</v>
      </c>
      <c r="U16" s="93">
        <f>ROUND(((T16/100)*1000)/N16,1)</f>
        <v>3.9</v>
      </c>
      <c r="V16" s="84">
        <f>(J16*43560)/(O16*R16)</f>
        <v>203789.47368421053</v>
      </c>
      <c r="W16" s="26">
        <f>ROUND((1000*453.592)/M16,0)</f>
        <v>1067</v>
      </c>
      <c r="X16" s="26">
        <f>ROUND((1000*453.592)/L16,0)</f>
        <v>1296</v>
      </c>
      <c r="Y16" s="26">
        <f>ROUND((1000*453.592)/N16,0)</f>
        <v>1134</v>
      </c>
    </row>
    <row r="17" spans="1:25" ht="12.6" thickBot="1">
      <c r="A17" t="s">
        <v>67</v>
      </c>
      <c r="B17" s="50">
        <v>25</v>
      </c>
      <c r="C17" s="81" t="s">
        <v>165</v>
      </c>
      <c r="D17" s="47">
        <v>48</v>
      </c>
      <c r="E17" s="91">
        <f>F17*(B17/D17)</f>
        <v>24.598958333333332</v>
      </c>
      <c r="F17" s="94">
        <f>ROUND(((J17*N17)/(O17*R17))/10.4,2)</f>
        <v>47.23</v>
      </c>
      <c r="G17" s="73">
        <f>SUM(F17/D17)</f>
        <v>0.98395833333333327</v>
      </c>
      <c r="H17" s="46">
        <v>13</v>
      </c>
      <c r="I17" s="46">
        <v>17</v>
      </c>
      <c r="J17" s="47">
        <v>14</v>
      </c>
      <c r="K17" s="3">
        <f>ROUND(J17*10.7639,0)</f>
        <v>151</v>
      </c>
      <c r="L17" s="82">
        <v>30</v>
      </c>
      <c r="M17" s="82">
        <v>30</v>
      </c>
      <c r="N17" s="48">
        <v>30</v>
      </c>
      <c r="O17" s="44">
        <v>0.95</v>
      </c>
      <c r="P17" s="80">
        <v>85</v>
      </c>
      <c r="Q17" s="80">
        <v>90</v>
      </c>
      <c r="R17" s="44">
        <v>0.9</v>
      </c>
      <c r="S17" s="81">
        <v>10</v>
      </c>
      <c r="T17" s="93">
        <f>ROUND((F17*S17)/11.5,1)</f>
        <v>41.1</v>
      </c>
      <c r="U17" s="93">
        <f>ROUND(((T17/100)*1000)/N17,1)</f>
        <v>13.7</v>
      </c>
      <c r="V17" s="84">
        <f>(J17*43560)/(O17*R17)</f>
        <v>713263.15789473685</v>
      </c>
      <c r="W17" s="26">
        <f>ROUND((1000*453.592)/M17,0)</f>
        <v>15120</v>
      </c>
      <c r="X17" s="26">
        <f>ROUND((1000*453.592)/L17,0)</f>
        <v>15120</v>
      </c>
      <c r="Y17" s="26">
        <f>ROUND((1000*453.592)/N17,0)</f>
        <v>15120</v>
      </c>
    </row>
    <row r="18" spans="1:25" ht="12.6" thickBot="1">
      <c r="A18" t="s">
        <v>68</v>
      </c>
      <c r="B18" s="50">
        <v>0.75</v>
      </c>
      <c r="C18" s="81" t="s">
        <v>166</v>
      </c>
      <c r="D18" s="47">
        <v>1</v>
      </c>
      <c r="E18" s="91">
        <f>F18*(B18/D18)</f>
        <v>33.734999999999999</v>
      </c>
      <c r="F18" s="94">
        <f>ROUND(((J18*N18)/(O18*R18))/10.4,2)</f>
        <v>44.98</v>
      </c>
      <c r="G18" s="73">
        <f>SUM(F18/D18)</f>
        <v>44.98</v>
      </c>
      <c r="H18" s="46">
        <v>40</v>
      </c>
      <c r="I18" s="46">
        <v>55</v>
      </c>
      <c r="J18" s="47">
        <v>50</v>
      </c>
      <c r="K18" s="3">
        <f>ROUND(J18*10.7639,0)</f>
        <v>538</v>
      </c>
      <c r="L18" s="82">
        <v>7</v>
      </c>
      <c r="M18" s="82">
        <v>10</v>
      </c>
      <c r="N18" s="48">
        <v>8</v>
      </c>
      <c r="O18" s="44">
        <v>0.95</v>
      </c>
      <c r="P18" s="80">
        <v>85</v>
      </c>
      <c r="Q18" s="80">
        <v>90</v>
      </c>
      <c r="R18" s="44">
        <v>0.9</v>
      </c>
      <c r="S18" s="81">
        <v>10</v>
      </c>
      <c r="T18" s="93">
        <f>ROUND((F18*S18)/11.5,1)</f>
        <v>39.1</v>
      </c>
      <c r="U18" s="93">
        <f>ROUND(((T18/100)*1000)/N18,1)</f>
        <v>48.9</v>
      </c>
      <c r="V18" s="84">
        <f>(J18*43560)/(O18*R18)</f>
        <v>2547368.4210526315</v>
      </c>
      <c r="W18" s="26">
        <f>ROUND((1000*453.592)/M18,0)</f>
        <v>45359</v>
      </c>
      <c r="X18" s="26">
        <f>ROUND((1000*453.592)/L18,0)</f>
        <v>64799</v>
      </c>
      <c r="Y18" s="26">
        <f>ROUND((1000*453.592)/N18,0)</f>
        <v>56699</v>
      </c>
    </row>
    <row r="19" spans="1:25" ht="12.6" thickBot="1">
      <c r="A19" t="s">
        <v>69</v>
      </c>
      <c r="B19" s="50">
        <v>35</v>
      </c>
      <c r="C19" s="81" t="s">
        <v>165</v>
      </c>
      <c r="D19" s="47">
        <v>60</v>
      </c>
      <c r="E19" s="91">
        <f>F19*(B19/D19)</f>
        <v>71.639166666666668</v>
      </c>
      <c r="F19" s="94">
        <f>ROUND(((J19*N19)/(O19*R19))/10.4,2)</f>
        <v>122.81</v>
      </c>
      <c r="G19" s="73">
        <f>SUM(F19/D19)</f>
        <v>2.0468333333333333</v>
      </c>
      <c r="H19" s="46">
        <v>10</v>
      </c>
      <c r="I19" s="46">
        <v>14</v>
      </c>
      <c r="J19" s="47">
        <v>14</v>
      </c>
      <c r="K19" s="3">
        <f>ROUND(J19*10.7639,0)</f>
        <v>151</v>
      </c>
      <c r="L19" s="82">
        <v>30</v>
      </c>
      <c r="M19" s="82">
        <v>80</v>
      </c>
      <c r="N19" s="48">
        <v>65</v>
      </c>
      <c r="O19" s="44">
        <v>0.95</v>
      </c>
      <c r="P19" s="80">
        <v>75</v>
      </c>
      <c r="Q19" s="80">
        <v>80</v>
      </c>
      <c r="R19" s="44">
        <v>0.75</v>
      </c>
      <c r="S19" s="81">
        <v>10</v>
      </c>
      <c r="T19" s="93">
        <f>ROUND((F19*S19)/11.5,1)</f>
        <v>106.8</v>
      </c>
      <c r="U19" s="93">
        <f>ROUND(((T19/100)*1000)/N19,1)</f>
        <v>16.399999999999999</v>
      </c>
      <c r="V19" s="84">
        <f>(J19*43560)/(O19*R19)</f>
        <v>855915.78947368427</v>
      </c>
      <c r="W19" s="26">
        <f>ROUND((1000*453.592)/M19,0)</f>
        <v>5670</v>
      </c>
      <c r="X19" s="26">
        <f>ROUND((1000*453.592)/L19,0)</f>
        <v>15120</v>
      </c>
      <c r="Y19" s="26">
        <f>ROUND((1000*453.592)/N19,0)</f>
        <v>6978</v>
      </c>
    </row>
    <row r="20" spans="1:25" ht="12.6" thickBot="1">
      <c r="A20" s="5" t="s">
        <v>186</v>
      </c>
      <c r="B20" s="50">
        <v>0</v>
      </c>
      <c r="C20" s="81" t="s">
        <v>161</v>
      </c>
      <c r="D20" s="47">
        <v>1</v>
      </c>
      <c r="E20" s="91">
        <f t="shared" ref="E20" si="23">F20*(B20/D20)</f>
        <v>0</v>
      </c>
      <c r="F20" s="73">
        <f>IF(N20=0,0,ROUND(((J20*N20)/(O20*R20))/10.4,2))</f>
        <v>0</v>
      </c>
      <c r="G20" s="73">
        <f t="shared" ref="G20" si="24">SUM(F20/D20)</f>
        <v>0</v>
      </c>
      <c r="H20" s="46">
        <v>0</v>
      </c>
      <c r="I20" s="46">
        <v>0</v>
      </c>
      <c r="J20" s="47">
        <v>0</v>
      </c>
      <c r="K20" s="218">
        <f t="shared" ref="K20" si="25">ROUND(J20*10.7639,0)</f>
        <v>0</v>
      </c>
      <c r="L20" s="82">
        <v>0</v>
      </c>
      <c r="M20" s="82">
        <v>0</v>
      </c>
      <c r="N20" s="48">
        <v>0</v>
      </c>
      <c r="O20" s="44">
        <v>0</v>
      </c>
      <c r="P20" s="80">
        <v>0</v>
      </c>
      <c r="Q20" s="80">
        <v>0</v>
      </c>
      <c r="R20" s="44">
        <v>0</v>
      </c>
      <c r="S20" s="81">
        <v>10</v>
      </c>
      <c r="T20" s="93">
        <f t="shared" ref="T20" si="26">ROUND((F20*S20)/11.5,1)</f>
        <v>0</v>
      </c>
      <c r="U20" s="93">
        <f>IF(N20=0,0,ROUND(((T20/100)*1000)/N20,1))</f>
        <v>0</v>
      </c>
      <c r="V20" s="84">
        <f>IF(J20=0,0,(J20*43560)/(O20*R20))</f>
        <v>0</v>
      </c>
      <c r="W20" s="26">
        <f>IF(M20=0,0,ROUND((1000*453.592)/M20,0))</f>
        <v>0</v>
      </c>
      <c r="X20" s="26">
        <f>IF(L20=0,0,ROUND((1000*453.592)/L20,0))</f>
        <v>0</v>
      </c>
      <c r="Y20" s="26">
        <f>IF(N20=0,0,ROUND((1000*453.592)/N20,0))</f>
        <v>0</v>
      </c>
    </row>
    <row r="21" spans="1:25" ht="12.6" thickBot="1">
      <c r="A21" t="s">
        <v>55</v>
      </c>
      <c r="B21" s="50">
        <v>82.5</v>
      </c>
      <c r="C21" s="81" t="s">
        <v>162</v>
      </c>
      <c r="D21" s="219">
        <v>1000000</v>
      </c>
      <c r="E21" s="220">
        <f>(B21*G21)</f>
        <v>66.001716000000002</v>
      </c>
      <c r="F21" s="221">
        <f>ROUND(((J21/1000)*(N21/453.6)/(O21*R21)),2)</f>
        <v>61.73</v>
      </c>
      <c r="G21" s="221">
        <f>SUM(F21/((N21/453.6)*(D21/1000)))</f>
        <v>0.80002079999999998</v>
      </c>
      <c r="H21" s="227">
        <v>800000</v>
      </c>
      <c r="I21" s="227">
        <v>800000</v>
      </c>
      <c r="J21" s="219">
        <v>684000</v>
      </c>
      <c r="K21" s="222">
        <f>ROUND((J21/43560)*10.7639,1)</f>
        <v>169</v>
      </c>
      <c r="L21" s="307">
        <v>31.75</v>
      </c>
      <c r="M21" s="307">
        <v>40.82</v>
      </c>
      <c r="N21" s="223">
        <v>35</v>
      </c>
      <c r="O21" s="44">
        <v>0.95</v>
      </c>
      <c r="P21" s="80">
        <v>85</v>
      </c>
      <c r="Q21" s="80">
        <v>90</v>
      </c>
      <c r="R21" s="44">
        <v>0.9</v>
      </c>
      <c r="S21" s="81">
        <v>10</v>
      </c>
      <c r="T21" s="93">
        <f>ROUND((F21*S21)/11.5,1)</f>
        <v>53.7</v>
      </c>
      <c r="U21" s="93">
        <f>ROUND(((T21/100)*1000)/N21,1)</f>
        <v>15.3</v>
      </c>
      <c r="V21" s="211">
        <f>(J21)/(O21*R21)</f>
        <v>800000</v>
      </c>
      <c r="W21" s="26">
        <f>ROUND((1000*453.592)/M21,0)</f>
        <v>11112</v>
      </c>
      <c r="X21" s="26">
        <f>ROUND((1000*453.592)/L21,0)</f>
        <v>14286</v>
      </c>
      <c r="Y21" s="26">
        <f>ROUND((1000*453.592)/N21,0)</f>
        <v>12960</v>
      </c>
    </row>
    <row r="22" spans="1:25" ht="12.6" thickBot="1">
      <c r="A22" t="s">
        <v>30</v>
      </c>
      <c r="B22" s="50">
        <v>67.900000000000006</v>
      </c>
      <c r="C22" s="81" t="s">
        <v>162</v>
      </c>
      <c r="D22" s="219">
        <v>140000</v>
      </c>
      <c r="E22" s="220">
        <f>(B22*G22)</f>
        <v>97.003569600000006</v>
      </c>
      <c r="F22" s="221">
        <f>ROUND(((J22/1000)*(N22/453.6)/(O22*R22)),2)</f>
        <v>66.14</v>
      </c>
      <c r="G22" s="221">
        <f>SUM(F22/((N22/453.6)*(D22/1000)))</f>
        <v>1.4286239999999999</v>
      </c>
      <c r="H22" s="227">
        <v>150000</v>
      </c>
      <c r="I22" s="227">
        <v>200000</v>
      </c>
      <c r="J22" s="219">
        <v>162000</v>
      </c>
      <c r="K22" s="222">
        <f>ROUND((J22/43560)*10.7639,1)</f>
        <v>40</v>
      </c>
      <c r="L22" s="82">
        <v>100</v>
      </c>
      <c r="M22" s="82">
        <v>200</v>
      </c>
      <c r="N22" s="223">
        <v>150</v>
      </c>
      <c r="O22" s="44">
        <v>0.9</v>
      </c>
      <c r="P22" s="80">
        <v>75</v>
      </c>
      <c r="Q22" s="80">
        <v>80</v>
      </c>
      <c r="R22" s="44">
        <v>0.9</v>
      </c>
      <c r="S22" s="81">
        <v>10</v>
      </c>
      <c r="T22" s="93">
        <f>ROUND((F22*S22)/11.5,1)</f>
        <v>57.5</v>
      </c>
      <c r="U22" s="93">
        <f>ROUND(((T22/100)*1000)/N22,1)</f>
        <v>3.8</v>
      </c>
      <c r="V22" s="211">
        <f>(J22)/(O22*R22)</f>
        <v>200000</v>
      </c>
      <c r="W22" s="26">
        <f>ROUND((1000*453.592)/M22,0)</f>
        <v>2268</v>
      </c>
      <c r="X22" s="26">
        <f>ROUND((1000*453.592)/L22,0)</f>
        <v>4536</v>
      </c>
      <c r="Y22" s="26">
        <f>ROUND((1000*453.592)/N22,0)</f>
        <v>3024</v>
      </c>
    </row>
    <row r="23" spans="1:25" ht="12.6" thickBot="1">
      <c r="A23" t="s">
        <v>70</v>
      </c>
      <c r="B23" s="50">
        <v>255</v>
      </c>
      <c r="C23" s="81" t="s">
        <v>161</v>
      </c>
      <c r="D23" s="219">
        <v>80000</v>
      </c>
      <c r="E23" s="220">
        <f>(B23*G23)</f>
        <v>101.99439000000001</v>
      </c>
      <c r="F23" s="221">
        <f>ROUND(((J23/1000)*(N23/453.6)/(O23*R23)),2)</f>
        <v>24.69</v>
      </c>
      <c r="G23" s="221">
        <f>SUM(F23/((N23/453.6)*(D23/1000)))</f>
        <v>0.39997800000000006</v>
      </c>
      <c r="H23" s="227">
        <v>30000</v>
      </c>
      <c r="I23" s="227">
        <v>36000</v>
      </c>
      <c r="J23" s="219">
        <v>31000</v>
      </c>
      <c r="K23" s="222">
        <f>ROUND((J23/43560)*10.7639,1)</f>
        <v>7.7</v>
      </c>
      <c r="L23" s="82">
        <v>204</v>
      </c>
      <c r="M23" s="82">
        <v>369</v>
      </c>
      <c r="N23" s="223">
        <v>350</v>
      </c>
      <c r="O23" s="44">
        <v>0.99</v>
      </c>
      <c r="P23" s="80">
        <v>95</v>
      </c>
      <c r="Q23" s="80">
        <v>99</v>
      </c>
      <c r="R23" s="44">
        <v>0.97850000000000004</v>
      </c>
      <c r="S23" s="81">
        <v>30</v>
      </c>
      <c r="T23" s="93">
        <f t="shared" ref="T23:T24" si="27">ROUND((F23*S23)/11.5,1)</f>
        <v>64.400000000000006</v>
      </c>
      <c r="U23" s="93">
        <f t="shared" ref="U23:U24" si="28">ROUND(((T23/100)*1000)/N23,1)</f>
        <v>1.8</v>
      </c>
      <c r="V23" s="211">
        <f>(J23)/(O23*R23)</f>
        <v>32001.156170803592</v>
      </c>
      <c r="W23" s="26">
        <f t="shared" ref="W23:W24" si="29">ROUND((1000*453.592)/M23,0)</f>
        <v>1229</v>
      </c>
      <c r="X23" s="26">
        <f t="shared" ref="X23:X24" si="30">ROUND((1000*453.592)/L23,0)</f>
        <v>2223</v>
      </c>
      <c r="Y23" s="26">
        <f t="shared" ref="Y23:Y24" si="31">ROUND((1000*453.592)/N23,0)</f>
        <v>1296</v>
      </c>
    </row>
    <row r="24" spans="1:25" ht="12.6" thickBot="1">
      <c r="A24" t="s">
        <v>71</v>
      </c>
      <c r="B24" s="50">
        <v>255</v>
      </c>
      <c r="C24" s="81" t="s">
        <v>161</v>
      </c>
      <c r="D24" s="219">
        <v>80000</v>
      </c>
      <c r="E24" s="220">
        <f>(B24*G24)</f>
        <v>89.270910000000001</v>
      </c>
      <c r="F24" s="221">
        <f>ROUND(((J24/1000)*(N24/453.6)/(O24*R24)),2)</f>
        <v>21.61</v>
      </c>
      <c r="G24" s="221">
        <f>SUM(F24/((N24/453.6)*(D24/1000)))</f>
        <v>0.350082</v>
      </c>
      <c r="H24" s="227">
        <v>26000</v>
      </c>
      <c r="I24" s="227">
        <v>32000</v>
      </c>
      <c r="J24" s="219">
        <v>27000</v>
      </c>
      <c r="K24" s="222">
        <f>ROUND((J24/43560)*10.7639,1)</f>
        <v>6.7</v>
      </c>
      <c r="L24" s="82">
        <v>204</v>
      </c>
      <c r="M24" s="82">
        <v>369</v>
      </c>
      <c r="N24" s="223">
        <v>350</v>
      </c>
      <c r="O24" s="44">
        <v>0.99</v>
      </c>
      <c r="P24" s="80">
        <v>95</v>
      </c>
      <c r="Q24" s="80">
        <v>99</v>
      </c>
      <c r="R24" s="44">
        <v>0.97399999999999998</v>
      </c>
      <c r="S24" s="81">
        <v>30</v>
      </c>
      <c r="T24" s="93">
        <f t="shared" si="27"/>
        <v>56.4</v>
      </c>
      <c r="U24" s="93">
        <f t="shared" si="28"/>
        <v>1.6</v>
      </c>
      <c r="V24" s="211">
        <f>(J24)/(O24*R24)</f>
        <v>28000.74668657831</v>
      </c>
      <c r="W24" s="26">
        <f t="shared" si="29"/>
        <v>1229</v>
      </c>
      <c r="X24" s="26">
        <f t="shared" si="30"/>
        <v>2223</v>
      </c>
      <c r="Y24" s="26">
        <f t="shared" si="31"/>
        <v>1296</v>
      </c>
    </row>
    <row r="25" spans="1:25" ht="12.6" thickBot="1">
      <c r="A25" t="s">
        <v>56</v>
      </c>
      <c r="B25" s="50">
        <v>145</v>
      </c>
      <c r="C25" s="81" t="s">
        <v>162</v>
      </c>
      <c r="D25" s="219">
        <v>100000</v>
      </c>
      <c r="E25" s="220">
        <f t="shared" ref="E25:E30" si="32">(B25*G25)</f>
        <v>116.47125</v>
      </c>
      <c r="F25" s="221">
        <f t="shared" ref="F25:F30" si="33">ROUND(((J25/1000)*(N25/453.6)/(O25*R25)),2)</f>
        <v>63.75</v>
      </c>
      <c r="G25" s="221">
        <f t="shared" ref="G25:G30" si="34">SUM(F25/((N25/453.6)*(D25/1000)))</f>
        <v>0.80325000000000002</v>
      </c>
      <c r="H25" s="227">
        <v>55000</v>
      </c>
      <c r="I25" s="227">
        <v>60000</v>
      </c>
      <c r="J25" s="219">
        <v>60000</v>
      </c>
      <c r="K25" s="222">
        <f t="shared" ref="K25:K30" si="35">ROUND((J25/43560)*10.7639,1)</f>
        <v>14.8</v>
      </c>
      <c r="L25" s="82">
        <v>320</v>
      </c>
      <c r="M25" s="82">
        <v>375</v>
      </c>
      <c r="N25" s="223">
        <v>360</v>
      </c>
      <c r="O25" s="44">
        <v>0.9</v>
      </c>
      <c r="P25" s="80">
        <v>75</v>
      </c>
      <c r="Q25" s="80">
        <v>80</v>
      </c>
      <c r="R25" s="44">
        <v>0.83</v>
      </c>
      <c r="S25" s="81">
        <v>30</v>
      </c>
      <c r="T25" s="93">
        <f t="shared" si="17"/>
        <v>166.3</v>
      </c>
      <c r="U25" s="93">
        <f t="shared" si="18"/>
        <v>4.5999999999999996</v>
      </c>
      <c r="V25" s="211">
        <f t="shared" ref="V25:V30" si="36">(J25)/(O25*R25)</f>
        <v>80321.28514056225</v>
      </c>
      <c r="W25" s="26">
        <f t="shared" si="20"/>
        <v>1210</v>
      </c>
      <c r="X25" s="26">
        <f t="shared" si="21"/>
        <v>1417</v>
      </c>
      <c r="Y25" s="26">
        <f t="shared" si="22"/>
        <v>1260</v>
      </c>
    </row>
    <row r="26" spans="1:25" ht="12.6" thickBot="1">
      <c r="A26" t="s">
        <v>58</v>
      </c>
      <c r="B26" s="50">
        <v>96</v>
      </c>
      <c r="C26" s="81" t="s">
        <v>162</v>
      </c>
      <c r="D26" s="219">
        <v>100000</v>
      </c>
      <c r="E26" s="220">
        <f t="shared" si="32"/>
        <v>105.35857919999999</v>
      </c>
      <c r="F26" s="221">
        <f t="shared" si="33"/>
        <v>48.39</v>
      </c>
      <c r="G26" s="221">
        <f t="shared" si="34"/>
        <v>1.0974851999999999</v>
      </c>
      <c r="H26" s="227">
        <v>75000</v>
      </c>
      <c r="I26" s="227">
        <v>80000</v>
      </c>
      <c r="J26" s="219">
        <v>80000</v>
      </c>
      <c r="K26" s="222">
        <f t="shared" si="35"/>
        <v>19.8</v>
      </c>
      <c r="L26" s="82">
        <v>190</v>
      </c>
      <c r="M26" s="82">
        <v>210</v>
      </c>
      <c r="N26" s="223">
        <v>200</v>
      </c>
      <c r="O26" s="44">
        <v>0.9</v>
      </c>
      <c r="P26" s="80">
        <v>75</v>
      </c>
      <c r="Q26" s="80">
        <v>80</v>
      </c>
      <c r="R26" s="44">
        <v>0.81</v>
      </c>
      <c r="S26" s="81">
        <v>30</v>
      </c>
      <c r="T26" s="93">
        <f t="shared" si="17"/>
        <v>126.2</v>
      </c>
      <c r="U26" s="93">
        <f t="shared" si="18"/>
        <v>6.3</v>
      </c>
      <c r="V26" s="211">
        <f t="shared" si="36"/>
        <v>109739.36899862824</v>
      </c>
      <c r="W26" s="26">
        <f t="shared" si="20"/>
        <v>2160</v>
      </c>
      <c r="X26" s="26">
        <f t="shared" si="21"/>
        <v>2387</v>
      </c>
      <c r="Y26" s="26">
        <f t="shared" si="22"/>
        <v>2268</v>
      </c>
    </row>
    <row r="27" spans="1:25" ht="12.6" thickBot="1">
      <c r="A27" t="s">
        <v>63</v>
      </c>
      <c r="B27" s="50">
        <v>92</v>
      </c>
      <c r="C27" s="81" t="s">
        <v>162</v>
      </c>
      <c r="D27" s="219">
        <v>100000</v>
      </c>
      <c r="E27" s="220">
        <f t="shared" si="32"/>
        <v>114.9903216</v>
      </c>
      <c r="F27" s="221">
        <f t="shared" si="33"/>
        <v>55.11</v>
      </c>
      <c r="G27" s="221">
        <f t="shared" si="34"/>
        <v>1.2498948000000001</v>
      </c>
      <c r="H27" s="227">
        <v>85000</v>
      </c>
      <c r="I27" s="227">
        <v>90000</v>
      </c>
      <c r="J27" s="219">
        <v>90000</v>
      </c>
      <c r="K27" s="222">
        <f t="shared" si="35"/>
        <v>22.2</v>
      </c>
      <c r="L27" s="82">
        <v>190</v>
      </c>
      <c r="M27" s="82">
        <v>210</v>
      </c>
      <c r="N27" s="223">
        <v>200</v>
      </c>
      <c r="O27" s="44">
        <v>0.9</v>
      </c>
      <c r="P27" s="80">
        <v>75</v>
      </c>
      <c r="Q27" s="80">
        <v>80</v>
      </c>
      <c r="R27" s="44">
        <v>0.8</v>
      </c>
      <c r="S27" s="81">
        <v>15</v>
      </c>
      <c r="T27" s="93">
        <f t="shared" si="17"/>
        <v>71.900000000000006</v>
      </c>
      <c r="U27" s="93">
        <f t="shared" si="18"/>
        <v>3.6</v>
      </c>
      <c r="V27" s="211">
        <f t="shared" si="36"/>
        <v>124999.99999999999</v>
      </c>
      <c r="W27" s="26">
        <f t="shared" si="20"/>
        <v>2160</v>
      </c>
      <c r="X27" s="26">
        <f t="shared" si="21"/>
        <v>2387</v>
      </c>
      <c r="Y27" s="26">
        <f t="shared" si="22"/>
        <v>2268</v>
      </c>
    </row>
    <row r="28" spans="1:25" ht="12.6" thickBot="1">
      <c r="A28" t="s">
        <v>65</v>
      </c>
      <c r="B28" s="50">
        <v>222</v>
      </c>
      <c r="C28" s="81" t="s">
        <v>162</v>
      </c>
      <c r="D28" s="219">
        <v>100000</v>
      </c>
      <c r="E28" s="220">
        <f t="shared" si="32"/>
        <v>167.48366943396226</v>
      </c>
      <c r="F28" s="221">
        <f t="shared" si="33"/>
        <v>88.15</v>
      </c>
      <c r="G28" s="221">
        <f t="shared" si="34"/>
        <v>0.75443094339622641</v>
      </c>
      <c r="H28" s="227">
        <v>75000</v>
      </c>
      <c r="I28" s="227">
        <v>80000</v>
      </c>
      <c r="J28" s="219">
        <v>55000</v>
      </c>
      <c r="K28" s="222">
        <f t="shared" si="35"/>
        <v>13.6</v>
      </c>
      <c r="L28" s="82">
        <v>450</v>
      </c>
      <c r="M28" s="82">
        <v>600</v>
      </c>
      <c r="N28" s="223">
        <v>530</v>
      </c>
      <c r="O28" s="44">
        <v>0.9</v>
      </c>
      <c r="P28" s="80">
        <v>75</v>
      </c>
      <c r="Q28" s="80">
        <v>80</v>
      </c>
      <c r="R28" s="44">
        <v>0.81</v>
      </c>
      <c r="S28" s="81">
        <v>30</v>
      </c>
      <c r="T28" s="93">
        <f t="shared" si="17"/>
        <v>230</v>
      </c>
      <c r="U28" s="93">
        <f t="shared" si="18"/>
        <v>4.3</v>
      </c>
      <c r="V28" s="211">
        <f t="shared" si="36"/>
        <v>75445.816186556913</v>
      </c>
      <c r="W28" s="26">
        <f t="shared" si="20"/>
        <v>756</v>
      </c>
      <c r="X28" s="26">
        <f t="shared" si="21"/>
        <v>1008</v>
      </c>
      <c r="Y28" s="26">
        <f t="shared" si="22"/>
        <v>856</v>
      </c>
    </row>
    <row r="29" spans="1:25" ht="12.6" thickBot="1">
      <c r="A29" t="s">
        <v>59</v>
      </c>
      <c r="B29" s="50">
        <v>460</v>
      </c>
      <c r="C29" s="81" t="s">
        <v>161</v>
      </c>
      <c r="D29" s="219">
        <v>200000</v>
      </c>
      <c r="E29" s="220">
        <f t="shared" si="32"/>
        <v>48.964607999999998</v>
      </c>
      <c r="F29" s="221">
        <f t="shared" si="33"/>
        <v>3.52</v>
      </c>
      <c r="G29" s="221">
        <f t="shared" si="34"/>
        <v>0.10644479999999999</v>
      </c>
      <c r="H29" s="227">
        <v>19000</v>
      </c>
      <c r="I29" s="227">
        <v>22000</v>
      </c>
      <c r="J29" s="219">
        <v>20000</v>
      </c>
      <c r="K29" s="222">
        <f t="shared" si="35"/>
        <v>4.9000000000000004</v>
      </c>
      <c r="L29" s="82">
        <v>51</v>
      </c>
      <c r="M29" s="82">
        <v>90</v>
      </c>
      <c r="N29" s="223">
        <v>75</v>
      </c>
      <c r="O29" s="44">
        <v>0.99</v>
      </c>
      <c r="P29" s="80">
        <v>95</v>
      </c>
      <c r="Q29" s="80">
        <v>99</v>
      </c>
      <c r="R29" s="44">
        <v>0.95</v>
      </c>
      <c r="S29" s="81">
        <v>30</v>
      </c>
      <c r="T29" s="93">
        <f t="shared" ref="T29:T30" si="37">ROUND((F29*S29)/11.5,1)</f>
        <v>9.1999999999999993</v>
      </c>
      <c r="U29" s="93">
        <f t="shared" ref="U29:U30" si="38">ROUND(((T29/100)*1000)/N29,1)</f>
        <v>1.2</v>
      </c>
      <c r="V29" s="211">
        <f t="shared" si="36"/>
        <v>21265.284423179161</v>
      </c>
      <c r="W29" s="26">
        <f t="shared" ref="W29:W30" si="39">ROUND((1000*453.592)/M29,0)</f>
        <v>5040</v>
      </c>
      <c r="X29" s="26">
        <f t="shared" ref="X29:X30" si="40">ROUND((1000*453.592)/L29,0)</f>
        <v>8894</v>
      </c>
      <c r="Y29" s="26">
        <f t="shared" ref="Y29:Y30" si="41">ROUND((1000*453.592)/N29,0)</f>
        <v>6048</v>
      </c>
    </row>
    <row r="30" spans="1:25" ht="12.6" thickBot="1">
      <c r="A30" t="s">
        <v>60</v>
      </c>
      <c r="B30" s="50">
        <v>560</v>
      </c>
      <c r="C30" s="81" t="s">
        <v>161</v>
      </c>
      <c r="D30" s="219">
        <v>200000</v>
      </c>
      <c r="E30" s="220">
        <f t="shared" si="32"/>
        <v>47.628</v>
      </c>
      <c r="F30" s="221">
        <f t="shared" si="33"/>
        <v>3.75</v>
      </c>
      <c r="G30" s="221">
        <f t="shared" si="34"/>
        <v>8.5050000000000001E-2</v>
      </c>
      <c r="H30" s="227">
        <v>14000</v>
      </c>
      <c r="I30" s="227">
        <v>18000</v>
      </c>
      <c r="J30" s="219">
        <v>16000</v>
      </c>
      <c r="K30" s="222">
        <f t="shared" si="35"/>
        <v>4</v>
      </c>
      <c r="L30" s="82">
        <v>91</v>
      </c>
      <c r="M30" s="82">
        <v>151</v>
      </c>
      <c r="N30" s="223">
        <v>100</v>
      </c>
      <c r="O30" s="44">
        <v>0.99</v>
      </c>
      <c r="P30" s="80">
        <v>95</v>
      </c>
      <c r="Q30" s="80">
        <v>99</v>
      </c>
      <c r="R30" s="44">
        <v>0.95</v>
      </c>
      <c r="S30" s="81">
        <v>30</v>
      </c>
      <c r="T30" s="93">
        <f t="shared" si="37"/>
        <v>9.8000000000000007</v>
      </c>
      <c r="U30" s="93">
        <f t="shared" si="38"/>
        <v>1</v>
      </c>
      <c r="V30" s="211">
        <f t="shared" si="36"/>
        <v>17012.227538543328</v>
      </c>
      <c r="W30" s="26">
        <f t="shared" si="39"/>
        <v>3004</v>
      </c>
      <c r="X30" s="26">
        <f t="shared" si="40"/>
        <v>4985</v>
      </c>
      <c r="Y30" s="26">
        <f t="shared" si="41"/>
        <v>4536</v>
      </c>
    </row>
    <row r="35" spans="1:2" ht="13.2">
      <c r="A35" s="35" t="s">
        <v>97</v>
      </c>
      <c r="B35" s="36"/>
    </row>
    <row r="36" spans="1:2" ht="13.2">
      <c r="A36" s="35" t="s">
        <v>37</v>
      </c>
      <c r="B36" s="36"/>
    </row>
    <row r="37" spans="1:2" ht="14.4">
      <c r="A37" s="39" t="s">
        <v>39</v>
      </c>
    </row>
    <row r="38" spans="1:2">
      <c r="A38" s="40" t="s">
        <v>104</v>
      </c>
      <c r="B38" s="40"/>
    </row>
  </sheetData>
  <dataValidations count="2">
    <dataValidation type="list" allowBlank="1" showInputMessage="1" showErrorMessage="1" sqref="C4:C14 C15:C30">
      <formula1>UNIT</formula1>
    </dataValidation>
    <dataValidation type="list" allowBlank="1" showInputMessage="1" showErrorMessage="1" sqref="S4:S14 S15:S30">
      <formula1>ROW</formula1>
    </dataValidation>
  </dataValidation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opLeftCell="A4" workbookViewId="0">
      <selection activeCell="A6" sqref="A6"/>
    </sheetView>
  </sheetViews>
  <sheetFormatPr defaultRowHeight="12.3"/>
  <sheetData>
    <row r="1" spans="1:3">
      <c r="A1" s="5"/>
    </row>
    <row r="2" spans="1:3">
      <c r="A2" s="5"/>
    </row>
    <row r="4" spans="1:3">
      <c r="A4" s="51" t="s">
        <v>89</v>
      </c>
      <c r="B4" s="51" t="s">
        <v>88</v>
      </c>
      <c r="C4" s="45" t="s">
        <v>116</v>
      </c>
    </row>
    <row r="5" spans="1:3">
      <c r="A5" s="25" t="s">
        <v>166</v>
      </c>
      <c r="B5" s="52">
        <v>5.5</v>
      </c>
    </row>
    <row r="6" spans="1:3">
      <c r="A6" s="25" t="s">
        <v>165</v>
      </c>
      <c r="B6" s="45">
        <f t="shared" ref="B6:B37" si="0">SUM(B5+0.5)</f>
        <v>6</v>
      </c>
    </row>
    <row r="7" spans="1:3">
      <c r="A7" s="25" t="s">
        <v>161</v>
      </c>
      <c r="B7" s="45">
        <f t="shared" si="0"/>
        <v>6.5</v>
      </c>
    </row>
    <row r="8" spans="1:3">
      <c r="A8" s="25" t="s">
        <v>162</v>
      </c>
      <c r="B8" s="45">
        <f t="shared" si="0"/>
        <v>7</v>
      </c>
    </row>
    <row r="9" spans="1:3">
      <c r="A9" s="25" t="s">
        <v>163</v>
      </c>
      <c r="B9" s="45">
        <f t="shared" si="0"/>
        <v>7.5</v>
      </c>
    </row>
    <row r="10" spans="1:3">
      <c r="A10" s="25" t="s">
        <v>164</v>
      </c>
      <c r="B10" s="45">
        <f t="shared" si="0"/>
        <v>8</v>
      </c>
    </row>
    <row r="11" spans="1:3">
      <c r="A11" s="45"/>
      <c r="B11" s="45">
        <f t="shared" si="0"/>
        <v>8.5</v>
      </c>
    </row>
    <row r="12" spans="1:3">
      <c r="B12" s="45">
        <f t="shared" si="0"/>
        <v>9</v>
      </c>
    </row>
    <row r="13" spans="1:3">
      <c r="B13" s="45">
        <f t="shared" si="0"/>
        <v>9.5</v>
      </c>
    </row>
    <row r="14" spans="1:3">
      <c r="B14" s="45">
        <f t="shared" si="0"/>
        <v>10</v>
      </c>
    </row>
    <row r="15" spans="1:3">
      <c r="B15" s="45">
        <f t="shared" si="0"/>
        <v>10.5</v>
      </c>
    </row>
    <row r="16" spans="1:3">
      <c r="B16" s="45">
        <f t="shared" si="0"/>
        <v>11</v>
      </c>
    </row>
    <row r="17" spans="2:2">
      <c r="B17" s="45">
        <f t="shared" si="0"/>
        <v>11.5</v>
      </c>
    </row>
    <row r="18" spans="2:2">
      <c r="B18" s="45">
        <f t="shared" si="0"/>
        <v>12</v>
      </c>
    </row>
    <row r="19" spans="2:2">
      <c r="B19" s="45">
        <f t="shared" si="0"/>
        <v>12.5</v>
      </c>
    </row>
    <row r="20" spans="2:2">
      <c r="B20" s="45">
        <f t="shared" si="0"/>
        <v>13</v>
      </c>
    </row>
    <row r="21" spans="2:2">
      <c r="B21" s="45">
        <f t="shared" si="0"/>
        <v>13.5</v>
      </c>
    </row>
    <row r="22" spans="2:2">
      <c r="B22" s="45">
        <f t="shared" si="0"/>
        <v>14</v>
      </c>
    </row>
    <row r="23" spans="2:2">
      <c r="B23" s="45">
        <f t="shared" si="0"/>
        <v>14.5</v>
      </c>
    </row>
    <row r="24" spans="2:2">
      <c r="B24" s="45">
        <f t="shared" si="0"/>
        <v>15</v>
      </c>
    </row>
    <row r="25" spans="2:2">
      <c r="B25" s="45">
        <f t="shared" si="0"/>
        <v>15.5</v>
      </c>
    </row>
    <row r="26" spans="2:2">
      <c r="B26" s="45">
        <f t="shared" si="0"/>
        <v>16</v>
      </c>
    </row>
    <row r="27" spans="2:2">
      <c r="B27" s="45">
        <f t="shared" si="0"/>
        <v>16.5</v>
      </c>
    </row>
    <row r="28" spans="2:2">
      <c r="B28" s="45">
        <f t="shared" si="0"/>
        <v>17</v>
      </c>
    </row>
    <row r="29" spans="2:2">
      <c r="B29" s="45">
        <f t="shared" si="0"/>
        <v>17.5</v>
      </c>
    </row>
    <row r="30" spans="2:2">
      <c r="B30" s="45">
        <f t="shared" si="0"/>
        <v>18</v>
      </c>
    </row>
    <row r="31" spans="2:2">
      <c r="B31" s="45">
        <f t="shared" si="0"/>
        <v>18.5</v>
      </c>
    </row>
    <row r="32" spans="2:2">
      <c r="B32" s="45">
        <f t="shared" si="0"/>
        <v>19</v>
      </c>
    </row>
    <row r="33" spans="2:2">
      <c r="B33" s="45">
        <f t="shared" si="0"/>
        <v>19.5</v>
      </c>
    </row>
    <row r="34" spans="2:2">
      <c r="B34" s="45">
        <f t="shared" si="0"/>
        <v>20</v>
      </c>
    </row>
    <row r="35" spans="2:2">
      <c r="B35" s="45">
        <f t="shared" si="0"/>
        <v>20.5</v>
      </c>
    </row>
    <row r="36" spans="2:2">
      <c r="B36" s="45">
        <f t="shared" si="0"/>
        <v>21</v>
      </c>
    </row>
    <row r="37" spans="2:2">
      <c r="B37" s="45">
        <f t="shared" si="0"/>
        <v>21.5</v>
      </c>
    </row>
    <row r="38" spans="2:2">
      <c r="B38" s="45">
        <f t="shared" ref="B38:B66" si="1">SUM(B37+0.5)</f>
        <v>22</v>
      </c>
    </row>
    <row r="39" spans="2:2">
      <c r="B39" s="45">
        <f t="shared" si="1"/>
        <v>22.5</v>
      </c>
    </row>
    <row r="40" spans="2:2">
      <c r="B40" s="45">
        <f t="shared" si="1"/>
        <v>23</v>
      </c>
    </row>
    <row r="41" spans="2:2">
      <c r="B41" s="45">
        <f t="shared" si="1"/>
        <v>23.5</v>
      </c>
    </row>
    <row r="42" spans="2:2">
      <c r="B42" s="45">
        <f t="shared" si="1"/>
        <v>24</v>
      </c>
    </row>
    <row r="43" spans="2:2">
      <c r="B43" s="45">
        <f t="shared" si="1"/>
        <v>24.5</v>
      </c>
    </row>
    <row r="44" spans="2:2">
      <c r="B44" s="45">
        <f t="shared" si="1"/>
        <v>25</v>
      </c>
    </row>
    <row r="45" spans="2:2">
      <c r="B45" s="45">
        <f t="shared" si="1"/>
        <v>25.5</v>
      </c>
    </row>
    <row r="46" spans="2:2">
      <c r="B46" s="45">
        <f t="shared" si="1"/>
        <v>26</v>
      </c>
    </row>
    <row r="47" spans="2:2">
      <c r="B47" s="45">
        <f t="shared" si="1"/>
        <v>26.5</v>
      </c>
    </row>
    <row r="48" spans="2:2">
      <c r="B48" s="45">
        <f t="shared" si="1"/>
        <v>27</v>
      </c>
    </row>
    <row r="49" spans="2:2">
      <c r="B49" s="45">
        <f t="shared" si="1"/>
        <v>27.5</v>
      </c>
    </row>
    <row r="50" spans="2:2">
      <c r="B50" s="45">
        <f t="shared" si="1"/>
        <v>28</v>
      </c>
    </row>
    <row r="51" spans="2:2">
      <c r="B51" s="45">
        <f t="shared" si="1"/>
        <v>28.5</v>
      </c>
    </row>
    <row r="52" spans="2:2">
      <c r="B52" s="45">
        <f t="shared" si="1"/>
        <v>29</v>
      </c>
    </row>
    <row r="53" spans="2:2">
      <c r="B53" s="45">
        <f t="shared" si="1"/>
        <v>29.5</v>
      </c>
    </row>
    <row r="54" spans="2:2">
      <c r="B54" s="45">
        <f t="shared" si="1"/>
        <v>30</v>
      </c>
    </row>
    <row r="55" spans="2:2">
      <c r="B55" s="45">
        <f t="shared" si="1"/>
        <v>30.5</v>
      </c>
    </row>
    <row r="56" spans="2:2">
      <c r="B56" s="45">
        <f t="shared" si="1"/>
        <v>31</v>
      </c>
    </row>
    <row r="57" spans="2:2">
      <c r="B57" s="45">
        <f t="shared" si="1"/>
        <v>31.5</v>
      </c>
    </row>
    <row r="58" spans="2:2">
      <c r="B58" s="45">
        <f t="shared" si="1"/>
        <v>32</v>
      </c>
    </row>
    <row r="59" spans="2:2">
      <c r="B59" s="45">
        <f t="shared" si="1"/>
        <v>32.5</v>
      </c>
    </row>
    <row r="60" spans="2:2">
      <c r="B60" s="45">
        <f t="shared" si="1"/>
        <v>33</v>
      </c>
    </row>
    <row r="61" spans="2:2">
      <c r="B61" s="45">
        <f t="shared" si="1"/>
        <v>33.5</v>
      </c>
    </row>
    <row r="62" spans="2:2">
      <c r="B62" s="45">
        <f t="shared" si="1"/>
        <v>34</v>
      </c>
    </row>
    <row r="63" spans="2:2">
      <c r="B63" s="45">
        <f t="shared" si="1"/>
        <v>34.5</v>
      </c>
    </row>
    <row r="64" spans="2:2">
      <c r="B64" s="45">
        <f t="shared" si="1"/>
        <v>35</v>
      </c>
    </row>
    <row r="65" spans="2:2">
      <c r="B65" s="45">
        <f t="shared" si="1"/>
        <v>35.5</v>
      </c>
    </row>
    <row r="66" spans="2:2">
      <c r="B66" s="45">
        <f t="shared" si="1"/>
        <v>36</v>
      </c>
    </row>
    <row r="67" spans="2:2">
      <c r="B67" s="4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workbookViewId="0">
      <selection activeCell="C40" sqref="C40"/>
    </sheetView>
  </sheetViews>
  <sheetFormatPr defaultRowHeight="12.3"/>
  <cols>
    <col min="2" max="2" width="18.83203125" bestFit="1" customWidth="1"/>
    <col min="3" max="3" width="14.83203125" bestFit="1" customWidth="1"/>
    <col min="4" max="4" width="11" customWidth="1"/>
    <col min="5" max="5" width="22.1640625" customWidth="1"/>
    <col min="6" max="6" width="15.5546875" bestFit="1" customWidth="1"/>
    <col min="7" max="7" width="12.27734375" bestFit="1" customWidth="1"/>
    <col min="8" max="8" width="13.71875" bestFit="1" customWidth="1"/>
    <col min="9" max="9" width="13.71875" customWidth="1"/>
    <col min="10" max="10" width="12" bestFit="1" customWidth="1"/>
    <col min="11" max="11" width="10.1640625" customWidth="1"/>
    <col min="12" max="12" width="10.1640625" bestFit="1" customWidth="1"/>
    <col min="13" max="13" width="11.44140625" customWidth="1"/>
    <col min="14" max="14" width="14.44140625" customWidth="1"/>
    <col min="16" max="16" width="12.44140625" customWidth="1"/>
    <col min="17" max="17" width="11.44140625" customWidth="1"/>
    <col min="20" max="20" width="12" customWidth="1"/>
  </cols>
  <sheetData>
    <row r="1" spans="1:15">
      <c r="F1" s="1"/>
      <c r="G1" s="1" t="s">
        <v>0</v>
      </c>
      <c r="H1" s="2"/>
      <c r="I1" s="2"/>
      <c r="J1" s="332"/>
      <c r="K1" s="332"/>
      <c r="N1" s="332"/>
      <c r="O1" s="332"/>
    </row>
    <row r="2" spans="1:15" s="1" customFormat="1">
      <c r="A2" s="1" t="s">
        <v>1</v>
      </c>
      <c r="B2" s="1" t="s">
        <v>2</v>
      </c>
      <c r="D2" s="332" t="s">
        <v>3</v>
      </c>
      <c r="E2" s="332"/>
      <c r="F2" s="1" t="s">
        <v>4</v>
      </c>
      <c r="G2" s="1" t="s">
        <v>5</v>
      </c>
      <c r="H2" s="1" t="s">
        <v>6</v>
      </c>
      <c r="I2" s="1" t="s">
        <v>7</v>
      </c>
      <c r="J2" s="332" t="s">
        <v>8</v>
      </c>
      <c r="K2" s="332"/>
      <c r="L2" s="332"/>
      <c r="M2" s="333"/>
      <c r="N2" s="332"/>
      <c r="O2" s="332"/>
    </row>
    <row r="3" spans="1:15" s="1" customFormat="1">
      <c r="A3" t="s">
        <v>9</v>
      </c>
      <c r="B3" t="s">
        <v>10</v>
      </c>
      <c r="C3" s="3"/>
      <c r="D3" s="4">
        <v>32</v>
      </c>
      <c r="E3" s="5" t="s">
        <v>11</v>
      </c>
      <c r="F3" s="6">
        <v>99</v>
      </c>
      <c r="G3" s="6">
        <v>15</v>
      </c>
      <c r="H3" s="7">
        <v>7.5</v>
      </c>
      <c r="I3" s="8">
        <v>39.159999999999997</v>
      </c>
      <c r="J3" s="9">
        <f>((D3*I3)/((F3/100)*(1-(G3/100))))/10.4</f>
        <v>143.18753142282551</v>
      </c>
      <c r="K3" t="s">
        <v>12</v>
      </c>
      <c r="L3"/>
      <c r="M3"/>
      <c r="N3"/>
      <c r="O3" s="5"/>
    </row>
    <row r="4" spans="1:15" s="1" customFormat="1">
      <c r="A4"/>
      <c r="B4" s="5"/>
      <c r="C4" s="3"/>
      <c r="D4" s="7" t="s">
        <v>13</v>
      </c>
      <c r="E4" s="5"/>
      <c r="F4" s="10"/>
      <c r="G4" s="11" t="s">
        <v>14</v>
      </c>
      <c r="I4" s="12"/>
      <c r="J4" s="13">
        <f>SUM(J3*H3/11.5)</f>
        <v>93.383172667060123</v>
      </c>
      <c r="K4" s="5" t="s">
        <v>15</v>
      </c>
      <c r="L4"/>
      <c r="M4"/>
      <c r="N4"/>
      <c r="O4" s="5"/>
    </row>
    <row r="5" spans="1:15">
      <c r="C5" s="3"/>
      <c r="D5" s="7"/>
      <c r="E5" s="5"/>
      <c r="F5" s="10"/>
      <c r="G5" s="10"/>
      <c r="I5" s="3"/>
      <c r="J5" s="13">
        <f>((J4/100)*1000)/I3</f>
        <v>23.846571161149164</v>
      </c>
      <c r="K5" s="5" t="s">
        <v>16</v>
      </c>
      <c r="O5" s="5"/>
    </row>
    <row r="6" spans="1:15">
      <c r="C6" s="3"/>
      <c r="D6" s="7"/>
      <c r="E6" s="5"/>
      <c r="F6" s="10"/>
      <c r="G6" s="10"/>
      <c r="I6" s="3"/>
      <c r="J6" s="13"/>
      <c r="K6" s="5"/>
      <c r="O6" s="5"/>
    </row>
    <row r="7" spans="1:15">
      <c r="A7" s="5" t="s">
        <v>17</v>
      </c>
      <c r="B7" s="5" t="s">
        <v>18</v>
      </c>
      <c r="C7" s="7"/>
      <c r="D7" s="4">
        <v>29</v>
      </c>
      <c r="E7" s="5" t="s">
        <v>11</v>
      </c>
      <c r="F7" s="14">
        <v>99</v>
      </c>
      <c r="G7" s="6">
        <v>15</v>
      </c>
      <c r="H7" s="3">
        <v>7.5</v>
      </c>
      <c r="I7" s="8">
        <v>40.299999999999997</v>
      </c>
      <c r="J7" s="9">
        <f>((D7*I7)/((F7/100)*(1-(G7/100))))/10.4</f>
        <v>133.54129530600116</v>
      </c>
      <c r="K7" t="s">
        <v>12</v>
      </c>
      <c r="N7" s="15"/>
      <c r="O7" s="5"/>
    </row>
    <row r="8" spans="1:15">
      <c r="B8" s="5"/>
      <c r="C8" s="3"/>
      <c r="D8" s="7" t="s">
        <v>19</v>
      </c>
      <c r="E8" s="5"/>
      <c r="F8" s="16"/>
      <c r="G8" s="11" t="s">
        <v>14</v>
      </c>
      <c r="I8" s="17"/>
      <c r="J8" s="13">
        <f>SUM(J7*H7/11.5)</f>
        <v>87.092149112609462</v>
      </c>
      <c r="K8" s="5" t="s">
        <v>15</v>
      </c>
      <c r="O8" s="5"/>
    </row>
    <row r="9" spans="1:15">
      <c r="D9" s="7"/>
      <c r="E9" s="5"/>
      <c r="J9" s="13">
        <f>((J8/100)*1000)/I7</f>
        <v>21.610955114791434</v>
      </c>
      <c r="K9" s="5" t="s">
        <v>16</v>
      </c>
    </row>
    <row r="10" spans="1:15">
      <c r="D10" s="3"/>
      <c r="J10" s="13"/>
    </row>
    <row r="11" spans="1:15">
      <c r="A11" s="5" t="s">
        <v>20</v>
      </c>
      <c r="B11" s="5" t="s">
        <v>21</v>
      </c>
      <c r="C11" s="7"/>
      <c r="D11" s="7">
        <v>7</v>
      </c>
      <c r="E11" s="5" t="s">
        <v>11</v>
      </c>
      <c r="F11" s="18">
        <v>99</v>
      </c>
      <c r="G11" s="19">
        <v>25</v>
      </c>
      <c r="H11" s="20">
        <v>7.5</v>
      </c>
      <c r="I11" s="21">
        <v>4.3</v>
      </c>
      <c r="J11" s="9">
        <f>((D11*I11)/((F11/100)*(1-(G11/100))))/10.4</f>
        <v>3.8979538979538981</v>
      </c>
      <c r="K11" s="5" t="s">
        <v>12</v>
      </c>
      <c r="M11" s="5"/>
      <c r="O11" s="5"/>
    </row>
    <row r="12" spans="1:15">
      <c r="A12" s="5"/>
      <c r="B12" s="5"/>
      <c r="C12" s="7"/>
      <c r="D12" s="7"/>
      <c r="E12" s="5"/>
      <c r="F12" s="18"/>
      <c r="G12" s="19"/>
      <c r="H12" s="20"/>
      <c r="I12" s="20"/>
      <c r="J12" s="13">
        <f>SUM(J11*H11/11.5)</f>
        <v>2.5421438464916726</v>
      </c>
      <c r="K12" s="5" t="s">
        <v>15</v>
      </c>
      <c r="M12" s="5"/>
      <c r="O12" s="5"/>
    </row>
    <row r="13" spans="1:15">
      <c r="A13" s="5"/>
      <c r="B13" s="5"/>
      <c r="C13" s="7"/>
      <c r="D13" s="7"/>
      <c r="E13" s="5"/>
      <c r="F13" s="18"/>
      <c r="G13" s="19"/>
      <c r="H13" s="20"/>
      <c r="I13" s="20"/>
      <c r="J13" s="180">
        <f>((J12/100)*1000)/I11</f>
        <v>5.9119624337015644</v>
      </c>
      <c r="K13" s="5" t="s">
        <v>16</v>
      </c>
      <c r="M13" s="5"/>
      <c r="O13" s="5"/>
    </row>
    <row r="14" spans="1:15">
      <c r="C14" s="7"/>
      <c r="D14" s="3">
        <v>7</v>
      </c>
      <c r="E14" s="5" t="s">
        <v>11</v>
      </c>
      <c r="F14" s="19">
        <v>99</v>
      </c>
      <c r="G14" s="19">
        <v>25</v>
      </c>
      <c r="H14" s="3">
        <v>15</v>
      </c>
      <c r="I14" s="22">
        <v>4.3</v>
      </c>
      <c r="J14" s="9">
        <f>((D14*I14)/((F14/100)*(1-(G14/100))))/10.4</f>
        <v>3.8979538979538981</v>
      </c>
      <c r="K14" s="5" t="s">
        <v>12</v>
      </c>
      <c r="O14" s="5"/>
    </row>
    <row r="15" spans="1:15">
      <c r="C15" s="7"/>
      <c r="D15" s="23" t="s">
        <v>22</v>
      </c>
      <c r="E15" s="5"/>
      <c r="F15" s="10"/>
      <c r="G15" s="11" t="s">
        <v>23</v>
      </c>
      <c r="H15" s="3"/>
      <c r="I15" s="3"/>
      <c r="J15" s="24">
        <f>SUM(J14*H14/11.5)</f>
        <v>5.0842876929833452</v>
      </c>
      <c r="K15" s="5" t="s">
        <v>15</v>
      </c>
      <c r="O15" s="5"/>
    </row>
    <row r="16" spans="1:15">
      <c r="J16" s="180">
        <f>((J15/100)*1000)/I14</f>
        <v>11.823924867403129</v>
      </c>
      <c r="K16" s="5" t="s">
        <v>16</v>
      </c>
    </row>
    <row r="17" spans="1:17">
      <c r="J17" s="17"/>
      <c r="K17" s="5"/>
    </row>
    <row r="18" spans="1:17">
      <c r="J18" s="9">
        <f>((D19*I19)/((F19/100)*(1-(G19/100))))/10.4</f>
        <v>47.11782572745139</v>
      </c>
      <c r="K18" s="5" t="s">
        <v>12</v>
      </c>
      <c r="L18" s="25" t="s">
        <v>24</v>
      </c>
    </row>
    <row r="19" spans="1:17">
      <c r="A19" t="s">
        <v>25</v>
      </c>
      <c r="B19" t="s">
        <v>26</v>
      </c>
      <c r="C19" s="26">
        <v>80000</v>
      </c>
      <c r="D19" s="27">
        <f>C19/43560</f>
        <v>1.8365472910927456</v>
      </c>
      <c r="E19" s="5" t="s">
        <v>11</v>
      </c>
      <c r="F19" s="19">
        <v>90</v>
      </c>
      <c r="G19" s="19">
        <v>15</v>
      </c>
      <c r="H19" s="3">
        <v>30</v>
      </c>
      <c r="I19" s="8">
        <f>0.45*B36</f>
        <v>204.1164</v>
      </c>
      <c r="J19" s="28">
        <f>((J20*I19)/1000)/B36</f>
        <v>47.058823529411761</v>
      </c>
      <c r="K19" s="5" t="s">
        <v>12</v>
      </c>
      <c r="L19" s="5"/>
    </row>
    <row r="20" spans="1:17">
      <c r="C20" s="26"/>
      <c r="D20" s="7" t="s">
        <v>27</v>
      </c>
      <c r="E20" s="5"/>
      <c r="G20" s="11" t="s">
        <v>14</v>
      </c>
      <c r="H20" s="3"/>
      <c r="J20" s="29">
        <f>((C19)/((F19/100)*(1-(G19/100))))</f>
        <v>104575.16339869281</v>
      </c>
      <c r="K20" s="5" t="s">
        <v>28</v>
      </c>
    </row>
    <row r="21" spans="1:17">
      <c r="C21" s="30"/>
      <c r="D21" s="3"/>
      <c r="J21">
        <v>2140</v>
      </c>
      <c r="K21" s="5" t="s">
        <v>29</v>
      </c>
      <c r="L21" s="31"/>
      <c r="M21" s="31"/>
      <c r="O21" s="32"/>
    </row>
    <row r="22" spans="1:17">
      <c r="A22" s="5" t="s">
        <v>30</v>
      </c>
      <c r="B22" s="5" t="s">
        <v>31</v>
      </c>
      <c r="C22" s="26">
        <v>160000</v>
      </c>
      <c r="D22" s="27">
        <f>C22/43560</f>
        <v>3.6730945821854912</v>
      </c>
      <c r="E22" s="5" t="s">
        <v>11</v>
      </c>
      <c r="F22" s="19">
        <v>82</v>
      </c>
      <c r="G22" s="19">
        <v>20</v>
      </c>
      <c r="H22" s="7">
        <v>15</v>
      </c>
      <c r="I22" s="7">
        <v>111.57</v>
      </c>
      <c r="J22" s="9">
        <f>((D22*I22)/((F22/100)*(1-(G22/100))))/10.4</f>
        <v>60.067888504695595</v>
      </c>
      <c r="K22" s="5" t="s">
        <v>12</v>
      </c>
    </row>
    <row r="23" spans="1:17">
      <c r="A23" s="5"/>
      <c r="B23" s="5"/>
      <c r="C23" s="30"/>
      <c r="D23" s="27"/>
      <c r="E23" s="5"/>
      <c r="F23" s="19"/>
      <c r="G23" s="19"/>
      <c r="H23" s="7"/>
      <c r="I23" s="7"/>
      <c r="J23" s="13">
        <f>SUM(J22*H22/11.5)</f>
        <v>78.349419788733385</v>
      </c>
      <c r="K23" s="5" t="s">
        <v>15</v>
      </c>
    </row>
    <row r="24" spans="1:17">
      <c r="A24" s="5"/>
      <c r="B24" s="5"/>
      <c r="C24" s="30"/>
      <c r="D24" s="27"/>
      <c r="E24" s="5"/>
      <c r="F24" s="19"/>
      <c r="G24" s="19"/>
      <c r="H24" s="7"/>
      <c r="I24" s="7"/>
      <c r="J24" s="13">
        <f>((J23/100)*1000)/I22</f>
        <v>7.0224450827940652</v>
      </c>
      <c r="K24" s="5" t="s">
        <v>16</v>
      </c>
    </row>
    <row r="25" spans="1:17">
      <c r="A25" s="5"/>
      <c r="B25" s="5"/>
      <c r="C25" s="30"/>
      <c r="D25" s="27"/>
      <c r="E25" s="5"/>
      <c r="F25" s="19"/>
      <c r="G25" s="19"/>
      <c r="H25" s="7"/>
      <c r="I25" s="7"/>
      <c r="J25" s="33">
        <v>4122</v>
      </c>
      <c r="K25" s="5" t="s">
        <v>29</v>
      </c>
    </row>
    <row r="26" spans="1:17">
      <c r="C26" s="26">
        <v>160000</v>
      </c>
      <c r="D26" s="27">
        <f>C26/43560</f>
        <v>3.6730945821854912</v>
      </c>
      <c r="E26" s="5" t="s">
        <v>11</v>
      </c>
      <c r="F26" s="19">
        <v>92</v>
      </c>
      <c r="G26" s="19">
        <v>20</v>
      </c>
      <c r="H26" s="3">
        <v>7.5</v>
      </c>
      <c r="I26" s="3">
        <v>111.57</v>
      </c>
      <c r="J26" s="9">
        <f>((D26*I26)/((F26/100)*(1-(G26/100))))/10.4</f>
        <v>53.538770188967803</v>
      </c>
      <c r="K26" s="5" t="s">
        <v>12</v>
      </c>
    </row>
    <row r="27" spans="1:17">
      <c r="D27" s="7" t="s">
        <v>32</v>
      </c>
      <c r="E27" s="5"/>
      <c r="F27" s="10"/>
      <c r="G27" s="11" t="s">
        <v>33</v>
      </c>
      <c r="H27" s="3"/>
      <c r="I27" s="3"/>
      <c r="J27" s="13">
        <f>SUM(J26*H26/11.5)</f>
        <v>34.916589253674658</v>
      </c>
      <c r="K27" s="5" t="s">
        <v>15</v>
      </c>
    </row>
    <row r="28" spans="1:17">
      <c r="E28" s="5"/>
      <c r="F28" s="10"/>
      <c r="G28" s="10"/>
      <c r="H28" s="3"/>
      <c r="I28" s="3"/>
      <c r="J28" s="13">
        <f>((J27/100)*1000)/I26</f>
        <v>3.1295679173321376</v>
      </c>
      <c r="K28" s="5" t="s">
        <v>16</v>
      </c>
    </row>
    <row r="29" spans="1:17">
      <c r="E29" s="5"/>
      <c r="F29" s="10"/>
      <c r="G29" s="10"/>
      <c r="H29" s="3"/>
      <c r="I29" s="3"/>
      <c r="J29" s="33">
        <v>4122</v>
      </c>
      <c r="K29" s="5" t="s">
        <v>29</v>
      </c>
    </row>
    <row r="30" spans="1:17">
      <c r="E30" s="5"/>
      <c r="F30" s="10"/>
      <c r="G30" s="10"/>
      <c r="H30" s="3"/>
      <c r="I30" s="3"/>
      <c r="J30" s="34"/>
      <c r="K30" s="5"/>
    </row>
    <row r="31" spans="1:17" ht="13.2">
      <c r="A31" s="5" t="s">
        <v>34</v>
      </c>
      <c r="F31" s="35" t="s">
        <v>35</v>
      </c>
      <c r="G31" s="36"/>
      <c r="H31" s="37"/>
      <c r="I31" s="37"/>
      <c r="J31" s="38"/>
      <c r="K31" s="38"/>
      <c r="L31" s="38"/>
      <c r="O31" s="31"/>
      <c r="P31" s="31"/>
      <c r="Q31" s="32"/>
    </row>
    <row r="32" spans="1:17" ht="13.2">
      <c r="A32" t="s">
        <v>36</v>
      </c>
      <c r="F32" s="35" t="s">
        <v>37</v>
      </c>
      <c r="G32" s="36"/>
      <c r="H32" s="37"/>
      <c r="I32" s="37"/>
      <c r="J32" s="38"/>
      <c r="K32" s="38"/>
      <c r="L32" s="38"/>
    </row>
    <row r="33" spans="1:15" ht="14.4">
      <c r="A33" t="s">
        <v>38</v>
      </c>
      <c r="F33" s="39" t="s">
        <v>39</v>
      </c>
    </row>
    <row r="34" spans="1:15">
      <c r="F34" s="40" t="s">
        <v>28</v>
      </c>
      <c r="G34" s="40" t="s">
        <v>40</v>
      </c>
      <c r="H34" s="41"/>
      <c r="I34" s="41"/>
    </row>
    <row r="35" spans="1:15">
      <c r="A35" s="5" t="s">
        <v>41</v>
      </c>
      <c r="B35">
        <v>43560</v>
      </c>
      <c r="C35" s="5" t="s">
        <v>42</v>
      </c>
      <c r="F35" s="42" t="s">
        <v>43</v>
      </c>
      <c r="G35" s="36"/>
      <c r="H35" s="37"/>
      <c r="I35" s="37"/>
      <c r="J35" s="38"/>
      <c r="K35" s="38"/>
      <c r="L35" s="38"/>
      <c r="O35" s="31"/>
    </row>
    <row r="36" spans="1:15">
      <c r="A36" t="s">
        <v>44</v>
      </c>
      <c r="B36">
        <v>453.59199999999998</v>
      </c>
      <c r="C36" t="s">
        <v>45</v>
      </c>
      <c r="F36" s="36"/>
      <c r="G36" s="36"/>
      <c r="H36" s="37"/>
      <c r="I36" s="37"/>
      <c r="J36" s="38"/>
      <c r="K36" s="38"/>
      <c r="L36" s="38"/>
      <c r="O36" s="31"/>
    </row>
    <row r="37" spans="1:15">
      <c r="F37" s="36"/>
      <c r="G37" s="36"/>
      <c r="H37" s="37"/>
      <c r="I37" s="37"/>
      <c r="J37" s="38"/>
      <c r="K37" s="38"/>
      <c r="L37" s="38"/>
      <c r="O37" s="31"/>
    </row>
    <row r="38" spans="1:15">
      <c r="A38" s="5" t="s">
        <v>46</v>
      </c>
    </row>
    <row r="39" spans="1:15">
      <c r="B39" s="5" t="s">
        <v>47</v>
      </c>
    </row>
    <row r="40" spans="1:15">
      <c r="B40" s="5" t="s">
        <v>48</v>
      </c>
      <c r="I40" s="5"/>
    </row>
    <row r="41" spans="1:15">
      <c r="B41" s="5" t="s">
        <v>49</v>
      </c>
    </row>
    <row r="42" spans="1:15">
      <c r="A42" s="5" t="s">
        <v>50</v>
      </c>
    </row>
  </sheetData>
  <mergeCells count="6">
    <mergeCell ref="J1:K1"/>
    <mergeCell ref="N1:O1"/>
    <mergeCell ref="D2:E2"/>
    <mergeCell ref="J2:K2"/>
    <mergeCell ref="L2:M2"/>
    <mergeCell ref="N2:O2"/>
  </mergeCells>
  <hyperlinks>
    <hyperlink ref="F35" r:id="rId1"/>
  </hyperlinks>
  <printOptions gridLines="1"/>
  <pageMargins left="0.70866141732283472" right="0.70866141732283472" top="0.74803149606299213" bottom="0.74803149606299213" header="0.31496062992125984" footer="0.31496062992125984"/>
  <pageSetup scale="66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3257931C4EB4CBE667AF33D71167E" ma:contentTypeVersion="2" ma:contentTypeDescription="Create a new document." ma:contentTypeScope="" ma:versionID="1197d8e5ed8c6a85b84629ab3741277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0f2c1f4aa3015e86d18ff497e300d7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001C42E-AD73-4E99-ABF9-0B194E2AFF79}"/>
</file>

<file path=customXml/itemProps2.xml><?xml version="1.0" encoding="utf-8"?>
<ds:datastoreItem xmlns:ds="http://schemas.openxmlformats.org/officeDocument/2006/customXml" ds:itemID="{44EF8EB3-BD3D-4075-A697-835C7F4673F6}"/>
</file>

<file path=customXml/itemProps3.xml><?xml version="1.0" encoding="utf-8"?>
<ds:datastoreItem xmlns:ds="http://schemas.openxmlformats.org/officeDocument/2006/customXml" ds:itemID="{E1D49E1D-8C07-4B0B-B6FF-2B4C9CF5FE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Seed Calculator</vt:lpstr>
      <vt:lpstr>Small Grains</vt:lpstr>
      <vt:lpstr>Speciality Crop</vt:lpstr>
      <vt:lpstr>DATA (hide)</vt:lpstr>
      <vt:lpstr>names (hide)</vt:lpstr>
      <vt:lpstr>Seeding Rates DV (hide)</vt:lpstr>
      <vt:lpstr>Other</vt:lpstr>
      <vt:lpstr>'Seed Calculator'!Print_Area</vt:lpstr>
      <vt:lpstr>'Small Grains'!Print_Area</vt:lpstr>
      <vt:lpstr>'Speciality Crop'!Print_Area</vt:lpstr>
      <vt:lpstr>ROW</vt:lpstr>
      <vt:lpstr>smallgrain</vt:lpstr>
      <vt:lpstr>UNIT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Specialty Crop - Seeding Rate &amp; Cost Calculator</dc:title>
  <dc:creator>Roy Arnott</dc:creator>
  <cp:lastModifiedBy>Arnott, Roy (ARD)</cp:lastModifiedBy>
  <cp:lastPrinted>2021-12-16T19:46:40Z</cp:lastPrinted>
  <dcterms:created xsi:type="dcterms:W3CDTF">2021-11-02T14:13:29Z</dcterms:created>
  <dcterms:modified xsi:type="dcterms:W3CDTF">2022-11-28T16:05:50Z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0x01010007C3257931C4EB4CBE667AF33D71167E</vt:lpwstr>
  </property>
</Properties>
</file>