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P:\D03\Farm Management\Production Economics\COP Livestock\COP Bison\2022 Draft\"/>
    </mc:Choice>
  </mc:AlternateContent>
  <workbookProtection workbookPassword="C6A6" lockStructure="1"/>
  <bookViews>
    <workbookView xWindow="0" yWindow="0" windowWidth="9330" windowHeight="4575"/>
  </bookViews>
  <sheets>
    <sheet name="Introduction" sheetId="5" r:id="rId1"/>
    <sheet name="Summary" sheetId="2" r:id="rId2"/>
    <sheet name="Risk Analysis" sheetId="8" r:id="rId3"/>
    <sheet name="Input" sheetId="1" r:id="rId4"/>
    <sheet name="Details" sheetId="3" r:id="rId5"/>
    <sheet name="Breakeven" sheetId="6" r:id="rId6"/>
  </sheets>
  <definedNames>
    <definedName name="\A" localSheetId="2">#REF!</definedName>
    <definedName name="\A">#N/A</definedName>
    <definedName name="\B" localSheetId="2">#REF!</definedName>
    <definedName name="\B">#REF!</definedName>
    <definedName name="\C" localSheetId="2">#REF!</definedName>
    <definedName name="\C">#N/A</definedName>
    <definedName name="\D" localSheetId="2">#REF!</definedName>
    <definedName name="\D">#N/A</definedName>
    <definedName name="\E" localSheetId="2">#REF!</definedName>
    <definedName name="\E">#REF!</definedName>
    <definedName name="\F" localSheetId="2">#REF!</definedName>
    <definedName name="\F">#REF!</definedName>
    <definedName name="\H" localSheetId="2">#REF!</definedName>
    <definedName name="\H">#N/A</definedName>
    <definedName name="\I" localSheetId="2">#REF!</definedName>
    <definedName name="\I">#N/A</definedName>
    <definedName name="\K">#N/A</definedName>
    <definedName name="\L" localSheetId="2">#REF!</definedName>
    <definedName name="\L">#REF!</definedName>
    <definedName name="\N" localSheetId="2">#REF!</definedName>
    <definedName name="\N">#N/A</definedName>
    <definedName name="\O" localSheetId="2">#REF!</definedName>
    <definedName name="\O">#REF!</definedName>
    <definedName name="\P">#N/A</definedName>
    <definedName name="\R" localSheetId="2">#REF!</definedName>
    <definedName name="\R">#REF!</definedName>
    <definedName name="\S" localSheetId="2">#REF!</definedName>
    <definedName name="\S">#N/A</definedName>
    <definedName name="\T" localSheetId="2">#REF!</definedName>
    <definedName name="\T">#REF!</definedName>
    <definedName name="\U" localSheetId="2">#REF!</definedName>
    <definedName name="\U">#REF!</definedName>
    <definedName name="\W" localSheetId="2">#REF!</definedName>
    <definedName name="\W">#N/A</definedName>
    <definedName name="\X">#N/A</definedName>
    <definedName name="\Y" localSheetId="2">#REF!</definedName>
    <definedName name="\Y">#REF!</definedName>
    <definedName name="ALL">#N/A</definedName>
    <definedName name="_xlnm.Print_Area" localSheetId="3">Input!$A$1:$H$133</definedName>
    <definedName name="_xlnm.Print_Area" localSheetId="0">Introduction!$B$1:$K$48</definedName>
    <definedName name="_xlnm.Print_Titles" localSheetId="4">Details!$21:$21</definedName>
  </definedNames>
  <calcPr calcId="162913"/>
</workbook>
</file>

<file path=xl/calcChain.xml><?xml version="1.0" encoding="utf-8"?>
<calcChain xmlns="http://schemas.openxmlformats.org/spreadsheetml/2006/main">
  <c r="F45" i="6" l="1"/>
  <c r="F33" i="6"/>
  <c r="F29" i="6"/>
  <c r="F41" i="6"/>
  <c r="F37" i="6"/>
  <c r="A45" i="8"/>
  <c r="C38" i="8"/>
  <c r="E39" i="8"/>
  <c r="G39" i="8"/>
  <c r="A25" i="8"/>
  <c r="C12" i="8"/>
  <c r="C21" i="8"/>
  <c r="C28" i="8" s="1"/>
  <c r="D16" i="1"/>
  <c r="E228" i="3"/>
  <c r="H202" i="3"/>
  <c r="E163" i="3"/>
  <c r="E161" i="3"/>
  <c r="E159" i="3"/>
  <c r="E71" i="1"/>
  <c r="E125" i="3"/>
  <c r="E127" i="3"/>
  <c r="E121" i="3"/>
  <c r="E115" i="3"/>
  <c r="E119" i="3"/>
  <c r="E112" i="3"/>
  <c r="E111" i="3"/>
  <c r="E108" i="3"/>
  <c r="E58" i="2"/>
  <c r="E51" i="2"/>
  <c r="C51" i="2"/>
  <c r="A44" i="2"/>
  <c r="F49" i="6"/>
  <c r="F56" i="6"/>
  <c r="F46" i="6"/>
  <c r="F47" i="6" s="1"/>
  <c r="E26" i="1"/>
  <c r="E25" i="1"/>
  <c r="A2" i="2"/>
  <c r="A1" i="2"/>
  <c r="A8" i="5"/>
  <c r="A7" i="5"/>
  <c r="E31" i="3"/>
  <c r="E49" i="3"/>
  <c r="E51" i="3" s="1"/>
  <c r="E57" i="3" s="1"/>
  <c r="C8" i="2" s="1"/>
  <c r="E8" i="2" s="1"/>
  <c r="E229" i="3"/>
  <c r="E231" i="3"/>
  <c r="E232" i="3" s="1"/>
  <c r="C29" i="2" s="1"/>
  <c r="E29" i="2" s="1"/>
  <c r="E230" i="3"/>
  <c r="E223" i="3"/>
  <c r="D122" i="1"/>
  <c r="E222" i="3" s="1"/>
  <c r="E30" i="3"/>
  <c r="E45" i="3"/>
  <c r="E43" i="3"/>
  <c r="E36" i="3"/>
  <c r="E35" i="3"/>
  <c r="E26" i="3"/>
  <c r="E25" i="3"/>
  <c r="B5" i="3"/>
  <c r="B9" i="3"/>
  <c r="E151" i="3"/>
  <c r="B18" i="3"/>
  <c r="E17" i="1"/>
  <c r="E183" i="3" s="1"/>
  <c r="E81" i="3"/>
  <c r="E82" i="3" s="1"/>
  <c r="C13" i="2" s="1"/>
  <c r="E13" i="2" s="1"/>
  <c r="E80" i="3"/>
  <c r="E54" i="3"/>
  <c r="E53" i="3"/>
  <c r="E55" i="3" s="1"/>
  <c r="E50" i="3"/>
  <c r="H190" i="3"/>
  <c r="H195" i="3" s="1"/>
  <c r="H191" i="3"/>
  <c r="H192" i="3"/>
  <c r="H193" i="3"/>
  <c r="H194" i="3"/>
  <c r="H198" i="3"/>
  <c r="H199" i="3"/>
  <c r="H203" i="3" s="1"/>
  <c r="E118" i="3" s="1"/>
  <c r="E120" i="3" s="1"/>
  <c r="E122" i="3" s="1"/>
  <c r="H200" i="3"/>
  <c r="H201" i="3"/>
  <c r="E138" i="3"/>
  <c r="E139" i="3"/>
  <c r="E140" i="3"/>
  <c r="E141" i="3" s="1"/>
  <c r="C17" i="2" s="1"/>
  <c r="E62" i="3"/>
  <c r="E65" i="3" s="1"/>
  <c r="E72" i="3" s="1"/>
  <c r="C11" i="2" s="1"/>
  <c r="E63" i="3"/>
  <c r="E67" i="3"/>
  <c r="E70" i="3" s="1"/>
  <c r="E68" i="3"/>
  <c r="E69" i="3"/>
  <c r="E216" i="3"/>
  <c r="B11" i="3"/>
  <c r="A2" i="3"/>
  <c r="E75" i="3"/>
  <c r="E77" i="3" s="1"/>
  <c r="C12" i="2" s="1"/>
  <c r="E12" i="2" s="1"/>
  <c r="E76" i="3"/>
  <c r="E86" i="3"/>
  <c r="E87" i="3"/>
  <c r="E88" i="3"/>
  <c r="E92" i="3"/>
  <c r="E93" i="3"/>
  <c r="E94" i="3"/>
  <c r="E98" i="3"/>
  <c r="E99" i="3"/>
  <c r="E100" i="3"/>
  <c r="E102" i="3" s="1"/>
  <c r="E101" i="3"/>
  <c r="E134" i="3"/>
  <c r="E145" i="3"/>
  <c r="E148" i="3" s="1"/>
  <c r="E147" i="3"/>
  <c r="E150" i="3"/>
  <c r="E153" i="3" s="1"/>
  <c r="E167" i="3"/>
  <c r="E168" i="3"/>
  <c r="E176" i="3"/>
  <c r="E180" i="3"/>
  <c r="E182" i="3"/>
  <c r="E217" i="3"/>
  <c r="E224" i="3"/>
  <c r="E241" i="3"/>
  <c r="E242" i="3"/>
  <c r="E249" i="3"/>
  <c r="E250" i="3"/>
  <c r="E253" i="3"/>
  <c r="E254" i="3"/>
  <c r="E247" i="3"/>
  <c r="D116" i="1"/>
  <c r="E238" i="3"/>
  <c r="E243" i="3" s="1"/>
  <c r="C31" i="2" s="1"/>
  <c r="E31" i="2" s="1"/>
  <c r="E214" i="3"/>
  <c r="E218" i="3" s="1"/>
  <c r="C27" i="2" s="1"/>
  <c r="E169" i="3"/>
  <c r="C20" i="2"/>
  <c r="E20" i="2" s="1"/>
  <c r="F10" i="6"/>
  <c r="F15" i="6"/>
  <c r="F5" i="6"/>
  <c r="E239" i="3"/>
  <c r="E89" i="3"/>
  <c r="D128" i="1"/>
  <c r="F20" i="6"/>
  <c r="F25" i="6"/>
  <c r="E255" i="3"/>
  <c r="C37" i="2"/>
  <c r="C8" i="8" s="1"/>
  <c r="E95" i="3"/>
  <c r="F63" i="6"/>
  <c r="F70" i="6"/>
  <c r="F52" i="6"/>
  <c r="F59" i="6"/>
  <c r="F66" i="6"/>
  <c r="E144" i="3"/>
  <c r="E215" i="3"/>
  <c r="C39" i="8"/>
  <c r="F39" i="8"/>
  <c r="D39" i="8"/>
  <c r="E37" i="2"/>
  <c r="F53" i="6"/>
  <c r="F60" i="6"/>
  <c r="F61" i="6"/>
  <c r="F67" i="6"/>
  <c r="F68" i="6"/>
  <c r="E27" i="2" l="1"/>
  <c r="C4" i="8"/>
  <c r="C23" i="8" s="1"/>
  <c r="F24" i="6"/>
  <c r="E172" i="3"/>
  <c r="F14" i="6"/>
  <c r="F19" i="6"/>
  <c r="F9" i="6"/>
  <c r="E11" i="2"/>
  <c r="H205" i="3"/>
  <c r="E124" i="3"/>
  <c r="E126" i="3" s="1"/>
  <c r="E128" i="3" s="1"/>
  <c r="E17" i="2"/>
  <c r="E174" i="3"/>
  <c r="E104" i="3"/>
  <c r="C14" i="2" s="1"/>
  <c r="E14" i="2" s="1"/>
  <c r="E155" i="3"/>
  <c r="C18" i="2" s="1"/>
  <c r="E18" i="2" s="1"/>
  <c r="C44" i="2"/>
  <c r="F54" i="6"/>
  <c r="E221" i="3"/>
  <c r="E19" i="1"/>
  <c r="B13" i="3"/>
  <c r="E42" i="3" l="1"/>
  <c r="E44" i="3" s="1"/>
  <c r="E46" i="3" s="1"/>
  <c r="C7" i="2" s="1"/>
  <c r="E7" i="2" s="1"/>
  <c r="E158" i="3"/>
  <c r="E160" i="3" s="1"/>
  <c r="E164" i="3" s="1"/>
  <c r="C19" i="2" s="1"/>
  <c r="E19" i="2" s="1"/>
  <c r="E24" i="3"/>
  <c r="E27" i="3" s="1"/>
  <c r="E72" i="1"/>
  <c r="E73" i="1" s="1"/>
  <c r="E133" i="3" s="1"/>
  <c r="E135" i="3" s="1"/>
  <c r="C16" i="2" s="1"/>
  <c r="E16" i="2" s="1"/>
  <c r="E113" i="3"/>
  <c r="E29" i="3"/>
  <c r="E32" i="3" s="1"/>
  <c r="E34" i="3"/>
  <c r="E37" i="3" s="1"/>
  <c r="E225" i="3"/>
  <c r="C28" i="2" s="1"/>
  <c r="E246" i="3"/>
  <c r="E251" i="3" s="1"/>
  <c r="C32" i="2" s="1"/>
  <c r="E32" i="2" s="1"/>
  <c r="E44" i="2"/>
  <c r="E28" i="2" l="1"/>
  <c r="E33" i="2" s="1"/>
  <c r="C33" i="2"/>
  <c r="C7" i="8" s="1"/>
  <c r="E39" i="3"/>
  <c r="C6" i="2" s="1"/>
  <c r="E114" i="3"/>
  <c r="E116" i="3" s="1"/>
  <c r="E130" i="3" s="1"/>
  <c r="C15" i="2" s="1"/>
  <c r="E15" i="2" s="1"/>
  <c r="C9" i="2" l="1"/>
  <c r="E6" i="2"/>
  <c r="E9" i="2" s="1"/>
  <c r="F4" i="6"/>
  <c r="F6" i="6" s="1"/>
  <c r="C59" i="2" s="1"/>
  <c r="C3" i="8" l="1"/>
  <c r="E21" i="1"/>
  <c r="E181" i="3"/>
  <c r="E185" i="3" s="1"/>
  <c r="C23" i="2" s="1"/>
  <c r="E23" i="2" s="1"/>
  <c r="E173" i="3"/>
  <c r="E177" i="3" s="1"/>
  <c r="C21" i="2" s="1"/>
  <c r="E21" i="2" s="1"/>
  <c r="E22" i="2" s="1"/>
  <c r="E24" i="2" s="1"/>
  <c r="E35" i="2" s="1"/>
  <c r="E39" i="2" s="1"/>
  <c r="E59" i="2"/>
  <c r="C22" i="2" l="1"/>
  <c r="C24" i="2" s="1"/>
  <c r="E23" i="1"/>
  <c r="E22" i="1"/>
  <c r="C22" i="8"/>
  <c r="C41" i="8" l="1"/>
  <c r="F32" i="6"/>
  <c r="F34" i="6" s="1"/>
  <c r="E53" i="2" s="1"/>
  <c r="E41" i="8"/>
  <c r="F8" i="6"/>
  <c r="F11" i="6" s="1"/>
  <c r="C60" i="2" s="1"/>
  <c r="C5" i="8"/>
  <c r="C46" i="2"/>
  <c r="G41" i="8"/>
  <c r="C35" i="2"/>
  <c r="F42" i="8"/>
  <c r="F55" i="6"/>
  <c r="F57" i="6" s="1"/>
  <c r="C53" i="2" s="1"/>
  <c r="F41" i="8"/>
  <c r="G42" i="8"/>
  <c r="C42" i="8"/>
  <c r="F48" i="6"/>
  <c r="F50" i="6" s="1"/>
  <c r="C52" i="2" s="1"/>
  <c r="F13" i="6"/>
  <c r="F16" i="6" s="1"/>
  <c r="C61" i="2" s="1"/>
  <c r="F28" i="6"/>
  <c r="F30" i="6" s="1"/>
  <c r="E52" i="2" s="1"/>
  <c r="E42" i="8"/>
  <c r="E61" i="2"/>
  <c r="D42" i="8"/>
  <c r="D41" i="8"/>
  <c r="E60" i="2"/>
  <c r="C39" i="2" l="1"/>
  <c r="F36" i="6"/>
  <c r="F38" i="6" s="1"/>
  <c r="E54" i="2" s="1"/>
  <c r="F18" i="6"/>
  <c r="F21" i="6" s="1"/>
  <c r="C62" i="2" s="1"/>
  <c r="F62" i="6"/>
  <c r="F64" i="6" s="1"/>
  <c r="C54" i="2" s="1"/>
  <c r="E62" i="2"/>
  <c r="C26" i="8"/>
  <c r="C6" i="8"/>
  <c r="C9" i="8" s="1"/>
  <c r="C34" i="8" l="1"/>
  <c r="C31" i="8"/>
  <c r="C30" i="8"/>
  <c r="C27" i="8"/>
  <c r="C32" i="8" s="1"/>
  <c r="F23" i="6"/>
  <c r="F26" i="6" s="1"/>
  <c r="C63" i="2" s="1"/>
  <c r="E43" i="8"/>
  <c r="G43" i="8"/>
  <c r="F40" i="6"/>
  <c r="F42" i="6" s="1"/>
  <c r="E55" i="2" s="1"/>
  <c r="F69" i="6"/>
  <c r="F71" i="6" s="1"/>
  <c r="C55" i="2" s="1"/>
  <c r="A46" i="8"/>
  <c r="C43" i="8"/>
  <c r="D43" i="8"/>
  <c r="F43" i="8"/>
  <c r="E63" i="2"/>
</calcChain>
</file>

<file path=xl/sharedStrings.xml><?xml version="1.0" encoding="utf-8"?>
<sst xmlns="http://schemas.openxmlformats.org/spreadsheetml/2006/main" count="739" uniqueCount="341">
  <si>
    <t/>
  </si>
  <si>
    <t>Number of Feeders Purchased</t>
  </si>
  <si>
    <t xml:space="preserve">  head</t>
  </si>
  <si>
    <t xml:space="preserve">  %</t>
  </si>
  <si>
    <t xml:space="preserve">  lbs</t>
  </si>
  <si>
    <t xml:space="preserve">  lbs/day</t>
  </si>
  <si>
    <t>Dressing Percentage</t>
  </si>
  <si>
    <t>Days On Feed</t>
  </si>
  <si>
    <t xml:space="preserve">  days</t>
  </si>
  <si>
    <t>Grass Hay</t>
  </si>
  <si>
    <t>Salt</t>
  </si>
  <si>
    <t>Mineral</t>
  </si>
  <si>
    <t xml:space="preserve">        Vitamin</t>
  </si>
  <si>
    <t xml:space="preserve">        Parasite Control</t>
  </si>
  <si>
    <t xml:space="preserve">          Total Yearly Hours</t>
  </si>
  <si>
    <t xml:space="preserve">          Charge per km</t>
  </si>
  <si>
    <t xml:space="preserve">          Number of yearly visits</t>
  </si>
  <si>
    <t xml:space="preserve">     Number of head per load</t>
  </si>
  <si>
    <t xml:space="preserve">     Cost per $100 Capital Invested in:</t>
  </si>
  <si>
    <t xml:space="preserve">     Additional Coverage for Liability</t>
  </si>
  <si>
    <t xml:space="preserve">     Total yearly expense relating to barn</t>
  </si>
  <si>
    <t>Handling Facilities</t>
  </si>
  <si>
    <t xml:space="preserve">        Squeeze, Gates &amp; Scale</t>
  </si>
  <si>
    <t xml:space="preserve">        Well &amp; Pressure System</t>
  </si>
  <si>
    <t>Cost/Head</t>
  </si>
  <si>
    <t>Total Cost</t>
  </si>
  <si>
    <t xml:space="preserve">    2.01  Feeder Cost</t>
  </si>
  <si>
    <t xml:space="preserve">    2.02  Straw</t>
  </si>
  <si>
    <t>3.  Depreciation</t>
  </si>
  <si>
    <t xml:space="preserve">    3.01  Buildings</t>
  </si>
  <si>
    <t>4.  Investment</t>
  </si>
  <si>
    <t xml:space="preserve">    4.01  Buildings</t>
  </si>
  <si>
    <t xml:space="preserve">    4.02  Machinery &amp; Equipment</t>
  </si>
  <si>
    <t>C.  Labour</t>
  </si>
  <si>
    <t>Operating &amp; Fixed</t>
  </si>
  <si>
    <t>Feed Costs</t>
  </si>
  <si>
    <t>÷</t>
  </si>
  <si>
    <t>=</t>
  </si>
  <si>
    <t>/lb</t>
  </si>
  <si>
    <t>Operating Costs</t>
  </si>
  <si>
    <t>-</t>
  </si>
  <si>
    <t>feeder cost</t>
  </si>
  <si>
    <t>Total</t>
  </si>
  <si>
    <t>Total Costs</t>
  </si>
  <si>
    <t>x</t>
  </si>
  <si>
    <t>lbs/feeder/day</t>
  </si>
  <si>
    <t>/feeder</t>
  </si>
  <si>
    <t>tons fed</t>
  </si>
  <si>
    <t>/ton</t>
  </si>
  <si>
    <t>lbs/feeder</t>
  </si>
  <si>
    <t>lbs/cwt</t>
  </si>
  <si>
    <t xml:space="preserve">    2.02 Straw</t>
  </si>
  <si>
    <t>tonnes/feeder/year</t>
  </si>
  <si>
    <t>/tonne</t>
  </si>
  <si>
    <t>Medication</t>
  </si>
  <si>
    <t>blackleg</t>
  </si>
  <si>
    <t>+</t>
  </si>
  <si>
    <t>vitamin</t>
  </si>
  <si>
    <t>parasite control</t>
  </si>
  <si>
    <t>/hour charge</t>
  </si>
  <si>
    <t>hours</t>
  </si>
  <si>
    <t>feeders</t>
  </si>
  <si>
    <t>/km charge</t>
  </si>
  <si>
    <t>kilometres</t>
  </si>
  <si>
    <t>visits</t>
  </si>
  <si>
    <t>cost/$100 capital</t>
  </si>
  <si>
    <t xml:space="preserve">/feeder </t>
  </si>
  <si>
    <t>feeder investment</t>
  </si>
  <si>
    <t>total barn expenses</t>
  </si>
  <si>
    <t>miles</t>
  </si>
  <si>
    <t>½ of feed &amp; other costs</t>
  </si>
  <si>
    <t>% operating interest</t>
  </si>
  <si>
    <t>days on feed</t>
  </si>
  <si>
    <t>original value</t>
  </si>
  <si>
    <t>salvage value</t>
  </si>
  <si>
    <t>years useful life</t>
  </si>
  <si>
    <t>total building value</t>
  </si>
  <si>
    <t>C. Labour</t>
  </si>
  <si>
    <t>hours/feeder/year</t>
  </si>
  <si>
    <t>/hour</t>
  </si>
  <si>
    <t>Herd Profile</t>
  </si>
  <si>
    <t>Feeder Purchased Weight</t>
  </si>
  <si>
    <t>Finish Weight</t>
  </si>
  <si>
    <t xml:space="preserve">Average Daily Gain </t>
  </si>
  <si>
    <t xml:space="preserve">  /cwt</t>
  </si>
  <si>
    <t>Cost</t>
  </si>
  <si>
    <t>lbs/day</t>
  </si>
  <si>
    <t>lbs/year</t>
  </si>
  <si>
    <t>Footnote:  1 kilogram (kg) = 2.2046 pounds (lbs)</t>
  </si>
  <si>
    <t>Other Operating Costs</t>
  </si>
  <si>
    <t xml:space="preserve">  Straw</t>
  </si>
  <si>
    <t xml:space="preserve">     Cost</t>
  </si>
  <si>
    <t xml:space="preserve">  Veterinary Medicine &amp; Supplies</t>
  </si>
  <si>
    <t xml:space="preserve">        Blackleg (8 way vaccine)</t>
  </si>
  <si>
    <t>tonnes/feeder</t>
  </si>
  <si>
    <t xml:space="preserve">     Annual Requirement</t>
  </si>
  <si>
    <t xml:space="preserve">     Herd Health Program</t>
  </si>
  <si>
    <t xml:space="preserve">        Professional Services</t>
  </si>
  <si>
    <t xml:space="preserve">          Rate</t>
  </si>
  <si>
    <t xml:space="preserve">        Transportation</t>
  </si>
  <si>
    <t xml:space="preserve">          Total Distance (round trip)</t>
  </si>
  <si>
    <t>km</t>
  </si>
  <si>
    <t xml:space="preserve">   Annual Fuel &amp; Repair Costs</t>
  </si>
  <si>
    <t xml:space="preserve">  Utilities</t>
  </si>
  <si>
    <t xml:space="preserve">     Distance to packing plant</t>
  </si>
  <si>
    <t>/loaded mile</t>
  </si>
  <si>
    <t xml:space="preserve">     Trucking cost</t>
  </si>
  <si>
    <t>/cwt</t>
  </si>
  <si>
    <t xml:space="preserve">  Manure Removal</t>
  </si>
  <si>
    <t xml:space="preserve">  Insurance</t>
  </si>
  <si>
    <t xml:space="preserve">       Livestock</t>
  </si>
  <si>
    <t xml:space="preserve">       Buildings &amp; Equipment</t>
  </si>
  <si>
    <t xml:space="preserve">  Barn &amp; Office Supplies</t>
  </si>
  <si>
    <t>%</t>
  </si>
  <si>
    <t xml:space="preserve">  Operating Interest Rate</t>
  </si>
  <si>
    <t xml:space="preserve">  Investment Interest Rate</t>
  </si>
  <si>
    <t>Footnote:  cwt = hundred-weight = 100 lbs</t>
  </si>
  <si>
    <t>Capital Costs</t>
  </si>
  <si>
    <t>Original</t>
  </si>
  <si>
    <t>Value</t>
  </si>
  <si>
    <t>Salvage</t>
  </si>
  <si>
    <t>Life</t>
  </si>
  <si>
    <t>years</t>
  </si>
  <si>
    <t xml:space="preserve">        Pens (Working &amp; Sorting)</t>
  </si>
  <si>
    <t>Total Building Cost</t>
  </si>
  <si>
    <t xml:space="preserve">Total </t>
  </si>
  <si>
    <t xml:space="preserve">  Machinery &amp; Equipment</t>
  </si>
  <si>
    <t>Labour Costs</t>
  </si>
  <si>
    <t xml:space="preserve">        Waterers</t>
  </si>
  <si>
    <t xml:space="preserve">  Hours</t>
  </si>
  <si>
    <t>head/year</t>
  </si>
  <si>
    <t xml:space="preserve">  Wage</t>
  </si>
  <si>
    <t>Useful</t>
  </si>
  <si>
    <t>Your Cost</t>
  </si>
  <si>
    <t>A.  Operating Costs</t>
  </si>
  <si>
    <t>1.  Feed Costs</t>
  </si>
  <si>
    <t>2.  Other Operating Costs</t>
  </si>
  <si>
    <t>cost/year</t>
  </si>
  <si>
    <t>building &amp; equipment investment</t>
  </si>
  <si>
    <t>% mortality</t>
  </si>
  <si>
    <t>B.  Fixed Costs</t>
  </si>
  <si>
    <t>Subtotal Operating Costs</t>
  </si>
  <si>
    <t>Total Operating Costs</t>
  </si>
  <si>
    <t>Total Fixed Costs</t>
  </si>
  <si>
    <t>Total Operating and Fixed Costs</t>
  </si>
  <si>
    <t>Total Cost of Production</t>
  </si>
  <si>
    <t>Total Feed Costs</t>
  </si>
  <si>
    <t>Herd health program</t>
  </si>
  <si>
    <t>Mileage</t>
  </si>
  <si>
    <t>average</t>
  </si>
  <si>
    <t>% investment interest</t>
  </si>
  <si>
    <t>Assumptions</t>
  </si>
  <si>
    <t xml:space="preserve">     Feeder Medication</t>
  </si>
  <si>
    <t xml:space="preserve">Feeder Bull Mortality Rate </t>
  </si>
  <si>
    <t>Feeder Bull Price</t>
  </si>
  <si>
    <t xml:space="preserve">  Trucking to Feedlot</t>
  </si>
  <si>
    <t>Total Capital Investment</t>
  </si>
  <si>
    <t xml:space="preserve">        Self Feeder</t>
  </si>
  <si>
    <t xml:space="preserve">        Hay Feeders &amp; Miscellaneous</t>
  </si>
  <si>
    <t xml:space="preserve">        Tractor &amp; Loader</t>
  </si>
  <si>
    <t>365 days per year</t>
  </si>
  <si>
    <t>Original Cost - Salvage Value</t>
  </si>
  <si>
    <t>Useful Life</t>
  </si>
  <si>
    <t xml:space="preserve">                        2</t>
  </si>
  <si>
    <t>Capital Investment</t>
  </si>
  <si>
    <t xml:space="preserve">        Land &amp; Landscaping</t>
  </si>
  <si>
    <t xml:space="preserve">        Hay Feeders </t>
  </si>
  <si>
    <t xml:space="preserve">        Miscellaneous</t>
  </si>
  <si>
    <t>Pasture Costs</t>
  </si>
  <si>
    <t>days</t>
  </si>
  <si>
    <t>Rate/loaded mile</t>
  </si>
  <si>
    <t>Milage, distance to market</t>
  </si>
  <si>
    <t>Truck capacity # head</t>
  </si>
  <si>
    <t>head</t>
  </si>
  <si>
    <t xml:space="preserve">    2.01  Feeder Bison Cost</t>
  </si>
  <si>
    <t>$/loaded mile</t>
  </si>
  <si>
    <t>head load capacity</t>
  </si>
  <si>
    <t>$/lb</t>
  </si>
  <si>
    <t>distance miles</t>
  </si>
  <si>
    <t xml:space="preserve">    1.03  Salt &amp; Minerals</t>
  </si>
  <si>
    <t>$/head/day</t>
  </si>
  <si>
    <t>days on pasture</t>
  </si>
  <si>
    <t xml:space="preserve">  Trucking Cost</t>
  </si>
  <si>
    <r>
      <t>Original Cost + Salvage Value</t>
    </r>
    <r>
      <rPr>
        <i/>
        <sz val="12"/>
        <rFont val="Arial"/>
        <family val="2"/>
      </rPr>
      <t xml:space="preserve">  x Investment Rate</t>
    </r>
  </si>
  <si>
    <t>Percent Shrink Off- feeder</t>
  </si>
  <si>
    <t>Percent Shrink On- calf</t>
  </si>
  <si>
    <t xml:space="preserve">    Bison Bull Backgrounding Cost Worksheet</t>
  </si>
  <si>
    <t>5.  Grain ration if used is prepared (minerals and salt included).</t>
  </si>
  <si>
    <t>Bison Bull Backgrounding Costs - Input</t>
  </si>
  <si>
    <t>Bison Bull Backgrounding Costs</t>
  </si>
  <si>
    <t>maximum value</t>
  </si>
  <si>
    <t>marketing costs</t>
  </si>
  <si>
    <t>average value</t>
  </si>
  <si>
    <t>lbs salt/year</t>
  </si>
  <si>
    <t>lbs mineral/year</t>
  </si>
  <si>
    <t>Other Forage</t>
  </si>
  <si>
    <t>Grain/concentrate</t>
  </si>
  <si>
    <t xml:space="preserve">    1.01  Forage</t>
  </si>
  <si>
    <t xml:space="preserve">    1.02  Grain/Concentrate</t>
  </si>
  <si>
    <t xml:space="preserve">    1.02  Grain/Concetrate</t>
  </si>
  <si>
    <t>Silage</t>
  </si>
  <si>
    <t>cost / day</t>
  </si>
  <si>
    <t>Equipment</t>
  </si>
  <si>
    <t>Total Equipment Cost</t>
  </si>
  <si>
    <t>Machinery</t>
  </si>
  <si>
    <t xml:space="preserve">    3.02  Equipment</t>
  </si>
  <si>
    <t xml:space="preserve">    3.03  Machinery</t>
  </si>
  <si>
    <t>Other forage</t>
  </si>
  <si>
    <t xml:space="preserve">    Feeder Bison Requirement</t>
  </si>
  <si>
    <t xml:space="preserve">. . . . . . . . . . . . . . . . . . . . . . . . . . . . . . . . . . . . . . . . . . . . . . . . . . . . . . . . . . </t>
  </si>
  <si>
    <t>Guidelines For Estimating</t>
  </si>
  <si>
    <t>Date:</t>
  </si>
  <si>
    <t xml:space="preserve">These budgets may be adjusted by putting in your own figures.  As a producer you are encouraged to calculate your own costs of production.  Good management is assumed in that a balanced ration is being fed, livestock are on a herd health program and handling facilities are included.  </t>
  </si>
  <si>
    <t xml:space="preserve">This tool is available as an Excel worksheet at: </t>
  </si>
  <si>
    <t xml:space="preserve">                                                                                          is also available to help</t>
  </si>
  <si>
    <t>determine machinery costs.</t>
  </si>
  <si>
    <t>This guide is designed to provide you with planning information and a format for calculating costs of production of a bison bull backgrounding enterprise in Manitoba.  General Manitoba Agriculture recommendations are assumed in using feed and veterinary inputs. These figures provide an economic evaluation of the livestock and estimated prices required to cover all costs.  Costs include labour, investment and depreciation, but do not include management costs, nor do they necessarily represent the average cost of production in Manitoba.</t>
  </si>
  <si>
    <t>Backgrounding generally refers to the feeding of calves from weaning until they are put onto a high concentrate finishing ration.  An example of a typical backgrounding operation would be, feed 480 pound bulls to gain 1.25 to 2.0 pounds per day for approximately 100-200 days to produce 750 to 850 pound backgrounded feeders.</t>
  </si>
  <si>
    <t>Estimated Farmgate</t>
  </si>
  <si>
    <t xml:space="preserve"> Per Head</t>
  </si>
  <si>
    <t>Breakeven Purchase</t>
  </si>
  <si>
    <t>Breakeven Selling</t>
  </si>
  <si>
    <t>Price ($/cwt) @</t>
  </si>
  <si>
    <t xml:space="preserve">     Operating Costs</t>
  </si>
  <si>
    <t xml:space="preserve">     Operating Costs &amp; Labour</t>
  </si>
  <si>
    <t xml:space="preserve">     Operating &amp; Fixed Costs</t>
  </si>
  <si>
    <t xml:space="preserve">     Total Costs</t>
  </si>
  <si>
    <t>Cost per lb of</t>
  </si>
  <si>
    <t>Marginal Returns per head</t>
  </si>
  <si>
    <t>gain sold ($/cwt)</t>
  </si>
  <si>
    <t xml:space="preserve">     Feed Costs</t>
  </si>
  <si>
    <r>
      <t>Note:</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</si>
  <si>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Breakeven Calculations</t>
  </si>
  <si>
    <t xml:space="preserve">    Cost per lb of gain sold (shrunk weight)</t>
  </si>
  <si>
    <t>feed cost</t>
  </si>
  <si>
    <t>lbs gained weight</t>
  </si>
  <si>
    <t>/lb (gain sold)</t>
  </si>
  <si>
    <t>operating costs</t>
  </si>
  <si>
    <t>Operating &amp; Labour Costs</t>
  </si>
  <si>
    <t>oper.  &amp; fixed costs</t>
  </si>
  <si>
    <t>total costs</t>
  </si>
  <si>
    <t xml:space="preserve">    Breakeven selling price (shrunk weight)</t>
  </si>
  <si>
    <t>lbs shrunk weight</t>
  </si>
  <si>
    <t xml:space="preserve">/lb </t>
  </si>
  <si>
    <t xml:space="preserve">operating &amp; labour </t>
  </si>
  <si>
    <t>oper. &amp; fixed costs</t>
  </si>
  <si>
    <t xml:space="preserve">    Breakeven purchase price (shrunk weight)</t>
  </si>
  <si>
    <t>$/cwt selling price</t>
  </si>
  <si>
    <t>income</t>
  </si>
  <si>
    <t>operating less feeder cost</t>
  </si>
  <si>
    <t>lbs purchase weight</t>
  </si>
  <si>
    <t>op. &amp; fixed less feeder cost</t>
  </si>
  <si>
    <t>total less feeder cost</t>
  </si>
  <si>
    <t>Feeder Selling Price</t>
  </si>
  <si>
    <t>Average Feed Cost per Day</t>
  </si>
  <si>
    <t>Feed Cost per lb. of Gain Sold (shrunk weight)</t>
  </si>
  <si>
    <t>Total Pounds of Gain</t>
  </si>
  <si>
    <t>Total Pounds of Gain (Shrunk Weight)</t>
  </si>
  <si>
    <t>Total Feed Cost per Bull</t>
  </si>
  <si>
    <t>Days on Feed in Feedlot</t>
  </si>
  <si>
    <t>Days on Pasture</t>
  </si>
  <si>
    <t xml:space="preserve">    2.03  Pasture Costs</t>
  </si>
  <si>
    <t xml:space="preserve">    2.04  Veterinary Medicine &amp; Supplies</t>
  </si>
  <si>
    <t xml:space="preserve">    2.05  Annual Fuel &amp; Repair Costs</t>
  </si>
  <si>
    <t xml:space="preserve">    2.06  Utilities</t>
  </si>
  <si>
    <t xml:space="preserve">    2.07  Trucking Costs</t>
  </si>
  <si>
    <t xml:space="preserve">    2.08  Insurance</t>
  </si>
  <si>
    <t xml:space="preserve">    2.09  Manure Removal</t>
  </si>
  <si>
    <t xml:space="preserve">    2.10  Barn &amp; Office Supplies</t>
  </si>
  <si>
    <t xml:space="preserve">    2.11  Death Loss</t>
  </si>
  <si>
    <t xml:space="preserve">    2.12  Operating Interest</t>
  </si>
  <si>
    <t xml:space="preserve">   2.03  Pasture Costs</t>
  </si>
  <si>
    <t xml:space="preserve">    2.04 Veterinary Medicine &amp; Supplies</t>
  </si>
  <si>
    <t xml:space="preserve">    2.11 Death Loss</t>
  </si>
  <si>
    <t xml:space="preserve">   a)  Machinery Fuel Costs - Winter Feeding</t>
  </si>
  <si>
    <t xml:space="preserve">              Tractor with Loader PTO hp</t>
  </si>
  <si>
    <t xml:space="preserve">              Diesel Fuel Cost</t>
  </si>
  <si>
    <t>/litre</t>
  </si>
  <si>
    <t xml:space="preserve">              Tractor Hours Per Day (average)</t>
  </si>
  <si>
    <t xml:space="preserve">   b) Machinery Repair (% of investment cost)</t>
  </si>
  <si>
    <t xml:space="preserve">   c) Building &amp; fence repair (% of investment cost)</t>
  </si>
  <si>
    <t xml:space="preserve">          Hydro</t>
  </si>
  <si>
    <t xml:space="preserve"> - Rate</t>
  </si>
  <si>
    <t>/ kWh</t>
  </si>
  <si>
    <t>1000 watt waterer</t>
  </si>
  <si>
    <t>Total Hydro</t>
  </si>
  <si>
    <t xml:space="preserve">        Water</t>
  </si>
  <si>
    <t xml:space="preserve">        Telephone</t>
  </si>
  <si>
    <t>PTO hp</t>
  </si>
  <si>
    <t>avg HP required</t>
  </si>
  <si>
    <t>litres fuel/hour/hp</t>
  </si>
  <si>
    <t>hours per day</t>
  </si>
  <si>
    <t>diesel / litre</t>
  </si>
  <si>
    <t>annual fuel cost</t>
  </si>
  <si>
    <t>machinery capital cost</t>
  </si>
  <si>
    <t>% repair rate</t>
  </si>
  <si>
    <t>oil, repairs &amp; maintenance</t>
  </si>
  <si>
    <t>building capital cost</t>
  </si>
  <si>
    <t xml:space="preserve">      Machinery fuel cost</t>
  </si>
  <si>
    <t xml:space="preserve">      Machinery repair &amp; maintenance</t>
  </si>
  <si>
    <t xml:space="preserve">      Building &amp; fence repair</t>
  </si>
  <si>
    <t>kWh per feeder</t>
  </si>
  <si>
    <t xml:space="preserve">      Total</t>
  </si>
  <si>
    <r>
      <t>m</t>
    </r>
    <r>
      <rPr>
        <vertAlign val="superscript"/>
        <sz val="12"/>
        <rFont val="Arial"/>
        <family val="2"/>
      </rPr>
      <t>3</t>
    </r>
    <r>
      <rPr>
        <sz val="12"/>
        <rFont val="Arial"/>
        <family val="2"/>
      </rPr>
      <t>/feeder/day</t>
    </r>
  </si>
  <si>
    <t>/cubic yard</t>
  </si>
  <si>
    <t xml:space="preserve">         Manure volume produced</t>
  </si>
  <si>
    <t xml:space="preserve">         Manure volume shrinkage</t>
  </si>
  <si>
    <t xml:space="preserve">         Cost for manure removal &amp; application</t>
  </si>
  <si>
    <r>
      <t>m</t>
    </r>
    <r>
      <rPr>
        <vertAlign val="superscript"/>
        <sz val="12"/>
        <rFont val="Arial"/>
        <family val="2"/>
      </rPr>
      <t>3</t>
    </r>
    <r>
      <rPr>
        <sz val="12"/>
        <rFont val="Arial"/>
        <family val="2"/>
      </rPr>
      <t xml:space="preserve"> manure volume</t>
    </r>
  </si>
  <si>
    <t>% volume shrink</t>
  </si>
  <si>
    <r>
      <t>yd</t>
    </r>
    <r>
      <rPr>
        <vertAlign val="superscript"/>
        <sz val="12"/>
        <rFont val="Arial"/>
        <family val="2"/>
      </rPr>
      <t>3</t>
    </r>
    <r>
      <rPr>
        <sz val="12"/>
        <rFont val="Arial"/>
        <family val="2"/>
      </rPr>
      <t xml:space="preserve"> per m</t>
    </r>
    <r>
      <rPr>
        <vertAlign val="superscript"/>
        <sz val="12"/>
        <rFont val="Arial"/>
        <family val="2"/>
      </rPr>
      <t>3</t>
    </r>
  </si>
  <si>
    <r>
      <t>yd</t>
    </r>
    <r>
      <rPr>
        <u/>
        <vertAlign val="superscript"/>
        <sz val="12"/>
        <rFont val="Arial"/>
        <family val="2"/>
      </rPr>
      <t>3</t>
    </r>
    <r>
      <rPr>
        <u/>
        <sz val="12"/>
        <rFont val="Arial"/>
        <family val="2"/>
      </rPr>
      <t xml:space="preserve"> manure removal cost</t>
    </r>
  </si>
  <si>
    <t xml:space="preserve">         Miscellaneous</t>
  </si>
  <si>
    <t>Price ($ per cwt)</t>
  </si>
  <si>
    <t xml:space="preserve">Marginal Returns </t>
  </si>
  <si>
    <t xml:space="preserve">   Over Operating Costs</t>
  </si>
  <si>
    <t xml:space="preserve">   Over Operating &amp; Labour Costs</t>
  </si>
  <si>
    <t xml:space="preserve">   Over Total Costs (Net Profit)</t>
  </si>
  <si>
    <t>Operating Expense Ratio</t>
  </si>
  <si>
    <t>Feed Cost</t>
  </si>
  <si>
    <t>Per Head</t>
  </si>
  <si>
    <t>Risk &amp; Sensitivity Analysis (Stress Test)</t>
  </si>
  <si>
    <t>Feed cost</t>
  </si>
  <si>
    <t>Weanling cost</t>
  </si>
  <si>
    <t>Subtotal</t>
  </si>
  <si>
    <t>Percent Market Price Change</t>
  </si>
  <si>
    <t>Percent Feed Cost Change</t>
  </si>
  <si>
    <t>Estimated Breakeven Canadian Dollar Analysis*</t>
  </si>
  <si>
    <t>Breakeven CDN Dollar ($1 Cdn = $ USD)</t>
  </si>
  <si>
    <t>Operating, Fixed &amp; Labour Costs</t>
  </si>
  <si>
    <r>
      <rPr>
        <b/>
        <sz val="12"/>
        <rFont val="Arial"/>
        <family val="2"/>
      </rPr>
      <t xml:space="preserve">Note: </t>
    </r>
    <r>
      <rPr>
        <sz val="12"/>
        <rFont val="Arial"/>
        <family val="2"/>
      </rPr>
      <t>This budget is only a guide and is not intended as an in depth study of the cost of production of this industry. Interpretation and utilization of this information is the responsibility of the user.</t>
    </r>
  </si>
  <si>
    <t>$1 Canadian Dollar</t>
  </si>
  <si>
    <t>/ $1 USD</t>
  </si>
  <si>
    <t>Feeder Cost</t>
  </si>
  <si>
    <t>Market Price ($ per cwt)</t>
  </si>
  <si>
    <t>Percent Feeder Cost Change</t>
  </si>
  <si>
    <t>Gross Revenue / feeder</t>
  </si>
  <si>
    <t>Profitability and Breakeven Analysis</t>
  </si>
  <si>
    <t xml:space="preserve">     Tractors &amp; Loader ($120,000 @ 30%)</t>
  </si>
  <si>
    <t>October, 2022</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</si>
  <si>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a Farm Management Specialist.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</si>
</sst>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5" formatCode="&quot;$&quot;#,##0;\-&quot;$&quot;#,##0"/>
    <numFmt numFmtId="6" formatCode="&quot;$&quot;#,##0;[Red]\-&quot;$&quot;#,##0"/>
    <numFmt numFmtId="7" formatCode="&quot;$&quot;#,##0.00;\-&quot;$&quot;#,##0.00"/>
    <numFmt numFmtId="8" formatCode="&quot;$&quot;#,##0.00;[Red]\-&quot;$&quot;#,##0.00"/>
    <numFmt numFmtId="164" formatCode="&quot;$&quot;#,##0_);\(&quot;$&quot;#,##0\)"/>
    <numFmt numFmtId="165" formatCode="&quot;$&quot;#,##0_);[Red]\(&quot;$&quot;#,##0\)"/>
    <numFmt numFmtId="166" formatCode="&quot;$&quot;#,##0.00_);\(&quot;$&quot;#,##0.00\)"/>
    <numFmt numFmtId="167" formatCode="&quot;$&quot;#,##0.00_);[Red]\(&quot;$&quot;#,##0.00\)"/>
    <numFmt numFmtId="168" formatCode="#,##0.0"/>
    <numFmt numFmtId="169" formatCode="#,##0.0_);[Red]\(#,##0.0\)"/>
    <numFmt numFmtId="170" formatCode="&quot;$&quot;#,##0.00"/>
    <numFmt numFmtId="171" formatCode="_-&quot;£&quot;* #,##0_-;\-&quot;£&quot;* #,##0_-;_-&quot;£&quot;* &quot;-&quot;_-;_-@_-"/>
    <numFmt numFmtId="172" formatCode="_-&quot;£&quot;* #,##0.00_-;\-&quot;£&quot;* #,##0.00_-;_-&quot;£&quot;* &quot;-&quot;??_-;_-@_-"/>
    <numFmt numFmtId="173" formatCode="#,##0.000_);[Red]\(#,##0.000\)"/>
    <numFmt numFmtId="174" formatCode="0.0"/>
    <numFmt numFmtId="175" formatCode="&quot;$&quot;#,##0"/>
    <numFmt numFmtId="176" formatCode="#,##0.0;[Red]\-#,##0.0"/>
    <numFmt numFmtId="177" formatCode="&quot;$&quot;#,##0.0_);\(&quot;$&quot;#,##0.0\)"/>
    <numFmt numFmtId="178" formatCode="0_);[Red]\(0\)"/>
    <numFmt numFmtId="179" formatCode="0.000"/>
    <numFmt numFmtId="180" formatCode="&quot;$&quot;#,##0.000"/>
    <numFmt numFmtId="181" formatCode="&quot;$&quot;#,##0.000_);[Red]\(&quot;$&quot;#,##0.000\)"/>
    <numFmt numFmtId="182" formatCode="#,##0.00;[Red]#,##0.00"/>
    <numFmt numFmtId="183" formatCode="&quot;$&quot;#,##0.00;[Red]&quot;$&quot;#,##0.00"/>
    <numFmt numFmtId="184" formatCode="#,##0.0000000"/>
    <numFmt numFmtId="185" formatCode="#,##0.000"/>
    <numFmt numFmtId="186" formatCode="#,##0.00000"/>
    <numFmt numFmtId="187" formatCode="#,##0_ ;\-#,##0\ "/>
    <numFmt numFmtId="188" formatCode="0.0%"/>
    <numFmt numFmtId="189" formatCode="#,##0.0_ ;\-#,##0.0\ "/>
    <numFmt numFmtId="190" formatCode="0.0%;\(0.0%\)"/>
    <numFmt numFmtId="191" formatCode="0.0000"/>
    <numFmt numFmtId="192" formatCode="&quot;$&quot;#,##0.0000;[Red]&quot;$&quot;#,##0.0000"/>
    <numFmt numFmtId="193" formatCode="&quot;$&quot;#,##0.0000"/>
    <numFmt numFmtId="194" formatCode="&quot;$&quot;#,##0.00000;[Red]\-&quot;$&quot;#,##0.00000"/>
  </numFmts>
  <fonts count="37" x14ac:knownFonts="1">
    <font>
      <sz val="12"/>
      <name val="Arial"/>
    </font>
    <font>
      <b/>
      <sz val="12"/>
      <name val="Arial"/>
      <family val="2"/>
    </font>
    <font>
      <u/>
      <sz val="12"/>
      <name val="Arial"/>
      <family val="2"/>
    </font>
    <font>
      <b/>
      <sz val="14"/>
      <color indexed="18"/>
      <name val="Arial"/>
      <family val="2"/>
    </font>
    <font>
      <b/>
      <sz val="12"/>
      <name val="Arial"/>
      <family val="2"/>
    </font>
    <font>
      <sz val="12"/>
      <name val="Arial"/>
      <family val="2"/>
    </font>
    <font>
      <b/>
      <sz val="12"/>
      <color indexed="12"/>
      <name val="Arial"/>
      <family val="2"/>
    </font>
    <font>
      <sz val="10"/>
      <name val="Arial"/>
      <family val="2"/>
    </font>
    <font>
      <sz val="10"/>
      <name val="Arial"/>
      <family val="2"/>
    </font>
    <font>
      <sz val="10"/>
      <color indexed="12"/>
      <name val="Arial"/>
      <family val="2"/>
    </font>
    <font>
      <b/>
      <sz val="12"/>
      <color indexed="18"/>
      <name val="Arial"/>
      <family val="2"/>
    </font>
    <font>
      <u/>
      <sz val="12"/>
      <name val="Arial"/>
      <family val="2"/>
    </font>
    <font>
      <b/>
      <u/>
      <sz val="12"/>
      <name val="Arial"/>
      <family val="2"/>
    </font>
    <font>
      <sz val="14"/>
      <name val="Arial"/>
      <family val="2"/>
    </font>
    <font>
      <i/>
      <u/>
      <sz val="12"/>
      <name val="Arial"/>
      <family val="2"/>
    </font>
    <font>
      <i/>
      <sz val="12"/>
      <name val="Arial"/>
      <family val="2"/>
    </font>
    <font>
      <b/>
      <sz val="10"/>
      <name val="Arial"/>
      <family val="2"/>
    </font>
    <font>
      <sz val="22"/>
      <name val="Arial"/>
      <family val="2"/>
    </font>
    <font>
      <sz val="16"/>
      <color indexed="18"/>
      <name val="Arial"/>
      <family val="2"/>
    </font>
    <font>
      <b/>
      <sz val="20"/>
      <color indexed="18"/>
      <name val="Arial"/>
      <family val="2"/>
    </font>
    <font>
      <sz val="18"/>
      <color indexed="18"/>
      <name val="Arial"/>
      <family val="2"/>
    </font>
    <font>
      <sz val="12"/>
      <name val="Tahoma"/>
      <family val="2"/>
    </font>
    <font>
      <b/>
      <sz val="11"/>
      <name val="Arial"/>
      <family val="2"/>
    </font>
    <font>
      <sz val="11"/>
      <name val="Arial"/>
      <family val="2"/>
    </font>
    <font>
      <b/>
      <u/>
      <sz val="11"/>
      <name val="Arial"/>
      <family val="2"/>
    </font>
    <font>
      <vertAlign val="superscript"/>
      <sz val="12"/>
      <name val="Arial"/>
      <family val="2"/>
    </font>
    <font>
      <u/>
      <vertAlign val="superscript"/>
      <sz val="12"/>
      <name val="Arial"/>
      <family val="2"/>
    </font>
    <font>
      <b/>
      <sz val="14"/>
      <name val="Arial"/>
      <family val="2"/>
    </font>
    <font>
      <u/>
      <sz val="11"/>
      <color theme="10"/>
      <name val="Calibri"/>
      <family val="2"/>
    </font>
    <font>
      <b/>
      <sz val="12"/>
      <color theme="1"/>
      <name val="Arial"/>
      <family val="2"/>
    </font>
    <font>
      <b/>
      <sz val="10"/>
      <color theme="1"/>
      <name val="Arial"/>
      <family val="2"/>
    </font>
    <font>
      <b/>
      <u/>
      <sz val="12"/>
      <color rgb="FF0000FF"/>
      <name val="Arial"/>
      <family val="2"/>
    </font>
    <font>
      <b/>
      <u/>
      <sz val="11"/>
      <color theme="10"/>
      <name val="Arial"/>
      <family val="2"/>
    </font>
    <font>
      <b/>
      <sz val="12"/>
      <color rgb="FF0000FF"/>
      <name val="Arial"/>
      <family val="2"/>
    </font>
    <font>
      <b/>
      <sz val="14"/>
      <color theme="0"/>
      <name val="Arial"/>
      <family val="2"/>
    </font>
    <font>
      <b/>
      <sz val="12"/>
      <color theme="0"/>
      <name val="Arial"/>
      <family val="2"/>
    </font>
    <font>
      <b/>
      <sz val="10"/>
      <color rgb="FF0000FF"/>
      <name val="Arial"/>
      <family val="2"/>
    </font>
  </fonts>
  <fills count="10">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1"/>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alignment vertical="top"/>
    </xf>
    <xf numFmtId="165" fontId="5" fillId="0" borderId="0"/>
    <xf numFmtId="165" fontId="6" fillId="0" borderId="0">
      <protection locked="0"/>
    </xf>
    <xf numFmtId="167" fontId="5" fillId="0" borderId="0"/>
    <xf numFmtId="167" fontId="6" fillId="0" borderId="0">
      <protection locked="0"/>
    </xf>
    <xf numFmtId="38" fontId="5" fillId="0" borderId="0"/>
    <xf numFmtId="38" fontId="6" fillId="0" borderId="0">
      <protection locked="0"/>
    </xf>
    <xf numFmtId="169" fontId="5" fillId="0" borderId="0"/>
    <xf numFmtId="169" fontId="6" fillId="0" borderId="0">
      <protection locked="0"/>
    </xf>
    <xf numFmtId="40" fontId="5" fillId="0" borderId="0"/>
    <xf numFmtId="40" fontId="6" fillId="0" borderId="0">
      <protection locked="0"/>
    </xf>
    <xf numFmtId="0" fontId="28" fillId="0" borderId="0" applyNumberFormat="0" applyFill="0" applyBorder="0" applyAlignment="0" applyProtection="0">
      <alignment vertical="top"/>
      <protection locked="0"/>
    </xf>
    <xf numFmtId="0" fontId="5" fillId="0" borderId="0">
      <alignment vertical="top"/>
    </xf>
    <xf numFmtId="0" fontId="7" fillId="0" borderId="0">
      <alignment vertical="top"/>
    </xf>
    <xf numFmtId="170" fontId="5" fillId="0" borderId="0">
      <alignment vertical="top"/>
    </xf>
    <xf numFmtId="170" fontId="5" fillId="0" borderId="0">
      <alignment vertical="top"/>
    </xf>
    <xf numFmtId="38" fontId="7" fillId="2" borderId="1"/>
    <xf numFmtId="38" fontId="9" fillId="0" borderId="1">
      <protection locked="0"/>
    </xf>
    <xf numFmtId="169" fontId="7" fillId="3" borderId="1"/>
    <xf numFmtId="169" fontId="9" fillId="0" borderId="1">
      <protection locked="0"/>
    </xf>
    <xf numFmtId="40" fontId="7" fillId="3" borderId="1"/>
    <xf numFmtId="40" fontId="9" fillId="0" borderId="1">
      <protection locked="0"/>
    </xf>
    <xf numFmtId="10" fontId="7" fillId="2" borderId="1"/>
    <xf numFmtId="10" fontId="9" fillId="4" borderId="1">
      <protection locked="0"/>
    </xf>
    <xf numFmtId="0" fontId="8" fillId="5" borderId="0"/>
    <xf numFmtId="171" fontId="8" fillId="0" borderId="0" applyFont="0" applyFill="0" applyBorder="0" applyAlignment="0" applyProtection="0"/>
    <xf numFmtId="172" fontId="8" fillId="0" borderId="0" applyFont="0" applyFill="0" applyBorder="0" applyAlignment="0" applyProtection="0"/>
  </cellStyleXfs>
  <cellXfs count="372">
    <xf numFmtId="164" fontId="0" fillId="0" borderId="0" xfId="0" applyNumberFormat="1" applyAlignment="1"/>
    <xf numFmtId="167" fontId="5" fillId="0" borderId="0" xfId="3"/>
    <xf numFmtId="167" fontId="4" fillId="0" borderId="0" xfId="3" applyFont="1"/>
    <xf numFmtId="38" fontId="11" fillId="0" borderId="0" xfId="5" applyFont="1"/>
    <xf numFmtId="164" fontId="0" fillId="0" borderId="0" xfId="0" applyNumberFormat="1" applyAlignment="1" applyProtection="1"/>
    <xf numFmtId="164" fontId="1" fillId="0" borderId="0" xfId="0" applyNumberFormat="1" applyFont="1" applyAlignment="1" applyProtection="1"/>
    <xf numFmtId="38" fontId="5" fillId="0" borderId="0" xfId="5" applyProtection="1"/>
    <xf numFmtId="164" fontId="0" fillId="0" borderId="2" xfId="0" applyNumberFormat="1" applyBorder="1" applyAlignment="1" applyProtection="1"/>
    <xf numFmtId="164" fontId="2" fillId="0" borderId="0" xfId="0" applyNumberFormat="1" applyFont="1" applyAlignment="1" applyProtection="1"/>
    <xf numFmtId="166" fontId="0" fillId="0" borderId="0" xfId="0" applyNumberFormat="1" applyAlignment="1" applyProtection="1"/>
    <xf numFmtId="164" fontId="4" fillId="0" borderId="2" xfId="0" applyNumberFormat="1" applyFont="1" applyBorder="1" applyAlignment="1" applyProtection="1">
      <alignment horizontal="right"/>
    </xf>
    <xf numFmtId="164" fontId="11" fillId="0" borderId="2" xfId="0" applyNumberFormat="1" applyFont="1" applyBorder="1" applyAlignment="1" applyProtection="1"/>
    <xf numFmtId="164" fontId="11" fillId="0" borderId="0" xfId="0" applyNumberFormat="1" applyFont="1" applyBorder="1" applyAlignment="1" applyProtection="1"/>
    <xf numFmtId="164" fontId="4" fillId="0" borderId="0" xfId="0" applyNumberFormat="1" applyFont="1" applyAlignment="1" applyProtection="1">
      <alignment horizontal="right"/>
    </xf>
    <xf numFmtId="164" fontId="12" fillId="0" borderId="0" xfId="0" applyNumberFormat="1" applyFont="1" applyBorder="1" applyAlignment="1" applyProtection="1">
      <alignment horizontal="right"/>
    </xf>
    <xf numFmtId="164" fontId="11" fillId="0" borderId="0" xfId="0" applyNumberFormat="1" applyFont="1" applyAlignment="1" applyProtection="1"/>
    <xf numFmtId="175" fontId="4" fillId="0" borderId="0" xfId="1" applyNumberFormat="1" applyFont="1" applyProtection="1"/>
    <xf numFmtId="170" fontId="4" fillId="0" borderId="0" xfId="3" applyNumberFormat="1" applyFont="1" applyProtection="1"/>
    <xf numFmtId="164" fontId="0" fillId="0" borderId="0" xfId="0" applyNumberFormat="1" applyBorder="1" applyAlignment="1" applyProtection="1"/>
    <xf numFmtId="164" fontId="5" fillId="0" borderId="0" xfId="0" applyNumberFormat="1" applyFont="1" applyAlignment="1" applyProtection="1"/>
    <xf numFmtId="164" fontId="4" fillId="0" borderId="0" xfId="0" applyNumberFormat="1" applyFont="1" applyAlignment="1" applyProtection="1"/>
    <xf numFmtId="164" fontId="4" fillId="0" borderId="2" xfId="0" applyNumberFormat="1" applyFont="1" applyBorder="1" applyAlignment="1" applyProtection="1">
      <alignment horizontal="center"/>
    </xf>
    <xf numFmtId="164" fontId="5" fillId="0" borderId="2" xfId="0" applyNumberFormat="1" applyFont="1" applyBorder="1" applyAlignment="1" applyProtection="1"/>
    <xf numFmtId="174" fontId="5" fillId="0" borderId="0" xfId="7" applyNumberFormat="1" applyFont="1" applyProtection="1"/>
    <xf numFmtId="170" fontId="11" fillId="0" borderId="0" xfId="3" applyNumberFormat="1" applyFont="1" applyProtection="1"/>
    <xf numFmtId="1" fontId="5" fillId="0" borderId="0" xfId="0" applyNumberFormat="1" applyFont="1" applyAlignment="1" applyProtection="1"/>
    <xf numFmtId="170" fontId="11" fillId="0" borderId="0" xfId="0" applyNumberFormat="1" applyFont="1" applyAlignment="1" applyProtection="1"/>
    <xf numFmtId="170" fontId="5" fillId="0" borderId="0" xfId="0" applyNumberFormat="1" applyFont="1" applyAlignment="1" applyProtection="1"/>
    <xf numFmtId="164" fontId="5" fillId="0" borderId="0" xfId="0" applyNumberFormat="1" applyFont="1" applyBorder="1" applyAlignment="1" applyProtection="1"/>
    <xf numFmtId="1" fontId="11" fillId="0" borderId="0" xfId="0" applyNumberFormat="1" applyFont="1" applyAlignment="1" applyProtection="1"/>
    <xf numFmtId="170" fontId="5" fillId="0" borderId="0" xfId="3" applyNumberFormat="1" applyFont="1" applyProtection="1"/>
    <xf numFmtId="170" fontId="4" fillId="0" borderId="0" xfId="0" applyNumberFormat="1" applyFont="1" applyAlignment="1" applyProtection="1"/>
    <xf numFmtId="0" fontId="5" fillId="0" borderId="0" xfId="0" applyFont="1" applyAlignment="1" applyProtection="1"/>
    <xf numFmtId="3" fontId="5" fillId="0" borderId="0" xfId="0" applyNumberFormat="1" applyFont="1" applyAlignment="1" applyProtection="1">
      <alignment horizontal="center"/>
    </xf>
    <xf numFmtId="3" fontId="5" fillId="0" borderId="0" xfId="0" applyNumberFormat="1" applyFont="1" applyAlignment="1" applyProtection="1"/>
    <xf numFmtId="0" fontId="11" fillId="0" borderId="0" xfId="0" applyFont="1" applyAlignment="1" applyProtection="1"/>
    <xf numFmtId="0" fontId="5" fillId="0" borderId="0" xfId="0" applyFont="1" applyAlignment="1" applyProtection="1">
      <alignment horizontal="center"/>
    </xf>
    <xf numFmtId="0" fontId="4" fillId="0" borderId="0" xfId="0" applyFont="1" applyAlignment="1" applyProtection="1"/>
    <xf numFmtId="175" fontId="5" fillId="0" borderId="0" xfId="3" applyNumberFormat="1" applyFont="1" applyProtection="1"/>
    <xf numFmtId="175" fontId="5" fillId="0" borderId="0" xfId="1" applyNumberFormat="1" applyFont="1" applyProtection="1"/>
    <xf numFmtId="166" fontId="5" fillId="0" borderId="0" xfId="0" applyNumberFormat="1" applyFont="1" applyAlignment="1" applyProtection="1"/>
    <xf numFmtId="175" fontId="5" fillId="0" borderId="0" xfId="0" applyNumberFormat="1" applyFont="1" applyAlignment="1" applyProtection="1"/>
    <xf numFmtId="164" fontId="15" fillId="0" borderId="0" xfId="0" applyNumberFormat="1" applyFont="1" applyAlignment="1" applyProtection="1"/>
    <xf numFmtId="38" fontId="6" fillId="0" borderId="0" xfId="6" applyProtection="1"/>
    <xf numFmtId="167" fontId="6" fillId="0" borderId="0" xfId="4" applyProtection="1"/>
    <xf numFmtId="164" fontId="4" fillId="0" borderId="2" xfId="0" applyNumberFormat="1" applyFont="1" applyBorder="1" applyAlignment="1" applyProtection="1"/>
    <xf numFmtId="166" fontId="4" fillId="0" borderId="2" xfId="0" applyNumberFormat="1" applyFont="1" applyBorder="1" applyAlignment="1" applyProtection="1">
      <alignment horizontal="right"/>
    </xf>
    <xf numFmtId="1" fontId="0" fillId="0" borderId="0" xfId="0" applyNumberFormat="1" applyAlignment="1" applyProtection="1"/>
    <xf numFmtId="166" fontId="0" fillId="0" borderId="0" xfId="0" applyNumberFormat="1" applyBorder="1" applyAlignment="1" applyProtection="1"/>
    <xf numFmtId="1" fontId="0" fillId="0" borderId="0" xfId="0" applyNumberFormat="1" applyBorder="1" applyAlignment="1" applyProtection="1"/>
    <xf numFmtId="177" fontId="0" fillId="0" borderId="0" xfId="0" applyNumberFormat="1" applyAlignment="1" applyProtection="1"/>
    <xf numFmtId="3" fontId="0" fillId="0" borderId="0" xfId="0" applyNumberFormat="1" applyAlignment="1" applyProtection="1"/>
    <xf numFmtId="4" fontId="0" fillId="0" borderId="0" xfId="0" applyNumberFormat="1" applyAlignment="1" applyProtection="1"/>
    <xf numFmtId="168" fontId="0" fillId="0" borderId="0" xfId="0" applyNumberFormat="1" applyAlignment="1" applyProtection="1"/>
    <xf numFmtId="166" fontId="4" fillId="0" borderId="0" xfId="0" applyNumberFormat="1" applyFont="1" applyAlignment="1" applyProtection="1">
      <alignment horizontal="right"/>
    </xf>
    <xf numFmtId="3" fontId="4" fillId="0" borderId="0" xfId="0" applyNumberFormat="1" applyFont="1" applyAlignment="1" applyProtection="1">
      <alignment horizontal="right"/>
    </xf>
    <xf numFmtId="166" fontId="0" fillId="0" borderId="2" xfId="0" applyNumberFormat="1" applyBorder="1" applyAlignment="1" applyProtection="1"/>
    <xf numFmtId="3" fontId="4" fillId="0" borderId="2" xfId="0" applyNumberFormat="1" applyFont="1" applyBorder="1" applyAlignment="1" applyProtection="1">
      <alignment horizontal="right"/>
    </xf>
    <xf numFmtId="38" fontId="5" fillId="0" borderId="2" xfId="5" applyBorder="1" applyProtection="1"/>
    <xf numFmtId="3" fontId="0" fillId="0" borderId="2" xfId="0" applyNumberFormat="1" applyBorder="1" applyAlignment="1" applyProtection="1"/>
    <xf numFmtId="165" fontId="4" fillId="0" borderId="0" xfId="1" applyFont="1" applyProtection="1"/>
    <xf numFmtId="174" fontId="5" fillId="0" borderId="0" xfId="0" applyNumberFormat="1" applyFont="1" applyAlignment="1" applyProtection="1"/>
    <xf numFmtId="1" fontId="2" fillId="0" borderId="0" xfId="0" applyNumberFormat="1" applyFont="1" applyBorder="1" applyAlignment="1" applyProtection="1"/>
    <xf numFmtId="179" fontId="5" fillId="0" borderId="0" xfId="7" applyNumberFormat="1" applyFont="1" applyProtection="1"/>
    <xf numFmtId="2" fontId="5" fillId="0" borderId="0" xfId="0" applyNumberFormat="1" applyFont="1" applyAlignment="1" applyProtection="1"/>
    <xf numFmtId="1" fontId="2" fillId="0" borderId="0" xfId="0" applyNumberFormat="1" applyFont="1" applyAlignment="1" applyProtection="1"/>
    <xf numFmtId="170" fontId="2" fillId="0" borderId="0" xfId="3" applyNumberFormat="1" applyFont="1" applyProtection="1"/>
    <xf numFmtId="170" fontId="1" fillId="0" borderId="0" xfId="0" applyNumberFormat="1" applyFont="1" applyAlignment="1" applyProtection="1"/>
    <xf numFmtId="3" fontId="4" fillId="0" borderId="0" xfId="0" applyNumberFormat="1" applyFont="1" applyAlignment="1" applyProtection="1"/>
    <xf numFmtId="2" fontId="5" fillId="0" borderId="0" xfId="3" applyNumberFormat="1" applyFont="1" applyProtection="1"/>
    <xf numFmtId="176" fontId="11" fillId="0" borderId="0" xfId="9" applyNumberFormat="1" applyFont="1" applyProtection="1"/>
    <xf numFmtId="40" fontId="5" fillId="0" borderId="0" xfId="9" applyNumberFormat="1" applyFont="1" applyProtection="1"/>
    <xf numFmtId="165" fontId="4" fillId="0" borderId="0" xfId="2" applyFont="1" applyProtection="1"/>
    <xf numFmtId="165" fontId="12" fillId="0" borderId="0" xfId="2" applyFont="1" applyProtection="1"/>
    <xf numFmtId="164" fontId="5" fillId="0" borderId="0" xfId="0" applyNumberFormat="1" applyFont="1" applyAlignment="1" applyProtection="1">
      <alignment vertical="top"/>
    </xf>
    <xf numFmtId="170" fontId="2" fillId="0" borderId="0" xfId="1" applyNumberFormat="1" applyFont="1" applyProtection="1"/>
    <xf numFmtId="5" fontId="5" fillId="0" borderId="0" xfId="0" applyNumberFormat="1" applyFont="1" applyAlignment="1" applyProtection="1"/>
    <xf numFmtId="164" fontId="1" fillId="0" borderId="0" xfId="0" applyNumberFormat="1" applyFont="1" applyAlignment="1" applyProtection="1">
      <alignment horizontal="center"/>
    </xf>
    <xf numFmtId="0" fontId="1" fillId="0" borderId="0" xfId="0" applyFont="1" applyAlignment="1" applyProtection="1">
      <alignment horizontal="center"/>
    </xf>
    <xf numFmtId="180" fontId="11" fillId="0" borderId="0" xfId="3" applyNumberFormat="1" applyFont="1" applyProtection="1"/>
    <xf numFmtId="164" fontId="3" fillId="0" borderId="0" xfId="0" applyNumberFormat="1" applyFont="1" applyAlignment="1" applyProtection="1">
      <alignment horizontal="center"/>
    </xf>
    <xf numFmtId="164" fontId="10" fillId="0" borderId="0" xfId="0" quotePrefix="1" applyNumberFormat="1" applyFont="1" applyAlignment="1" applyProtection="1">
      <alignment horizontal="center"/>
    </xf>
    <xf numFmtId="164" fontId="5" fillId="0" borderId="0" xfId="0" applyNumberFormat="1" applyFont="1" applyAlignment="1" applyProtection="1">
      <alignment horizontal="center"/>
    </xf>
    <xf numFmtId="38" fontId="1" fillId="0" borderId="0" xfId="6" applyFont="1" applyProtection="1"/>
    <xf numFmtId="3" fontId="0" fillId="0" borderId="0" xfId="0" applyNumberFormat="1" applyBorder="1" applyAlignment="1" applyProtection="1"/>
    <xf numFmtId="165" fontId="1" fillId="0" borderId="0" xfId="2" applyFont="1" applyProtection="1"/>
    <xf numFmtId="38" fontId="6" fillId="0" borderId="0" xfId="6" applyProtection="1">
      <protection locked="0"/>
    </xf>
    <xf numFmtId="40" fontId="6" fillId="0" borderId="0" xfId="10" applyProtection="1">
      <protection locked="0"/>
    </xf>
    <xf numFmtId="167" fontId="6" fillId="0" borderId="0" xfId="4" applyProtection="1">
      <protection locked="0"/>
    </xf>
    <xf numFmtId="167" fontId="6" fillId="0" borderId="0" xfId="4" applyNumberFormat="1" applyProtection="1">
      <protection locked="0"/>
    </xf>
    <xf numFmtId="181" fontId="6" fillId="0" borderId="0" xfId="4" applyNumberFormat="1" applyProtection="1">
      <protection locked="0"/>
    </xf>
    <xf numFmtId="167" fontId="6" fillId="0" borderId="0" xfId="4" applyBorder="1" applyProtection="1">
      <protection locked="0"/>
    </xf>
    <xf numFmtId="40" fontId="6" fillId="0" borderId="0" xfId="10" applyBorder="1" applyProtection="1">
      <protection locked="0"/>
    </xf>
    <xf numFmtId="173" fontId="6" fillId="0" borderId="0" xfId="10" applyNumberFormat="1" applyProtection="1">
      <protection locked="0"/>
    </xf>
    <xf numFmtId="38" fontId="6" fillId="0" borderId="0" xfId="6" applyBorder="1" applyProtection="1">
      <protection locked="0"/>
    </xf>
    <xf numFmtId="164" fontId="1" fillId="0" borderId="2" xfId="0" applyNumberFormat="1" applyFont="1" applyBorder="1" applyAlignment="1" applyProtection="1">
      <alignment horizontal="right"/>
    </xf>
    <xf numFmtId="167" fontId="6" fillId="6" borderId="0" xfId="4" applyFill="1" applyProtection="1">
      <protection locked="0"/>
    </xf>
    <xf numFmtId="38" fontId="6" fillId="6" borderId="0" xfId="6" applyFill="1" applyProtection="1">
      <protection locked="0"/>
    </xf>
    <xf numFmtId="178" fontId="6" fillId="6" borderId="0" xfId="4" applyNumberFormat="1" applyFill="1" applyProtection="1">
      <protection locked="0"/>
    </xf>
    <xf numFmtId="170" fontId="5" fillId="0" borderId="0" xfId="15">
      <alignment vertical="top"/>
    </xf>
    <xf numFmtId="170" fontId="5" fillId="0" borderId="0" xfId="15" applyBorder="1">
      <alignment vertical="top"/>
    </xf>
    <xf numFmtId="170" fontId="17" fillId="0" borderId="0" xfId="15" applyFont="1" applyBorder="1" applyAlignment="1">
      <alignment vertical="center"/>
    </xf>
    <xf numFmtId="170" fontId="5" fillId="0" borderId="0" xfId="15" applyBorder="1" applyAlignment="1">
      <alignment vertical="center"/>
    </xf>
    <xf numFmtId="170" fontId="5" fillId="0" borderId="0" xfId="15" applyAlignment="1">
      <alignment vertical="center"/>
    </xf>
    <xf numFmtId="3" fontId="20" fillId="0" borderId="0" xfId="0" applyNumberFormat="1" applyFont="1" applyAlignment="1">
      <alignment horizontal="center" vertical="top" wrapText="1"/>
    </xf>
    <xf numFmtId="164" fontId="1" fillId="0" borderId="0" xfId="0" applyNumberFormat="1" applyFont="1" applyAlignment="1">
      <alignment horizontal="right"/>
    </xf>
    <xf numFmtId="49" fontId="1" fillId="0" borderId="0" xfId="0" applyNumberFormat="1" applyFont="1" applyAlignment="1">
      <alignment horizontal="right"/>
    </xf>
    <xf numFmtId="164" fontId="0" fillId="0" borderId="0" xfId="0" applyNumberFormat="1" applyAlignment="1">
      <alignment horizontal="center" vertical="top" wrapText="1"/>
    </xf>
    <xf numFmtId="170" fontId="7" fillId="0" borderId="0" xfId="15" applyFont="1" applyAlignment="1">
      <alignment horizontal="right" vertical="top"/>
    </xf>
    <xf numFmtId="164" fontId="0" fillId="0" borderId="0" xfId="0" applyNumberFormat="1" applyAlignment="1">
      <alignment vertical="top"/>
    </xf>
    <xf numFmtId="170" fontId="5" fillId="0" borderId="0" xfId="15" applyFont="1">
      <alignment vertical="top"/>
    </xf>
    <xf numFmtId="164" fontId="21" fillId="0" borderId="0" xfId="0" applyNumberFormat="1" applyFont="1" applyAlignment="1">
      <alignment vertical="top" wrapText="1"/>
    </xf>
    <xf numFmtId="170" fontId="13" fillId="0" borderId="0" xfId="15" applyFont="1" applyAlignment="1">
      <alignment vertical="top"/>
    </xf>
    <xf numFmtId="170" fontId="13" fillId="0" borderId="0" xfId="15" applyFont="1" applyAlignment="1">
      <alignment vertical="top" wrapText="1"/>
    </xf>
    <xf numFmtId="3" fontId="13" fillId="0" borderId="0" xfId="0" applyNumberFormat="1" applyFont="1" applyAlignment="1">
      <alignment vertical="top"/>
    </xf>
    <xf numFmtId="5" fontId="0" fillId="0" borderId="0" xfId="0" applyNumberFormat="1" applyAlignment="1" applyProtection="1"/>
    <xf numFmtId="3" fontId="13" fillId="0" borderId="0" xfId="0" applyNumberFormat="1" applyFont="1" applyAlignment="1"/>
    <xf numFmtId="3" fontId="1" fillId="0" borderId="0" xfId="0" applyNumberFormat="1" applyFont="1" applyBorder="1" applyAlignment="1" applyProtection="1"/>
    <xf numFmtId="3" fontId="5" fillId="0" borderId="0" xfId="0" applyNumberFormat="1" applyFont="1" applyBorder="1" applyAlignment="1" applyProtection="1"/>
    <xf numFmtId="166" fontId="12" fillId="0" borderId="0" xfId="0" applyNumberFormat="1" applyFont="1" applyBorder="1" applyAlignment="1" applyProtection="1">
      <alignment horizontal="right"/>
    </xf>
    <xf numFmtId="3" fontId="2" fillId="0" borderId="0" xfId="0" applyNumberFormat="1" applyFont="1" applyAlignment="1" applyProtection="1"/>
    <xf numFmtId="5" fontId="5" fillId="0" borderId="0" xfId="0" applyNumberFormat="1" applyFont="1" applyBorder="1" applyAlignment="1" applyProtection="1"/>
    <xf numFmtId="3" fontId="5" fillId="0" borderId="0" xfId="0" applyNumberFormat="1" applyFont="1" applyAlignment="1"/>
    <xf numFmtId="170" fontId="1" fillId="0" borderId="0" xfId="0" applyNumberFormat="1" applyFont="1" applyAlignment="1"/>
    <xf numFmtId="175" fontId="1" fillId="0" borderId="0" xfId="5" applyNumberFormat="1" applyFont="1"/>
    <xf numFmtId="3" fontId="1" fillId="0" borderId="0" xfId="0" applyNumberFormat="1" applyFont="1" applyAlignment="1"/>
    <xf numFmtId="5" fontId="1" fillId="0" borderId="2" xfId="0" applyNumberFormat="1" applyFont="1" applyBorder="1" applyAlignment="1" applyProtection="1"/>
    <xf numFmtId="3" fontId="1" fillId="0" borderId="2" xfId="0" applyNumberFormat="1" applyFont="1" applyBorder="1" applyAlignment="1"/>
    <xf numFmtId="3" fontId="1" fillId="0" borderId="2" xfId="0" applyNumberFormat="1" applyFont="1" applyBorder="1" applyAlignment="1" applyProtection="1"/>
    <xf numFmtId="175" fontId="1" fillId="0" borderId="2" xfId="5" applyNumberFormat="1" applyFont="1" applyBorder="1"/>
    <xf numFmtId="3" fontId="1" fillId="0" borderId="0" xfId="0" applyNumberFormat="1" applyFont="1" applyBorder="1" applyAlignment="1"/>
    <xf numFmtId="5" fontId="0" fillId="0" borderId="0" xfId="0" applyNumberFormat="1" applyBorder="1" applyAlignment="1" applyProtection="1"/>
    <xf numFmtId="5" fontId="22" fillId="0" borderId="0" xfId="0" applyNumberFormat="1" applyFont="1" applyBorder="1" applyAlignment="1" applyProtection="1">
      <alignment horizontal="center"/>
    </xf>
    <xf numFmtId="5" fontId="1" fillId="0" borderId="0" xfId="0" applyNumberFormat="1" applyFont="1" applyBorder="1" applyAlignment="1" applyProtection="1"/>
    <xf numFmtId="5" fontId="24" fillId="0" borderId="0" xfId="0" applyNumberFormat="1" applyFont="1" applyBorder="1" applyAlignment="1" applyProtection="1">
      <alignment horizontal="center"/>
    </xf>
    <xf numFmtId="167" fontId="5" fillId="0" borderId="0" xfId="3" applyFont="1"/>
    <xf numFmtId="5" fontId="0" fillId="0" borderId="2" xfId="0" applyNumberFormat="1" applyBorder="1" applyAlignment="1" applyProtection="1"/>
    <xf numFmtId="5" fontId="0" fillId="0" borderId="3" xfId="0" applyNumberFormat="1" applyBorder="1" applyAlignment="1" applyProtection="1"/>
    <xf numFmtId="5" fontId="22" fillId="0" borderId="0" xfId="0" applyNumberFormat="1" applyFont="1" applyBorder="1" applyAlignment="1" applyProtection="1">
      <alignment horizontal="right"/>
    </xf>
    <xf numFmtId="3" fontId="22" fillId="0" borderId="0" xfId="0" applyNumberFormat="1" applyFont="1" applyAlignment="1" applyProtection="1">
      <alignment horizontal="center"/>
    </xf>
    <xf numFmtId="5" fontId="24" fillId="0" borderId="0" xfId="0" applyNumberFormat="1" applyFont="1" applyBorder="1" applyAlignment="1" applyProtection="1">
      <alignment horizontal="right"/>
    </xf>
    <xf numFmtId="3" fontId="24" fillId="0" borderId="0" xfId="0" applyNumberFormat="1" applyFont="1" applyAlignment="1">
      <alignment horizontal="center"/>
    </xf>
    <xf numFmtId="167" fontId="5" fillId="0" borderId="0" xfId="3" quotePrefix="1" applyFont="1"/>
    <xf numFmtId="166" fontId="5" fillId="0" borderId="0" xfId="0" applyNumberFormat="1" applyFont="1" applyFill="1" applyAlignment="1" applyProtection="1">
      <alignment horizontal="center"/>
    </xf>
    <xf numFmtId="166" fontId="5" fillId="0" borderId="0" xfId="0" applyNumberFormat="1" applyFont="1" applyAlignment="1" applyProtection="1">
      <alignment horizontal="center"/>
    </xf>
    <xf numFmtId="164" fontId="0" fillId="0" borderId="0" xfId="0" applyNumberFormat="1" applyFill="1" applyAlignment="1" applyProtection="1"/>
    <xf numFmtId="164" fontId="5" fillId="0" borderId="0" xfId="12" applyNumberFormat="1" applyAlignment="1"/>
    <xf numFmtId="164" fontId="1" fillId="0" borderId="0" xfId="12" applyNumberFormat="1" applyFont="1" applyAlignment="1"/>
    <xf numFmtId="170" fontId="5" fillId="0" borderId="0" xfId="12" applyNumberFormat="1" applyAlignment="1"/>
    <xf numFmtId="164" fontId="5" fillId="0" borderId="2" xfId="12" applyNumberFormat="1" applyBorder="1" applyAlignment="1"/>
    <xf numFmtId="164" fontId="5" fillId="0" borderId="0" xfId="12" applyNumberFormat="1" applyFont="1" applyAlignment="1"/>
    <xf numFmtId="3" fontId="2" fillId="0" borderId="0" xfId="5" applyNumberFormat="1" applyFont="1"/>
    <xf numFmtId="1" fontId="2" fillId="0" borderId="0" xfId="12" applyNumberFormat="1" applyFont="1" applyAlignment="1"/>
    <xf numFmtId="164" fontId="2" fillId="0" borderId="0" xfId="12" applyNumberFormat="1" applyFont="1" applyAlignment="1"/>
    <xf numFmtId="164" fontId="1" fillId="0" borderId="0" xfId="12" quotePrefix="1" applyNumberFormat="1" applyFont="1" applyAlignment="1"/>
    <xf numFmtId="170" fontId="1" fillId="0" borderId="0" xfId="3" applyNumberFormat="1" applyFont="1"/>
    <xf numFmtId="1" fontId="1" fillId="0" borderId="0" xfId="12" applyNumberFormat="1" applyFont="1" applyAlignment="1"/>
    <xf numFmtId="1" fontId="5" fillId="0" borderId="0" xfId="12" applyNumberFormat="1" applyAlignment="1"/>
    <xf numFmtId="170" fontId="5" fillId="0" borderId="0" xfId="3" applyNumberFormat="1"/>
    <xf numFmtId="166" fontId="5" fillId="0" borderId="0" xfId="12" applyNumberFormat="1" applyAlignment="1"/>
    <xf numFmtId="164" fontId="5" fillId="0" borderId="0" xfId="12" quotePrefix="1" applyNumberFormat="1" applyAlignment="1"/>
    <xf numFmtId="166" fontId="2" fillId="0" borderId="0" xfId="12" applyNumberFormat="1" applyFont="1" applyAlignment="1"/>
    <xf numFmtId="166" fontId="1" fillId="0" borderId="0" xfId="12" applyNumberFormat="1" applyFont="1" applyAlignment="1"/>
    <xf numFmtId="3" fontId="5" fillId="0" borderId="0" xfId="5" applyNumberFormat="1" applyFont="1"/>
    <xf numFmtId="164" fontId="5" fillId="0" borderId="0" xfId="12" applyNumberFormat="1" applyFont="1" applyAlignment="1">
      <alignment horizontal="center"/>
    </xf>
    <xf numFmtId="170" fontId="5" fillId="0" borderId="0" xfId="5" applyNumberFormat="1" applyFont="1"/>
    <xf numFmtId="170" fontId="5" fillId="0" borderId="0" xfId="3" applyNumberFormat="1" applyFont="1"/>
    <xf numFmtId="164" fontId="2" fillId="0" borderId="0" xfId="12" applyNumberFormat="1" applyFont="1" applyAlignment="1">
      <alignment horizontal="center"/>
    </xf>
    <xf numFmtId="3" fontId="2" fillId="0" borderId="0" xfId="3" applyNumberFormat="1" applyFont="1"/>
    <xf numFmtId="3" fontId="5" fillId="0" borderId="0" xfId="12" applyNumberFormat="1" applyAlignment="1"/>
    <xf numFmtId="3" fontId="2" fillId="0" borderId="0" xfId="12" applyNumberFormat="1" applyFont="1" applyAlignment="1"/>
    <xf numFmtId="3" fontId="13" fillId="0" borderId="0" xfId="12" applyNumberFormat="1" applyFont="1" applyAlignment="1" applyProtection="1"/>
    <xf numFmtId="3" fontId="5" fillId="0" borderId="0" xfId="12" applyNumberFormat="1" applyFont="1" applyAlignment="1" applyProtection="1"/>
    <xf numFmtId="0" fontId="1" fillId="0" borderId="0" xfId="12" applyFont="1" applyAlignment="1" applyProtection="1"/>
    <xf numFmtId="3" fontId="5" fillId="0" borderId="0" xfId="12" applyNumberFormat="1" applyFont="1" applyBorder="1" applyAlignment="1" applyProtection="1"/>
    <xf numFmtId="3" fontId="13" fillId="0" borderId="0" xfId="12" applyNumberFormat="1" applyFont="1" applyAlignment="1"/>
    <xf numFmtId="0" fontId="29" fillId="0" borderId="0" xfId="12" applyFont="1" applyBorder="1" applyAlignment="1" applyProtection="1"/>
    <xf numFmtId="0" fontId="30" fillId="0" borderId="0" xfId="12" applyFont="1" applyBorder="1" applyAlignment="1" applyProtection="1">
      <alignment horizontal="right"/>
    </xf>
    <xf numFmtId="0" fontId="5" fillId="0" borderId="2" xfId="12" applyBorder="1" applyAlignment="1"/>
    <xf numFmtId="0" fontId="29" fillId="0" borderId="2" xfId="12" applyFont="1" applyBorder="1" applyAlignment="1" applyProtection="1">
      <alignment horizontal="right"/>
    </xf>
    <xf numFmtId="0" fontId="5" fillId="0" borderId="0" xfId="12" applyBorder="1" applyAlignment="1" applyProtection="1">
      <alignment horizontal="right"/>
    </xf>
    <xf numFmtId="0" fontId="5" fillId="0" borderId="0" xfId="12" applyAlignment="1"/>
    <xf numFmtId="174" fontId="5" fillId="0" borderId="0" xfId="12" applyNumberFormat="1" applyAlignment="1"/>
    <xf numFmtId="0" fontId="29" fillId="0" borderId="4" xfId="12" applyFont="1" applyBorder="1" applyAlignment="1" applyProtection="1">
      <alignment horizontal="left" vertical="center"/>
    </xf>
    <xf numFmtId="0" fontId="30" fillId="0" borderId="4" xfId="12" applyFont="1" applyBorder="1" applyAlignment="1" applyProtection="1"/>
    <xf numFmtId="0" fontId="5" fillId="0" borderId="4" xfId="12" applyBorder="1" applyAlignment="1" applyProtection="1"/>
    <xf numFmtId="0" fontId="31" fillId="0" borderId="0" xfId="12" applyFont="1" applyBorder="1" applyAlignment="1">
      <alignment horizontal="left" vertical="top"/>
    </xf>
    <xf numFmtId="3" fontId="32" fillId="0" borderId="0" xfId="11" applyNumberFormat="1" applyFont="1" applyAlignment="1" applyProtection="1"/>
    <xf numFmtId="0" fontId="22" fillId="0" borderId="0" xfId="12" applyFont="1" applyAlignment="1"/>
    <xf numFmtId="170" fontId="32" fillId="0" borderId="0" xfId="11" applyNumberFormat="1" applyFont="1" applyProtection="1">
      <alignment vertical="top"/>
    </xf>
    <xf numFmtId="170" fontId="23" fillId="0" borderId="0" xfId="15" applyFont="1" applyFill="1">
      <alignment vertical="top"/>
    </xf>
    <xf numFmtId="0" fontId="23" fillId="0" borderId="0" xfId="12" applyFont="1" applyAlignment="1"/>
    <xf numFmtId="170" fontId="23" fillId="0" borderId="0" xfId="15" applyFont="1">
      <alignment vertical="top"/>
    </xf>
    <xf numFmtId="164" fontId="0" fillId="0" borderId="0" xfId="0" applyNumberFormat="1" applyAlignment="1" applyProtection="1">
      <alignment horizontal="right"/>
    </xf>
    <xf numFmtId="170" fontId="5" fillId="0" borderId="0" xfId="0" applyNumberFormat="1" applyFont="1" applyAlignment="1" applyProtection="1">
      <alignment horizontal="right"/>
    </xf>
    <xf numFmtId="170" fontId="0" fillId="0" borderId="0" xfId="0" applyNumberFormat="1" applyAlignment="1" applyProtection="1">
      <alignment horizontal="right"/>
    </xf>
    <xf numFmtId="180" fontId="0" fillId="0" borderId="0" xfId="0" applyNumberFormat="1" applyAlignment="1" applyProtection="1">
      <alignment horizontal="right"/>
    </xf>
    <xf numFmtId="164" fontId="5" fillId="0" borderId="0" xfId="0" applyNumberFormat="1" applyFont="1" applyFill="1" applyAlignment="1" applyProtection="1"/>
    <xf numFmtId="0" fontId="0" fillId="0" borderId="0" xfId="0" applyNumberFormat="1" applyAlignment="1" applyProtection="1">
      <alignment horizontal="right"/>
    </xf>
    <xf numFmtId="38" fontId="0" fillId="0" borderId="0" xfId="0" applyNumberFormat="1" applyAlignment="1" applyProtection="1"/>
    <xf numFmtId="5" fontId="5" fillId="0" borderId="0" xfId="0" applyNumberFormat="1" applyFont="1" applyAlignment="1"/>
    <xf numFmtId="7" fontId="5" fillId="0" borderId="0" xfId="0" applyNumberFormat="1" applyFont="1" applyAlignment="1"/>
    <xf numFmtId="3" fontId="1" fillId="0" borderId="0" xfId="0" applyNumberFormat="1" applyFont="1" applyAlignment="1" applyProtection="1"/>
    <xf numFmtId="167" fontId="5" fillId="0" borderId="0" xfId="3" applyFont="1" applyAlignment="1">
      <alignment horizontal="center"/>
    </xf>
    <xf numFmtId="3" fontId="5" fillId="0" borderId="0" xfId="0" applyNumberFormat="1" applyFont="1" applyFill="1" applyAlignment="1" applyProtection="1"/>
    <xf numFmtId="3" fontId="0" fillId="0" borderId="0" xfId="0" applyNumberFormat="1" applyFill="1" applyAlignment="1" applyProtection="1"/>
    <xf numFmtId="170" fontId="0" fillId="0" borderId="0" xfId="0" applyNumberFormat="1" applyFill="1" applyAlignment="1" applyProtection="1"/>
    <xf numFmtId="3" fontId="0" fillId="0" borderId="0" xfId="0" applyNumberFormat="1" applyFill="1" applyAlignment="1"/>
    <xf numFmtId="3" fontId="33" fillId="0" borderId="0" xfId="0" applyNumberFormat="1" applyFont="1" applyFill="1" applyAlignment="1" applyProtection="1"/>
    <xf numFmtId="170" fontId="6" fillId="0" borderId="0" xfId="4" applyNumberFormat="1" applyFill="1">
      <protection locked="0"/>
    </xf>
    <xf numFmtId="3" fontId="5" fillId="0" borderId="0" xfId="0" applyNumberFormat="1" applyFont="1" applyFill="1" applyAlignment="1"/>
    <xf numFmtId="182" fontId="6" fillId="0" borderId="0" xfId="8" applyNumberFormat="1" applyFill="1">
      <protection locked="0"/>
    </xf>
    <xf numFmtId="0" fontId="5" fillId="0" borderId="0" xfId="0" applyFont="1" applyFill="1" applyAlignment="1"/>
    <xf numFmtId="0" fontId="33" fillId="0" borderId="0" xfId="0" applyFont="1" applyFill="1" applyAlignment="1" applyProtection="1">
      <protection locked="0"/>
    </xf>
    <xf numFmtId="8" fontId="1" fillId="0" borderId="0" xfId="0" applyNumberFormat="1" applyFont="1" applyFill="1" applyAlignment="1" applyProtection="1"/>
    <xf numFmtId="8" fontId="12" fillId="0" borderId="0" xfId="0" applyNumberFormat="1" applyFont="1" applyFill="1" applyAlignment="1" applyProtection="1"/>
    <xf numFmtId="183" fontId="1" fillId="0" borderId="0" xfId="4" applyNumberFormat="1" applyFont="1" applyFill="1" applyProtection="1"/>
    <xf numFmtId="167" fontId="6" fillId="0" borderId="0" xfId="4" applyFill="1" applyProtection="1">
      <protection locked="0"/>
    </xf>
    <xf numFmtId="3" fontId="5" fillId="0" borderId="2" xfId="0" applyNumberFormat="1" applyFont="1" applyBorder="1" applyAlignment="1" applyProtection="1"/>
    <xf numFmtId="0" fontId="5" fillId="0" borderId="0" xfId="0" applyFont="1" applyFill="1" applyBorder="1" applyAlignment="1" applyProtection="1"/>
    <xf numFmtId="168" fontId="5" fillId="0" borderId="0" xfId="0" applyNumberFormat="1" applyFont="1" applyFill="1" applyAlignment="1" applyProtection="1"/>
    <xf numFmtId="184" fontId="5" fillId="0" borderId="0" xfId="0" applyNumberFormat="1" applyFont="1" applyFill="1" applyAlignment="1" applyProtection="1"/>
    <xf numFmtId="170" fontId="5" fillId="0" borderId="0" xfId="3" applyNumberFormat="1" applyFill="1"/>
    <xf numFmtId="3" fontId="2" fillId="0" borderId="0" xfId="0" applyNumberFormat="1" applyFont="1" applyFill="1" applyAlignment="1" applyProtection="1"/>
    <xf numFmtId="3" fontId="2" fillId="0" borderId="0" xfId="3" applyNumberFormat="1" applyFont="1" applyFill="1" applyAlignment="1">
      <alignment horizontal="right"/>
    </xf>
    <xf numFmtId="0" fontId="2" fillId="0" borderId="0" xfId="0" applyFont="1" applyFill="1" applyAlignment="1" applyProtection="1"/>
    <xf numFmtId="4" fontId="2" fillId="0" borderId="0" xfId="5" applyNumberFormat="1" applyFont="1" applyFill="1"/>
    <xf numFmtId="170" fontId="5" fillId="0" borderId="0" xfId="0" applyNumberFormat="1" applyFont="1" applyFill="1" applyAlignment="1"/>
    <xf numFmtId="175" fontId="5" fillId="0" borderId="0" xfId="3" applyNumberFormat="1" applyFill="1"/>
    <xf numFmtId="4" fontId="2" fillId="0" borderId="0" xfId="3" applyNumberFormat="1" applyFont="1" applyFill="1"/>
    <xf numFmtId="0" fontId="1" fillId="0" borderId="0" xfId="0" applyFont="1" applyAlignment="1" applyProtection="1"/>
    <xf numFmtId="3" fontId="1" fillId="0" borderId="0" xfId="0" applyNumberFormat="1" applyFont="1" applyFill="1" applyAlignment="1" applyProtection="1"/>
    <xf numFmtId="166" fontId="0" fillId="0" borderId="0" xfId="0" applyNumberFormat="1" applyFill="1" applyAlignment="1" applyProtection="1"/>
    <xf numFmtId="185" fontId="33" fillId="0" borderId="0" xfId="0" applyNumberFormat="1" applyFont="1" applyAlignment="1"/>
    <xf numFmtId="3" fontId="0" fillId="0" borderId="0" xfId="0" applyNumberFormat="1" applyAlignment="1"/>
    <xf numFmtId="170" fontId="6" fillId="0" borderId="0" xfId="0" applyNumberFormat="1" applyFont="1" applyAlignment="1" applyProtection="1"/>
    <xf numFmtId="3" fontId="33" fillId="0" borderId="0" xfId="0" applyNumberFormat="1" applyFont="1" applyAlignment="1"/>
    <xf numFmtId="170" fontId="6" fillId="0" borderId="0" xfId="0" applyNumberFormat="1" applyFont="1" applyAlignment="1"/>
    <xf numFmtId="3" fontId="13" fillId="0" borderId="0" xfId="0" applyNumberFormat="1" applyFont="1" applyFill="1" applyAlignment="1" applyProtection="1"/>
    <xf numFmtId="3" fontId="13" fillId="0" borderId="0" xfId="0" applyNumberFormat="1" applyFont="1" applyFill="1" applyAlignment="1"/>
    <xf numFmtId="0" fontId="1" fillId="0" borderId="0" xfId="0" applyFont="1" applyFill="1" applyAlignment="1" applyProtection="1"/>
    <xf numFmtId="185" fontId="5" fillId="0" borderId="0" xfId="0" applyNumberFormat="1" applyFont="1" applyFill="1" applyAlignment="1" applyProtection="1"/>
    <xf numFmtId="4" fontId="5" fillId="0" borderId="0" xfId="5" applyNumberFormat="1" applyFont="1" applyFill="1"/>
    <xf numFmtId="3" fontId="5" fillId="0" borderId="0" xfId="5" applyNumberFormat="1" applyFont="1" applyFill="1"/>
    <xf numFmtId="186" fontId="5" fillId="0" borderId="0" xfId="5" applyNumberFormat="1" applyFont="1" applyFill="1"/>
    <xf numFmtId="170" fontId="2" fillId="0" borderId="0" xfId="5" applyNumberFormat="1" applyFont="1" applyFill="1"/>
    <xf numFmtId="3" fontId="2" fillId="0" borderId="0" xfId="0" applyNumberFormat="1" applyFont="1" applyFill="1" applyAlignment="1"/>
    <xf numFmtId="170" fontId="1" fillId="0" borderId="0" xfId="5" applyNumberFormat="1" applyFont="1" applyFill="1"/>
    <xf numFmtId="38" fontId="6" fillId="0" borderId="0" xfId="6">
      <protection locked="0"/>
    </xf>
    <xf numFmtId="169" fontId="6" fillId="0" borderId="0" xfId="8" applyFill="1" applyProtection="1">
      <protection locked="0"/>
    </xf>
    <xf numFmtId="164" fontId="6" fillId="0" borderId="0" xfId="0" applyNumberFormat="1" applyFont="1" applyFill="1" applyAlignment="1" applyProtection="1">
      <protection locked="0"/>
    </xf>
    <xf numFmtId="165" fontId="6" fillId="0" borderId="0" xfId="2" applyFill="1" applyProtection="1">
      <protection locked="0"/>
    </xf>
    <xf numFmtId="165" fontId="6" fillId="0" borderId="2" xfId="2" applyFill="1" applyBorder="1" applyProtection="1">
      <protection locked="0"/>
    </xf>
    <xf numFmtId="165" fontId="4" fillId="0" borderId="0" xfId="1" applyFont="1" applyFill="1" applyProtection="1"/>
    <xf numFmtId="165" fontId="1" fillId="0" borderId="0" xfId="2" applyFont="1" applyFill="1" applyProtection="1"/>
    <xf numFmtId="165" fontId="6" fillId="0" borderId="0" xfId="2" applyFill="1" applyProtection="1"/>
    <xf numFmtId="165" fontId="6" fillId="0" borderId="0" xfId="2" applyFill="1" applyBorder="1" applyProtection="1">
      <protection locked="0"/>
    </xf>
    <xf numFmtId="165" fontId="6" fillId="0" borderId="0" xfId="2" applyFill="1">
      <protection locked="0"/>
    </xf>
    <xf numFmtId="167" fontId="6" fillId="0" borderId="0" xfId="4" applyFill="1" applyBorder="1" applyProtection="1">
      <protection locked="0"/>
    </xf>
    <xf numFmtId="167" fontId="6" fillId="0" borderId="0" xfId="4" applyFill="1">
      <protection locked="0"/>
    </xf>
    <xf numFmtId="0" fontId="27" fillId="0" borderId="0" xfId="13" applyFont="1" applyFill="1" applyAlignment="1" applyProtection="1"/>
    <xf numFmtId="0" fontId="1" fillId="0" borderId="0" xfId="13" applyFont="1" applyFill="1" applyAlignment="1" applyProtection="1"/>
    <xf numFmtId="0" fontId="13" fillId="0" borderId="0" xfId="13" applyFont="1" applyAlignment="1"/>
    <xf numFmtId="0" fontId="22" fillId="0" borderId="0" xfId="13" applyFont="1" applyFill="1" applyAlignment="1" applyProtection="1">
      <alignment horizontal="center"/>
    </xf>
    <xf numFmtId="0" fontId="22" fillId="0" borderId="0" xfId="13" applyFont="1" applyAlignment="1">
      <alignment horizontal="center"/>
    </xf>
    <xf numFmtId="0" fontId="23" fillId="0" borderId="0" xfId="13" applyFont="1" applyAlignment="1" applyProtection="1"/>
    <xf numFmtId="0" fontId="22" fillId="0" borderId="2" xfId="13" applyFont="1" applyFill="1" applyBorder="1" applyAlignment="1" applyProtection="1">
      <alignment horizontal="center"/>
    </xf>
    <xf numFmtId="0" fontId="22" fillId="0" borderId="0" xfId="13" applyFont="1" applyFill="1" applyBorder="1" applyAlignment="1" applyProtection="1">
      <alignment horizontal="center"/>
    </xf>
    <xf numFmtId="3" fontId="1" fillId="0" borderId="0" xfId="13" applyNumberFormat="1" applyFont="1" applyAlignment="1" applyProtection="1"/>
    <xf numFmtId="0" fontId="5" fillId="0" borderId="0" xfId="13" applyFont="1" applyAlignment="1"/>
    <xf numFmtId="7" fontId="5" fillId="0" borderId="0" xfId="13" applyNumberFormat="1" applyFont="1" applyAlignment="1"/>
    <xf numFmtId="0" fontId="1" fillId="0" borderId="0" xfId="13" applyFont="1" applyAlignment="1" applyProtection="1"/>
    <xf numFmtId="7" fontId="5" fillId="0" borderId="0" xfId="13" applyNumberFormat="1" applyFont="1" applyFill="1" applyAlignment="1" applyProtection="1"/>
    <xf numFmtId="7" fontId="33" fillId="0" borderId="0" xfId="13" applyNumberFormat="1" applyFont="1" applyFill="1" applyAlignment="1" applyProtection="1"/>
    <xf numFmtId="0" fontId="5" fillId="0" borderId="0" xfId="13" applyFont="1" applyFill="1" applyAlignment="1"/>
    <xf numFmtId="0" fontId="5" fillId="7" borderId="0" xfId="13" applyFont="1" applyFill="1" applyAlignment="1" applyProtection="1"/>
    <xf numFmtId="187" fontId="5" fillId="7" borderId="0" xfId="13" applyNumberFormat="1" applyFont="1" applyFill="1" applyAlignment="1" applyProtection="1">
      <alignment horizontal="right"/>
    </xf>
    <xf numFmtId="187" fontId="5" fillId="0" borderId="0" xfId="13" applyNumberFormat="1" applyFont="1" applyFill="1" applyAlignment="1" applyProtection="1">
      <alignment horizontal="right"/>
    </xf>
    <xf numFmtId="0" fontId="13" fillId="7" borderId="0" xfId="13" applyFont="1" applyFill="1" applyAlignment="1"/>
    <xf numFmtId="0" fontId="1" fillId="7" borderId="0" xfId="13" applyFont="1" applyFill="1" applyAlignment="1"/>
    <xf numFmtId="188" fontId="33" fillId="0" borderId="5" xfId="13" applyNumberFormat="1" applyFont="1" applyFill="1" applyBorder="1" applyAlignment="1" applyProtection="1">
      <alignment horizontal="center"/>
      <protection locked="0"/>
    </xf>
    <xf numFmtId="0" fontId="5" fillId="0" borderId="0" xfId="13" applyFont="1" applyFill="1" applyAlignment="1" applyProtection="1"/>
    <xf numFmtId="0" fontId="1" fillId="0" borderId="0" xfId="13" applyFont="1" applyAlignment="1">
      <alignment horizontal="right"/>
    </xf>
    <xf numFmtId="0" fontId="1" fillId="0" borderId="0" xfId="13" applyFont="1" applyAlignment="1"/>
    <xf numFmtId="189" fontId="5" fillId="0" borderId="0" xfId="13" applyNumberFormat="1" applyFont="1" applyFill="1" applyAlignment="1" applyProtection="1"/>
    <xf numFmtId="0" fontId="5" fillId="0" borderId="0" xfId="13" applyFont="1" applyAlignment="1" applyProtection="1"/>
    <xf numFmtId="7" fontId="1" fillId="0" borderId="0" xfId="13" applyNumberFormat="1" applyFont="1" applyFill="1" applyAlignment="1" applyProtection="1"/>
    <xf numFmtId="0" fontId="5" fillId="0" borderId="0" xfId="13" applyFont="1" applyFill="1" applyAlignment="1" applyProtection="1">
      <alignment horizontal="left"/>
    </xf>
    <xf numFmtId="166" fontId="5" fillId="0" borderId="0" xfId="13" applyNumberFormat="1" applyFont="1" applyFill="1" applyAlignment="1" applyProtection="1"/>
    <xf numFmtId="190" fontId="5" fillId="0" borderId="0" xfId="13" applyNumberFormat="1" applyFont="1" applyFill="1" applyAlignment="1" applyProtection="1"/>
    <xf numFmtId="0" fontId="7" fillId="0" borderId="0" xfId="13" applyFont="1" applyFill="1" applyAlignment="1" applyProtection="1"/>
    <xf numFmtId="0" fontId="7" fillId="0" borderId="0" xfId="13" applyFont="1" applyAlignment="1"/>
    <xf numFmtId="170" fontId="5" fillId="0" borderId="0" xfId="15" applyFont="1" applyAlignment="1">
      <alignment vertical="top" wrapText="1"/>
    </xf>
    <xf numFmtId="170" fontId="5" fillId="0" borderId="0" xfId="14">
      <alignment vertical="top"/>
    </xf>
    <xf numFmtId="0" fontId="0" fillId="0" borderId="0" xfId="13" applyFont="1" applyAlignment="1"/>
    <xf numFmtId="7" fontId="2" fillId="0" borderId="0" xfId="13" applyNumberFormat="1" applyFont="1" applyAlignment="1"/>
    <xf numFmtId="7" fontId="2" fillId="0" borderId="0" xfId="13" applyNumberFormat="1" applyFont="1" applyBorder="1" applyAlignment="1"/>
    <xf numFmtId="3" fontId="1" fillId="0" borderId="0" xfId="14" applyNumberFormat="1" applyFont="1" applyBorder="1" applyAlignment="1" applyProtection="1"/>
    <xf numFmtId="3" fontId="13" fillId="0" borderId="0" xfId="14" applyNumberFormat="1" applyFont="1" applyAlignment="1"/>
    <xf numFmtId="3" fontId="5" fillId="0" borderId="0" xfId="14" applyNumberFormat="1" applyBorder="1" applyAlignment="1" applyProtection="1"/>
    <xf numFmtId="170" fontId="5" fillId="0" borderId="0" xfId="13" applyNumberFormat="1" applyFont="1" applyFill="1" applyAlignment="1" applyProtection="1"/>
    <xf numFmtId="3" fontId="5" fillId="0" borderId="0" xfId="14" applyNumberFormat="1" applyFont="1" applyBorder="1" applyAlignment="1" applyProtection="1"/>
    <xf numFmtId="0" fontId="1" fillId="7" borderId="0" xfId="13" applyFont="1" applyFill="1" applyAlignment="1" applyProtection="1">
      <alignment horizontal="right"/>
    </xf>
    <xf numFmtId="9" fontId="33" fillId="0" borderId="0" xfId="13" applyNumberFormat="1" applyFont="1" applyBorder="1" applyAlignment="1">
      <alignment horizontal="center"/>
    </xf>
    <xf numFmtId="0" fontId="27" fillId="0" borderId="0" xfId="13" applyFont="1" applyAlignment="1" applyProtection="1">
      <alignment horizontal="right"/>
    </xf>
    <xf numFmtId="188" fontId="33" fillId="7" borderId="0" xfId="13" applyNumberFormat="1" applyFont="1" applyFill="1" applyBorder="1" applyAlignment="1" applyProtection="1">
      <alignment horizontal="center"/>
      <protection locked="0"/>
    </xf>
    <xf numFmtId="0" fontId="1" fillId="0" borderId="0" xfId="13" applyFont="1" applyFill="1" applyAlignment="1">
      <alignment horizontal="right"/>
    </xf>
    <xf numFmtId="0" fontId="12" fillId="0" borderId="0" xfId="13" applyFont="1" applyFill="1" applyAlignment="1" applyProtection="1"/>
    <xf numFmtId="3" fontId="5" fillId="0" borderId="0" xfId="14" applyNumberFormat="1" applyFont="1" applyAlignment="1" applyProtection="1"/>
    <xf numFmtId="170" fontId="1" fillId="8" borderId="6" xfId="13" applyNumberFormat="1" applyFont="1" applyFill="1" applyBorder="1" applyAlignment="1">
      <alignment horizontal="center"/>
    </xf>
    <xf numFmtId="170" fontId="1" fillId="8" borderId="3" xfId="13" applyNumberFormat="1" applyFont="1" applyFill="1" applyBorder="1" applyAlignment="1">
      <alignment horizontal="center"/>
    </xf>
    <xf numFmtId="170" fontId="1" fillId="8" borderId="7" xfId="13" applyNumberFormat="1" applyFont="1" applyFill="1" applyBorder="1" applyAlignment="1">
      <alignment horizontal="center"/>
    </xf>
    <xf numFmtId="3" fontId="1" fillId="0" borderId="0" xfId="14" applyNumberFormat="1" applyFont="1" applyAlignment="1"/>
    <xf numFmtId="3" fontId="5" fillId="0" borderId="0" xfId="14" applyNumberFormat="1" applyFont="1" applyBorder="1" applyAlignment="1" applyProtection="1">
      <alignment horizontal="center"/>
    </xf>
    <xf numFmtId="0" fontId="5" fillId="0" borderId="0" xfId="13" applyFont="1" applyAlignment="1">
      <alignment horizontal="center"/>
    </xf>
    <xf numFmtId="0" fontId="5" fillId="8" borderId="0" xfId="13" applyFont="1" applyFill="1" applyAlignment="1">
      <alignment horizontal="center"/>
    </xf>
    <xf numFmtId="191" fontId="5" fillId="8" borderId="0" xfId="13" applyNumberFormat="1" applyFont="1" applyFill="1" applyAlignment="1">
      <alignment horizontal="center"/>
    </xf>
    <xf numFmtId="0" fontId="7" fillId="0" borderId="0" xfId="13" applyFont="1" applyAlignment="1" applyProtection="1"/>
    <xf numFmtId="0" fontId="0" fillId="0" borderId="0" xfId="0" applyFill="1" applyProtection="1">
      <alignment vertical="top"/>
    </xf>
    <xf numFmtId="0" fontId="5" fillId="0" borderId="0" xfId="0" applyFont="1" applyFill="1" applyProtection="1">
      <alignment vertical="top"/>
    </xf>
    <xf numFmtId="0" fontId="5" fillId="0" borderId="0" xfId="0" quotePrefix="1" applyFont="1" applyFill="1" applyProtection="1">
      <alignment vertical="top"/>
    </xf>
    <xf numFmtId="193" fontId="5" fillId="0" borderId="0" xfId="0" applyNumberFormat="1" applyFont="1" applyFill="1" applyAlignment="1" applyProtection="1">
      <alignment horizontal="right" vertical="top"/>
    </xf>
    <xf numFmtId="192" fontId="6" fillId="0" borderId="0" xfId="4" applyNumberFormat="1" applyFill="1" applyProtection="1">
      <protection locked="0"/>
    </xf>
    <xf numFmtId="0" fontId="0" fillId="0" borderId="0" xfId="0" applyFill="1" applyAlignment="1" applyProtection="1">
      <alignment horizontal="left" vertical="top"/>
    </xf>
    <xf numFmtId="0" fontId="0" fillId="0" borderId="0" xfId="0">
      <alignment vertical="top"/>
    </xf>
    <xf numFmtId="188" fontId="1" fillId="0" borderId="0" xfId="0" applyNumberFormat="1" applyFont="1" applyAlignment="1"/>
    <xf numFmtId="191" fontId="5" fillId="0" borderId="0" xfId="13" applyNumberFormat="1" applyFont="1" applyFill="1" applyAlignment="1">
      <alignment horizontal="center"/>
    </xf>
    <xf numFmtId="170" fontId="5" fillId="0" borderId="0" xfId="14" applyFill="1">
      <alignment vertical="top"/>
    </xf>
    <xf numFmtId="8" fontId="5" fillId="0" borderId="0" xfId="9" applyNumberFormat="1" applyProtection="1"/>
    <xf numFmtId="8" fontId="2" fillId="0" borderId="0" xfId="9" applyNumberFormat="1" applyFont="1" applyProtection="1"/>
    <xf numFmtId="6" fontId="5" fillId="0" borderId="0" xfId="5" applyNumberFormat="1" applyProtection="1"/>
    <xf numFmtId="6" fontId="5" fillId="0" borderId="0" xfId="5" applyNumberFormat="1" applyFont="1" applyProtection="1"/>
    <xf numFmtId="6" fontId="2" fillId="0" borderId="0" xfId="5" applyNumberFormat="1" applyFont="1" applyProtection="1"/>
    <xf numFmtId="6" fontId="11" fillId="0" borderId="0" xfId="5" applyNumberFormat="1" applyFont="1" applyBorder="1" applyProtection="1"/>
    <xf numFmtId="6" fontId="0" fillId="0" borderId="0" xfId="0" applyNumberFormat="1" applyAlignment="1" applyProtection="1"/>
    <xf numFmtId="8" fontId="5" fillId="0" borderId="0" xfId="9" applyNumberFormat="1" applyFont="1" applyProtection="1"/>
    <xf numFmtId="8" fontId="11" fillId="0" borderId="0" xfId="9" applyNumberFormat="1" applyFont="1" applyBorder="1" applyProtection="1"/>
    <xf numFmtId="8" fontId="0" fillId="0" borderId="0" xfId="0" applyNumberFormat="1" applyAlignment="1" applyProtection="1"/>
    <xf numFmtId="194" fontId="33" fillId="0" borderId="0" xfId="0" applyNumberFormat="1" applyFont="1" applyFill="1" applyAlignment="1" applyProtection="1">
      <protection locked="0"/>
    </xf>
    <xf numFmtId="165" fontId="6" fillId="0" borderId="0" xfId="4" applyNumberFormat="1" applyProtection="1">
      <protection locked="0"/>
    </xf>
    <xf numFmtId="165" fontId="6" fillId="0" borderId="0" xfId="4" applyNumberFormat="1" applyFill="1">
      <protection locked="0"/>
    </xf>
    <xf numFmtId="170" fontId="13" fillId="0" borderId="0" xfId="15" applyFont="1" applyAlignment="1">
      <alignment horizontal="left" vertical="top" wrapText="1"/>
    </xf>
    <xf numFmtId="170" fontId="22" fillId="0" borderId="0" xfId="15" applyFont="1" applyAlignment="1">
      <alignment horizontal="left" vertical="top" wrapText="1"/>
    </xf>
    <xf numFmtId="164" fontId="18" fillId="0" borderId="0" xfId="0" applyNumberFormat="1" applyFont="1" applyAlignment="1">
      <alignment horizontal="center" wrapText="1"/>
    </xf>
    <xf numFmtId="164" fontId="19" fillId="0" borderId="0" xfId="0" applyNumberFormat="1" applyFont="1" applyAlignment="1">
      <alignment horizontal="center" wrapText="1"/>
    </xf>
    <xf numFmtId="3" fontId="18" fillId="0" borderId="0" xfId="0" applyNumberFormat="1" applyFont="1" applyAlignment="1">
      <alignment horizontal="center" wrapText="1"/>
    </xf>
    <xf numFmtId="164" fontId="13" fillId="0" borderId="0" xfId="0" applyNumberFormat="1" applyFont="1" applyAlignment="1">
      <alignment horizontal="left" vertical="top" wrapText="1"/>
    </xf>
    <xf numFmtId="164" fontId="34" fillId="9" borderId="0" xfId="0" applyNumberFormat="1" applyFont="1" applyFill="1" applyAlignment="1" applyProtection="1">
      <alignment horizontal="center" vertical="center"/>
    </xf>
    <xf numFmtId="5" fontId="35" fillId="9" borderId="0" xfId="0" applyNumberFormat="1" applyFont="1" applyFill="1" applyAlignment="1">
      <alignment horizontal="center" vertical="center"/>
    </xf>
    <xf numFmtId="164" fontId="16" fillId="0" borderId="0" xfId="0" applyNumberFormat="1" applyFont="1" applyAlignment="1" applyProtection="1">
      <alignment horizontal="left" vertical="top" wrapText="1"/>
    </xf>
    <xf numFmtId="164" fontId="0" fillId="0" borderId="0" xfId="0" applyNumberFormat="1" applyAlignment="1" applyProtection="1">
      <alignment horizontal="left" vertical="top" wrapText="1"/>
    </xf>
    <xf numFmtId="3" fontId="35" fillId="9" borderId="0" xfId="0" applyNumberFormat="1" applyFont="1" applyFill="1" applyBorder="1" applyAlignment="1" applyProtection="1">
      <alignment horizontal="center"/>
    </xf>
    <xf numFmtId="0" fontId="34" fillId="9" borderId="0" xfId="13" applyFont="1" applyFill="1" applyAlignment="1" applyProtection="1">
      <alignment horizontal="center"/>
    </xf>
    <xf numFmtId="0" fontId="1" fillId="0" borderId="6" xfId="13" applyFont="1" applyBorder="1" applyAlignment="1">
      <alignment horizontal="center"/>
    </xf>
    <xf numFmtId="0" fontId="1" fillId="0" borderId="3" xfId="13" applyFont="1" applyBorder="1" applyAlignment="1">
      <alignment horizontal="center"/>
    </xf>
    <xf numFmtId="0" fontId="1" fillId="0" borderId="7" xfId="13" applyFont="1" applyBorder="1" applyAlignment="1">
      <alignment horizontal="center"/>
    </xf>
    <xf numFmtId="170" fontId="0" fillId="0" borderId="0" xfId="15" applyFont="1" applyAlignment="1">
      <alignment horizontal="left" vertical="top" wrapText="1"/>
    </xf>
    <xf numFmtId="170" fontId="5" fillId="0" borderId="0" xfId="15" applyFont="1" applyAlignment="1">
      <alignment horizontal="left" vertical="top" wrapText="1"/>
    </xf>
    <xf numFmtId="164" fontId="34" fillId="9" borderId="0" xfId="0" applyNumberFormat="1" applyFont="1" applyFill="1" applyAlignment="1" applyProtection="1">
      <alignment horizontal="center"/>
    </xf>
    <xf numFmtId="164" fontId="14" fillId="0" borderId="0" xfId="0" applyNumberFormat="1" applyFont="1" applyAlignment="1" applyProtection="1">
      <alignment wrapText="1"/>
    </xf>
    <xf numFmtId="164" fontId="15" fillId="0" borderId="0" xfId="0" applyNumberFormat="1" applyFont="1" applyAlignment="1" applyProtection="1">
      <alignment wrapText="1"/>
    </xf>
    <xf numFmtId="1" fontId="15" fillId="0" borderId="0" xfId="0" quotePrefix="1" applyNumberFormat="1" applyFont="1" applyAlignment="1" applyProtection="1">
      <alignment horizontal="left" wrapText="1"/>
    </xf>
    <xf numFmtId="1" fontId="15" fillId="0" borderId="0" xfId="0" applyNumberFormat="1" applyFont="1" applyAlignment="1" applyProtection="1">
      <alignment horizontal="left" wrapText="1"/>
    </xf>
    <xf numFmtId="164" fontId="35" fillId="9" borderId="0" xfId="0" quotePrefix="1" applyNumberFormat="1" applyFont="1" applyFill="1" applyAlignment="1" applyProtection="1">
      <alignment horizontal="center"/>
    </xf>
    <xf numFmtId="3" fontId="5" fillId="0" borderId="0" xfId="0" applyNumberFormat="1" applyFont="1" applyAlignment="1" applyProtection="1">
      <alignment vertical="top" wrapText="1"/>
    </xf>
    <xf numFmtId="164" fontId="5" fillId="0" borderId="0" xfId="0" applyNumberFormat="1" applyFont="1" applyAlignment="1" applyProtection="1">
      <alignment vertical="top" wrapText="1"/>
    </xf>
    <xf numFmtId="3" fontId="5" fillId="0" borderId="0" xfId="0" applyNumberFormat="1" applyFont="1" applyAlignment="1" applyProtection="1">
      <alignment wrapText="1"/>
    </xf>
    <xf numFmtId="164" fontId="5" fillId="0" borderId="0" xfId="0" applyNumberFormat="1" applyFont="1" applyAlignment="1" applyProtection="1">
      <alignment wrapText="1"/>
    </xf>
    <xf numFmtId="164" fontId="4" fillId="0" borderId="0" xfId="0" applyNumberFormat="1" applyFont="1" applyAlignment="1" applyProtection="1">
      <alignment horizontal="center" wrapText="1"/>
    </xf>
    <xf numFmtId="164" fontId="14" fillId="0" borderId="0" xfId="0" applyNumberFormat="1" applyFont="1" applyAlignment="1" applyProtection="1">
      <alignment horizontal="center" vertical="top" wrapText="1"/>
    </xf>
    <xf numFmtId="164" fontId="15" fillId="0" borderId="0" xfId="0" applyNumberFormat="1" applyFont="1" applyAlignment="1" applyProtection="1">
      <alignment horizontal="center" vertical="top" wrapText="1"/>
    </xf>
    <xf numFmtId="164" fontId="34" fillId="9" borderId="0" xfId="12" applyNumberFormat="1" applyFont="1" applyFill="1" applyAlignment="1">
      <alignment horizontal="center"/>
    </xf>
  </cellXfs>
  <cellStyles count="27">
    <cellStyle name="Curr ($1,234) L Black" xfId="1"/>
    <cellStyle name="Curr ($1,234) U Blue" xfId="2"/>
    <cellStyle name="Curr ($1,234.00) L Black" xfId="3"/>
    <cellStyle name="Curr ($1,234.00) U Blue" xfId="4"/>
    <cellStyle name="Curr (1,234) L Black" xfId="5"/>
    <cellStyle name="Curr (1,234) U Blue" xfId="6"/>
    <cellStyle name="Curr (1,234.0) L Black" xfId="7"/>
    <cellStyle name="Curr (1,234.0) U Blue" xfId="8"/>
    <cellStyle name="Curr (1,234.00) L Black" xfId="9"/>
    <cellStyle name="Curr (1,234.00) U Blue" xfId="10"/>
    <cellStyle name="Hyperlink" xfId="11" builtinId="8"/>
    <cellStyle name="Normal" xfId="0" builtinId="0"/>
    <cellStyle name="Normal 2" xfId="12"/>
    <cellStyle name="Normal 3" xfId="13"/>
    <cellStyle name="Normal 4" xfId="14"/>
    <cellStyle name="Normal_Farrow-Wean 500" xfId="15"/>
    <cellStyle name="Num (1,234) L Black" xfId="16"/>
    <cellStyle name="Num (1,234) U Blue" xfId="17"/>
    <cellStyle name="Num (1,234.0) L Black" xfId="18"/>
    <cellStyle name="Num (1,234.0) U Blue" xfId="19"/>
    <cellStyle name="Num (1,234.10) L Black" xfId="20"/>
    <cellStyle name="Num (1,234.10) U Blue" xfId="21"/>
    <cellStyle name="Percent 00.00% L Black" xfId="22"/>
    <cellStyle name="Percent 00.00% U Blue" xfId="23"/>
    <cellStyle name="Standard_Anpassen der Amortisation" xfId="24"/>
    <cellStyle name="Währung [0]_Compiling Utility Macros" xfId="25"/>
    <cellStyle name="Währung_Compiling Utility Macros"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gov.mb.ca/agriculture/farm-management/production-economics/cost-of-production.html" TargetMode="External"/><Relationship Id="rId1" Type="http://schemas.openxmlformats.org/officeDocument/2006/relationships/image" Target="../media/image1.jpeg"/><Relationship Id="rId4" Type="http://schemas.openxmlformats.org/officeDocument/2006/relationships/hyperlink" Target="https://www.gov.mb.ca/agriculture/farm-management/production-economics/machinery-cost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gov.mb.ca/agriculture/farm-management/farm-business-management-contacts.html"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390525</xdr:colOff>
      <xdr:row>0</xdr:row>
      <xdr:rowOff>171450</xdr:rowOff>
    </xdr:from>
    <xdr:to>
      <xdr:col>10</xdr:col>
      <xdr:colOff>542925</xdr:colOff>
      <xdr:row>2</xdr:row>
      <xdr:rowOff>114300</xdr:rowOff>
    </xdr:to>
    <xdr:pic>
      <xdr:nvPicPr>
        <xdr:cNvPr id="4440"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171450"/>
          <a:ext cx="1676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19050</xdr:colOff>
          <xdr:row>9</xdr:row>
          <xdr:rowOff>95250</xdr:rowOff>
        </xdr:from>
        <xdr:to>
          <xdr:col>2</xdr:col>
          <xdr:colOff>66675</xdr:colOff>
          <xdr:row>10</xdr:row>
          <xdr:rowOff>161925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Print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9</xdr:row>
          <xdr:rowOff>104775</xdr:rowOff>
        </xdr:from>
        <xdr:to>
          <xdr:col>4</xdr:col>
          <xdr:colOff>47625</xdr:colOff>
          <xdr:row>10</xdr:row>
          <xdr:rowOff>161925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Print Summary</a:t>
              </a:r>
            </a:p>
          </xdr:txBody>
        </xdr:sp>
        <xdr:clientData fPrintsWithSheet="0"/>
      </xdr:twoCellAnchor>
    </mc:Choice>
    <mc:Fallback/>
  </mc:AlternateContent>
  <xdr:twoCellAnchor editAs="oneCell">
    <xdr:from>
      <xdr:col>4</xdr:col>
      <xdr:colOff>276225</xdr:colOff>
      <xdr:row>35</xdr:row>
      <xdr:rowOff>209550</xdr:rowOff>
    </xdr:from>
    <xdr:to>
      <xdr:col>5</xdr:col>
      <xdr:colOff>704850</xdr:colOff>
      <xdr:row>41</xdr:row>
      <xdr:rowOff>28575</xdr:rowOff>
    </xdr:to>
    <xdr:pic>
      <xdr:nvPicPr>
        <xdr:cNvPr id="8" name="Picture 1">
          <a:hlinkClick xmlns:r="http://schemas.openxmlformats.org/officeDocument/2006/relationships" r:id="rId2" tooltip="Click here for list of Cost of Production Guide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95625" y="8020050"/>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523875</xdr:colOff>
      <xdr:row>41</xdr:row>
      <xdr:rowOff>200025</xdr:rowOff>
    </xdr:from>
    <xdr:to>
      <xdr:col>6</xdr:col>
      <xdr:colOff>609600</xdr:colOff>
      <xdr:row>43</xdr:row>
      <xdr:rowOff>9526</xdr:rowOff>
    </xdr:to>
    <xdr:sp macro="" textlink="">
      <xdr:nvSpPr>
        <xdr:cNvPr id="9" name="TextBox 8">
          <a:hlinkClick xmlns:r="http://schemas.openxmlformats.org/officeDocument/2006/relationships" r:id="rId4" tooltip="Click here for Farm Machinery Custom and Rental Rate Guide"/>
        </xdr:cNvPr>
        <xdr:cNvSpPr txBox="1"/>
      </xdr:nvSpPr>
      <xdr:spPr>
        <a:xfrm>
          <a:off x="523875" y="9382125"/>
          <a:ext cx="4429125" cy="26670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Custom and Rental Rate Guide</a:t>
          </a:r>
          <a:endParaRPr lang="en-CA" sz="1400" b="0" i="1" u="none" baseline="0">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74</xdr:row>
      <xdr:rowOff>66675</xdr:rowOff>
    </xdr:from>
    <xdr:to>
      <xdr:col>8</xdr:col>
      <xdr:colOff>742950</xdr:colOff>
      <xdr:row>79</xdr:row>
      <xdr:rowOff>38100</xdr:rowOff>
    </xdr:to>
    <xdr:pic>
      <xdr:nvPicPr>
        <xdr:cNvPr id="4" name="Picture 6">
          <a:hlinkClick xmlns:r="http://schemas.openxmlformats.org/officeDocument/2006/relationships" r:id="rId1" tooltip="Click here for a list of Farm Management contacts."/>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0225" y="14620875"/>
          <a:ext cx="40005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fitToPage="1"/>
  </sheetPr>
  <dimension ref="A1:K48"/>
  <sheetViews>
    <sheetView showGridLines="0" tabSelected="1" zoomScaleNormal="100" workbookViewId="0"/>
  </sheetViews>
  <sheetFormatPr defaultRowHeight="15" x14ac:dyDescent="0.2"/>
  <cols>
    <col min="1" max="1" width="6.21875" customWidth="1"/>
  </cols>
  <sheetData>
    <row r="1" spans="1:11" s="99" customFormat="1" x14ac:dyDescent="0.2"/>
    <row r="2" spans="1:11" s="99" customFormat="1" x14ac:dyDescent="0.2">
      <c r="A2" s="100"/>
      <c r="B2" s="100"/>
      <c r="C2" s="100"/>
      <c r="D2" s="100"/>
      <c r="E2" s="100"/>
      <c r="F2" s="100"/>
      <c r="G2" s="100"/>
      <c r="H2" s="100"/>
      <c r="I2" s="100"/>
      <c r="J2" s="100"/>
    </row>
    <row r="3" spans="1:11" s="103" customFormat="1" ht="27" x14ac:dyDescent="0.2">
      <c r="A3" s="101" t="s">
        <v>209</v>
      </c>
      <c r="B3" s="102"/>
      <c r="C3" s="102"/>
      <c r="D3" s="102"/>
      <c r="E3" s="102"/>
      <c r="F3" s="102"/>
      <c r="G3" s="102"/>
      <c r="H3" s="102"/>
      <c r="I3" s="102"/>
      <c r="J3" s="102"/>
    </row>
    <row r="4" spans="1:11" s="103" customFormat="1" ht="15" customHeight="1" x14ac:dyDescent="0.2">
      <c r="A4" s="101"/>
      <c r="B4" s="102"/>
      <c r="C4" s="102"/>
      <c r="D4" s="102"/>
      <c r="E4" s="102"/>
      <c r="F4" s="102"/>
      <c r="G4" s="102"/>
      <c r="H4" s="102"/>
      <c r="I4" s="102"/>
      <c r="J4" s="102"/>
    </row>
    <row r="5" spans="1:11" ht="20.25" customHeight="1" x14ac:dyDescent="0.3">
      <c r="A5" s="343" t="s">
        <v>210</v>
      </c>
      <c r="B5" s="343"/>
      <c r="C5" s="343"/>
      <c r="D5" s="343"/>
      <c r="E5" s="343"/>
      <c r="F5" s="343"/>
      <c r="G5" s="343"/>
      <c r="H5" s="343"/>
      <c r="I5" s="343"/>
      <c r="J5" s="343"/>
      <c r="K5" s="343"/>
    </row>
    <row r="6" spans="1:11" ht="26.25" customHeight="1" x14ac:dyDescent="0.4">
      <c r="A6" s="344" t="s">
        <v>189</v>
      </c>
      <c r="B6" s="344"/>
      <c r="C6" s="344"/>
      <c r="D6" s="344"/>
      <c r="E6" s="344"/>
      <c r="F6" s="344"/>
      <c r="G6" s="344"/>
      <c r="H6" s="344"/>
      <c r="I6" s="344"/>
      <c r="J6" s="344"/>
      <c r="K6" s="344"/>
    </row>
    <row r="7" spans="1:11" ht="20.25" customHeight="1" x14ac:dyDescent="0.3">
      <c r="A7" s="343" t="str">
        <f>"For Weight Range of "&amp;Input!E7&amp;" - "&amp;Input!E9&amp;" lbs"</f>
        <v>For Weight Range of 480 - 800 lbs</v>
      </c>
      <c r="B7" s="343"/>
      <c r="C7" s="343"/>
      <c r="D7" s="343"/>
      <c r="E7" s="343"/>
      <c r="F7" s="343"/>
      <c r="G7" s="343"/>
      <c r="H7" s="343"/>
      <c r="I7" s="343"/>
      <c r="J7" s="343"/>
      <c r="K7" s="343"/>
    </row>
    <row r="8" spans="1:11" ht="20.25" customHeight="1" x14ac:dyDescent="0.3">
      <c r="A8" s="345" t="str">
        <f>"Based on "&amp;Input!E5&amp;" Head"</f>
        <v>Based on 300 Head</v>
      </c>
      <c r="B8" s="345"/>
      <c r="C8" s="345"/>
      <c r="D8" s="345"/>
      <c r="E8" s="345"/>
      <c r="F8" s="345"/>
      <c r="G8" s="345"/>
      <c r="H8" s="345"/>
      <c r="I8" s="345"/>
      <c r="J8" s="345"/>
      <c r="K8" s="345"/>
    </row>
    <row r="10" spans="1:11" ht="18.75" customHeight="1" x14ac:dyDescent="0.2"/>
    <row r="11" spans="1:11" ht="23.25" x14ac:dyDescent="0.25">
      <c r="B11" s="104"/>
      <c r="C11" s="104"/>
      <c r="D11" s="104"/>
      <c r="E11" s="104"/>
      <c r="F11" s="104"/>
      <c r="H11" s="105" t="s">
        <v>211</v>
      </c>
      <c r="I11" s="104"/>
      <c r="J11" s="106" t="s">
        <v>339</v>
      </c>
    </row>
    <row r="12" spans="1:11" ht="23.25" x14ac:dyDescent="0.2">
      <c r="B12" s="104"/>
      <c r="C12" s="104"/>
      <c r="D12" s="104"/>
      <c r="E12" s="104"/>
      <c r="F12" s="104"/>
      <c r="G12" s="104"/>
      <c r="H12" s="104"/>
      <c r="I12" s="107"/>
      <c r="J12" s="108"/>
    </row>
    <row r="13" spans="1:11" x14ac:dyDescent="0.2">
      <c r="B13" s="109"/>
      <c r="C13" s="109"/>
      <c r="D13" s="109"/>
      <c r="E13" s="109"/>
      <c r="F13" s="109"/>
      <c r="G13" s="109"/>
      <c r="H13" s="109"/>
      <c r="I13" s="109"/>
    </row>
    <row r="15" spans="1:11" s="110" customFormat="1" ht="15" customHeight="1" x14ac:dyDescent="0.2">
      <c r="B15" s="341" t="s">
        <v>216</v>
      </c>
      <c r="C15" s="341"/>
      <c r="D15" s="341"/>
      <c r="E15" s="341"/>
      <c r="F15" s="341"/>
      <c r="G15" s="341"/>
      <c r="H15" s="341"/>
      <c r="I15" s="341"/>
      <c r="J15" s="341"/>
      <c r="K15" s="341"/>
    </row>
    <row r="16" spans="1:11" s="110" customFormat="1" ht="15" customHeight="1" x14ac:dyDescent="0.2">
      <c r="B16" s="341"/>
      <c r="C16" s="341"/>
      <c r="D16" s="341"/>
      <c r="E16" s="341"/>
      <c r="F16" s="341"/>
      <c r="G16" s="341"/>
      <c r="H16" s="341"/>
      <c r="I16" s="341"/>
      <c r="J16" s="341"/>
      <c r="K16" s="341"/>
    </row>
    <row r="17" spans="2:11" s="110" customFormat="1" ht="18.75" customHeight="1" x14ac:dyDescent="0.2">
      <c r="B17" s="341"/>
      <c r="C17" s="341"/>
      <c r="D17" s="341"/>
      <c r="E17" s="341"/>
      <c r="F17" s="341"/>
      <c r="G17" s="341"/>
      <c r="H17" s="341"/>
      <c r="I17" s="341"/>
      <c r="J17" s="341"/>
      <c r="K17" s="341"/>
    </row>
    <row r="18" spans="2:11" s="110" customFormat="1" ht="18.75" customHeight="1" x14ac:dyDescent="0.2">
      <c r="B18" s="341"/>
      <c r="C18" s="341"/>
      <c r="D18" s="341"/>
      <c r="E18" s="341"/>
      <c r="F18" s="341"/>
      <c r="G18" s="341"/>
      <c r="H18" s="341"/>
      <c r="I18" s="341"/>
      <c r="J18" s="341"/>
      <c r="K18" s="341"/>
    </row>
    <row r="19" spans="2:11" s="110" customFormat="1" ht="18.75" customHeight="1" x14ac:dyDescent="0.2">
      <c r="B19" s="341"/>
      <c r="C19" s="341"/>
      <c r="D19" s="341"/>
      <c r="E19" s="341"/>
      <c r="F19" s="341"/>
      <c r="G19" s="341"/>
      <c r="H19" s="341"/>
      <c r="I19" s="341"/>
      <c r="J19" s="341"/>
      <c r="K19" s="341"/>
    </row>
    <row r="20" spans="2:11" s="110" customFormat="1" ht="18.75" customHeight="1" x14ac:dyDescent="0.2">
      <c r="B20" s="341"/>
      <c r="C20" s="341"/>
      <c r="D20" s="341"/>
      <c r="E20" s="341"/>
      <c r="F20" s="341"/>
      <c r="G20" s="341"/>
      <c r="H20" s="341"/>
      <c r="I20" s="341"/>
      <c r="J20" s="341"/>
      <c r="K20" s="341"/>
    </row>
    <row r="21" spans="2:11" s="110" customFormat="1" ht="18.75" customHeight="1" x14ac:dyDescent="0.2">
      <c r="B21" s="341"/>
      <c r="C21" s="341"/>
      <c r="D21" s="341"/>
      <c r="E21" s="341"/>
      <c r="F21" s="341"/>
      <c r="G21" s="341"/>
      <c r="H21" s="341"/>
      <c r="I21" s="341"/>
      <c r="J21" s="341"/>
      <c r="K21" s="341"/>
    </row>
    <row r="22" spans="2:11" s="110" customFormat="1" ht="18" customHeight="1" x14ac:dyDescent="0.2">
      <c r="B22" s="341"/>
      <c r="C22" s="341"/>
      <c r="D22" s="341"/>
      <c r="E22" s="341"/>
      <c r="F22" s="341"/>
      <c r="G22" s="341"/>
      <c r="H22" s="341"/>
      <c r="I22" s="341"/>
      <c r="J22" s="341"/>
      <c r="K22" s="341"/>
    </row>
    <row r="23" spans="2:11" ht="15" customHeight="1" x14ac:dyDescent="0.2">
      <c r="B23" s="346" t="s">
        <v>217</v>
      </c>
      <c r="C23" s="346"/>
      <c r="D23" s="346"/>
      <c r="E23" s="346"/>
      <c r="F23" s="346"/>
      <c r="G23" s="346"/>
      <c r="H23" s="346"/>
      <c r="I23" s="346"/>
      <c r="J23" s="346"/>
      <c r="K23" s="346"/>
    </row>
    <row r="24" spans="2:11" ht="15" customHeight="1" x14ac:dyDescent="0.2">
      <c r="B24" s="346"/>
      <c r="C24" s="346"/>
      <c r="D24" s="346"/>
      <c r="E24" s="346"/>
      <c r="F24" s="346"/>
      <c r="G24" s="346"/>
      <c r="H24" s="346"/>
      <c r="I24" s="346"/>
      <c r="J24" s="346"/>
      <c r="K24" s="346"/>
    </row>
    <row r="25" spans="2:11" ht="15" customHeight="1" x14ac:dyDescent="0.2">
      <c r="B25" s="346"/>
      <c r="C25" s="346"/>
      <c r="D25" s="346"/>
      <c r="E25" s="346"/>
      <c r="F25" s="346"/>
      <c r="G25" s="346"/>
      <c r="H25" s="346"/>
      <c r="I25" s="346"/>
      <c r="J25" s="346"/>
      <c r="K25" s="346"/>
    </row>
    <row r="26" spans="2:11" ht="15" customHeight="1" x14ac:dyDescent="0.2">
      <c r="B26" s="346"/>
      <c r="C26" s="346"/>
      <c r="D26" s="346"/>
      <c r="E26" s="346"/>
      <c r="F26" s="346"/>
      <c r="G26" s="346"/>
      <c r="H26" s="346"/>
      <c r="I26" s="346"/>
      <c r="J26" s="346"/>
      <c r="K26" s="346"/>
    </row>
    <row r="27" spans="2:11" ht="15" customHeight="1" x14ac:dyDescent="0.2">
      <c r="B27" s="346"/>
      <c r="C27" s="346"/>
      <c r="D27" s="346"/>
      <c r="E27" s="346"/>
      <c r="F27" s="346"/>
      <c r="G27" s="346"/>
      <c r="H27" s="346"/>
      <c r="I27" s="346"/>
      <c r="J27" s="346"/>
      <c r="K27" s="346"/>
    </row>
    <row r="28" spans="2:11" ht="19.5" customHeight="1" x14ac:dyDescent="0.2">
      <c r="B28" s="346"/>
      <c r="C28" s="346"/>
      <c r="D28" s="346"/>
      <c r="E28" s="346"/>
      <c r="F28" s="346"/>
      <c r="G28" s="346"/>
      <c r="H28" s="346"/>
      <c r="I28" s="346"/>
      <c r="J28" s="346"/>
      <c r="K28" s="346"/>
    </row>
    <row r="29" spans="2:11" ht="19.5" customHeight="1" x14ac:dyDescent="0.2">
      <c r="B29" s="111"/>
      <c r="C29" s="111"/>
      <c r="D29" s="111"/>
      <c r="E29" s="111"/>
      <c r="F29" s="111"/>
      <c r="G29" s="111"/>
      <c r="H29" s="111"/>
      <c r="I29" s="111"/>
    </row>
    <row r="30" spans="2:11" s="110" customFormat="1" ht="15" customHeight="1" x14ac:dyDescent="0.2">
      <c r="B30" s="341" t="s">
        <v>212</v>
      </c>
      <c r="C30" s="341"/>
      <c r="D30" s="341"/>
      <c r="E30" s="341"/>
      <c r="F30" s="341"/>
      <c r="G30" s="341"/>
      <c r="H30" s="341"/>
      <c r="I30" s="341"/>
      <c r="J30" s="341"/>
      <c r="K30" s="341"/>
    </row>
    <row r="31" spans="2:11" s="110" customFormat="1" ht="15" customHeight="1" x14ac:dyDescent="0.2">
      <c r="B31" s="341"/>
      <c r="C31" s="341"/>
      <c r="D31" s="341"/>
      <c r="E31" s="341"/>
      <c r="F31" s="341"/>
      <c r="G31" s="341"/>
      <c r="H31" s="341"/>
      <c r="I31" s="341"/>
      <c r="J31" s="341"/>
      <c r="K31" s="341"/>
    </row>
    <row r="32" spans="2:11" s="110" customFormat="1" ht="15" customHeight="1" x14ac:dyDescent="0.2">
      <c r="B32" s="341"/>
      <c r="C32" s="341"/>
      <c r="D32" s="341"/>
      <c r="E32" s="341"/>
      <c r="F32" s="341"/>
      <c r="G32" s="341"/>
      <c r="H32" s="341"/>
      <c r="I32" s="341"/>
      <c r="J32" s="341"/>
      <c r="K32" s="341"/>
    </row>
    <row r="33" spans="2:11" s="110" customFormat="1" ht="15" customHeight="1" x14ac:dyDescent="0.2">
      <c r="B33" s="341"/>
      <c r="C33" s="341"/>
      <c r="D33" s="341"/>
      <c r="E33" s="341"/>
      <c r="F33" s="341"/>
      <c r="G33" s="341"/>
      <c r="H33" s="341"/>
      <c r="I33" s="341"/>
      <c r="J33" s="341"/>
      <c r="K33" s="341"/>
    </row>
    <row r="34" spans="2:11" s="110" customFormat="1" ht="15" customHeight="1" x14ac:dyDescent="0.2">
      <c r="B34" s="341"/>
      <c r="C34" s="341"/>
      <c r="D34" s="341"/>
      <c r="E34" s="341"/>
      <c r="F34" s="341"/>
      <c r="G34" s="341"/>
      <c r="H34" s="341"/>
      <c r="I34" s="341"/>
      <c r="J34" s="341"/>
      <c r="K34" s="341"/>
    </row>
    <row r="35" spans="2:11" s="110" customFormat="1" ht="15" customHeight="1" x14ac:dyDescent="0.2">
      <c r="B35" s="341"/>
      <c r="C35" s="341"/>
      <c r="D35" s="341"/>
      <c r="E35" s="341"/>
      <c r="F35" s="341"/>
      <c r="G35" s="341"/>
      <c r="H35" s="341"/>
      <c r="I35" s="341"/>
      <c r="J35" s="341"/>
      <c r="K35" s="341"/>
    </row>
    <row r="36" spans="2:11" s="99" customFormat="1" ht="18" customHeight="1" x14ac:dyDescent="0.2">
      <c r="B36" s="112" t="s">
        <v>213</v>
      </c>
      <c r="C36" s="112"/>
      <c r="D36" s="112"/>
      <c r="E36" s="112"/>
      <c r="F36" s="112"/>
      <c r="G36" s="112"/>
      <c r="H36" s="112"/>
      <c r="I36" s="112"/>
      <c r="J36" s="112"/>
    </row>
    <row r="37" spans="2:11" s="99" customFormat="1" ht="18" customHeight="1" x14ac:dyDescent="0.2">
      <c r="B37" s="112"/>
      <c r="C37" s="112"/>
      <c r="D37" s="112"/>
      <c r="E37" s="112"/>
      <c r="F37" s="112"/>
      <c r="G37" s="112"/>
      <c r="H37" s="112"/>
      <c r="I37" s="112"/>
      <c r="J37" s="112"/>
    </row>
    <row r="38" spans="2:11" s="99" customFormat="1" ht="18" customHeight="1" x14ac:dyDescent="0.2">
      <c r="B38" s="112"/>
      <c r="C38" s="112"/>
      <c r="D38" s="112"/>
      <c r="E38" s="112"/>
      <c r="F38" s="112"/>
      <c r="G38" s="112"/>
      <c r="H38" s="112"/>
      <c r="I38" s="112"/>
      <c r="J38" s="112"/>
    </row>
    <row r="39" spans="2:11" s="99" customFormat="1" ht="18" customHeight="1" x14ac:dyDescent="0.2">
      <c r="B39" s="112"/>
      <c r="C39" s="112"/>
      <c r="D39" s="112"/>
      <c r="E39" s="112"/>
      <c r="F39" s="112"/>
      <c r="G39" s="112"/>
      <c r="H39" s="112"/>
      <c r="I39" s="112"/>
      <c r="J39" s="112"/>
    </row>
    <row r="40" spans="2:11" s="99" customFormat="1" ht="18" customHeight="1" x14ac:dyDescent="0.2">
      <c r="B40" s="112"/>
      <c r="C40" s="112"/>
      <c r="D40" s="112"/>
      <c r="E40" s="112"/>
      <c r="F40" s="112"/>
      <c r="G40" s="112"/>
      <c r="H40" s="112"/>
      <c r="I40" s="112"/>
      <c r="J40" s="112"/>
    </row>
    <row r="41" spans="2:11" s="99" customFormat="1" ht="18" customHeight="1" x14ac:dyDescent="0.2">
      <c r="B41" s="112"/>
      <c r="C41" s="112"/>
      <c r="D41" s="112"/>
      <c r="E41" s="112"/>
      <c r="F41" s="112"/>
      <c r="G41" s="112"/>
      <c r="H41" s="112"/>
      <c r="I41" s="112"/>
      <c r="J41" s="112"/>
    </row>
    <row r="42" spans="2:11" s="99" customFormat="1" ht="18" customHeight="1" x14ac:dyDescent="0.2">
      <c r="B42" s="112"/>
      <c r="C42" s="112"/>
      <c r="D42" s="112"/>
      <c r="E42" s="112"/>
      <c r="F42" s="112"/>
      <c r="G42" s="112"/>
      <c r="H42" s="112"/>
      <c r="I42" s="112"/>
      <c r="J42" s="112"/>
    </row>
    <row r="43" spans="2:11" s="99" customFormat="1" ht="18" customHeight="1" x14ac:dyDescent="0.2">
      <c r="B43" s="112" t="s">
        <v>214</v>
      </c>
      <c r="C43" s="113"/>
      <c r="D43" s="113"/>
      <c r="E43" s="113"/>
      <c r="F43" s="113"/>
      <c r="I43" s="113"/>
      <c r="J43" s="113"/>
    </row>
    <row r="44" spans="2:11" s="110" customFormat="1" ht="18" customHeight="1" x14ac:dyDescent="0.2">
      <c r="B44" s="112" t="s">
        <v>215</v>
      </c>
      <c r="C44" s="114"/>
      <c r="D44" s="114"/>
      <c r="E44" s="114"/>
      <c r="F44" s="114"/>
      <c r="G44" s="114"/>
      <c r="H44" s="114"/>
      <c r="I44" s="114"/>
    </row>
    <row r="45" spans="2:11" s="110" customFormat="1" ht="15" customHeight="1" x14ac:dyDescent="0.2">
      <c r="B45" s="114"/>
      <c r="C45" s="114"/>
      <c r="D45" s="114"/>
      <c r="E45" s="114"/>
      <c r="F45" s="114"/>
      <c r="G45" s="114"/>
      <c r="H45" s="114"/>
      <c r="I45" s="114"/>
    </row>
    <row r="46" spans="2:11" s="99" customFormat="1" ht="18" customHeight="1" x14ac:dyDescent="0.2">
      <c r="B46" s="342" t="s">
        <v>340</v>
      </c>
      <c r="C46" s="342"/>
      <c r="D46" s="342"/>
      <c r="E46" s="342"/>
      <c r="F46" s="342"/>
      <c r="G46" s="342"/>
      <c r="H46" s="342"/>
      <c r="I46" s="342"/>
      <c r="J46" s="342"/>
      <c r="K46" s="342"/>
    </row>
    <row r="47" spans="2:11" s="99" customFormat="1" ht="18" customHeight="1" x14ac:dyDescent="0.2">
      <c r="B47" s="342"/>
      <c r="C47" s="342"/>
      <c r="D47" s="342"/>
      <c r="E47" s="342"/>
      <c r="F47" s="342"/>
      <c r="G47" s="342"/>
      <c r="H47" s="342"/>
      <c r="I47" s="342"/>
      <c r="J47" s="342"/>
      <c r="K47" s="342"/>
    </row>
    <row r="48" spans="2:11" s="99" customFormat="1" ht="18" customHeight="1" x14ac:dyDescent="0.2">
      <c r="B48" s="342"/>
      <c r="C48" s="342"/>
      <c r="D48" s="342"/>
      <c r="E48" s="342"/>
      <c r="F48" s="342"/>
      <c r="G48" s="342"/>
      <c r="H48" s="342"/>
      <c r="I48" s="342"/>
      <c r="J48" s="342"/>
      <c r="K48" s="342"/>
    </row>
  </sheetData>
  <sheetProtection password="C6A6" sheet="1"/>
  <mergeCells count="8">
    <mergeCell ref="B30:K35"/>
    <mergeCell ref="B46:K48"/>
    <mergeCell ref="A5:K5"/>
    <mergeCell ref="A6:K6"/>
    <mergeCell ref="A7:K7"/>
    <mergeCell ref="A8:K8"/>
    <mergeCell ref="B15:K22"/>
    <mergeCell ref="B23:K28"/>
  </mergeCells>
  <pageMargins left="0.74803149606299213" right="0.74803149606299213" top="0.51181102362204722" bottom="0.98425196850393704" header="0.39370078740157483" footer="0.51181102362204722"/>
  <pageSetup scale="84" orientation="portrait" horizontalDpi="18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printall">
                <anchor moveWithCells="1" sizeWithCells="1">
                  <from>
                    <xdr:col>1</xdr:col>
                    <xdr:colOff>19050</xdr:colOff>
                    <xdr:row>9</xdr:row>
                    <xdr:rowOff>95250</xdr:rowOff>
                  </from>
                  <to>
                    <xdr:col>2</xdr:col>
                    <xdr:colOff>66675</xdr:colOff>
                    <xdr:row>10</xdr:row>
                    <xdr:rowOff>161925</xdr:rowOff>
                  </to>
                </anchor>
              </controlPr>
            </control>
          </mc:Choice>
        </mc:AlternateContent>
        <mc:AlternateContent xmlns:mc="http://schemas.openxmlformats.org/markup-compatibility/2006">
          <mc:Choice Requires="x14">
            <control shapeId="4098" r:id="rId5" name="Button 2">
              <controlPr defaultSize="0" print="0" autoFill="0" autoPict="0">
                <anchor moveWithCells="1" sizeWithCells="1">
                  <from>
                    <xdr:col>2</xdr:col>
                    <xdr:colOff>161925</xdr:colOff>
                    <xdr:row>9</xdr:row>
                    <xdr:rowOff>104775</xdr:rowOff>
                  </from>
                  <to>
                    <xdr:col>4</xdr:col>
                    <xdr:colOff>47625</xdr:colOff>
                    <xdr:row>10</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K71"/>
  <sheetViews>
    <sheetView showGridLines="0" zoomScaleNormal="100" workbookViewId="0">
      <selection sqref="A1:G1"/>
    </sheetView>
  </sheetViews>
  <sheetFormatPr defaultRowHeight="15" x14ac:dyDescent="0.2"/>
  <cols>
    <col min="1" max="1" width="8.88671875" style="4"/>
    <col min="2" max="2" width="26" style="4" customWidth="1"/>
    <col min="3" max="3" width="12.44140625" style="4" customWidth="1"/>
    <col min="4" max="4" width="4.5546875" style="4" customWidth="1"/>
    <col min="5" max="5" width="13.88671875" style="4" customWidth="1"/>
    <col min="6" max="6" width="2.44140625" style="4" customWidth="1"/>
    <col min="7" max="16384" width="8.88671875" style="4"/>
  </cols>
  <sheetData>
    <row r="1" spans="1:7" ht="18" x14ac:dyDescent="0.2">
      <c r="A1" s="347" t="str">
        <f>"Bison Bull Backgrounding Production Cost Summary   "&amp;Introduction!J11</f>
        <v>Bison Bull Backgrounding Production Cost Summary   October, 2022</v>
      </c>
      <c r="B1" s="347"/>
      <c r="C1" s="347"/>
      <c r="D1" s="347"/>
      <c r="E1" s="347"/>
      <c r="F1" s="347"/>
      <c r="G1" s="347"/>
    </row>
    <row r="2" spans="1:7" s="115" customFormat="1" ht="18" customHeight="1" x14ac:dyDescent="0.2">
      <c r="A2" s="348" t="str">
        <f>"Based on "&amp;Input!E5&amp;" feeders, weight range "&amp;Input!E7&amp;" to "&amp;Input!E9&amp;" lbs,  @ "&amp;Input!E14&amp;" lbs. ADG"</f>
        <v>Based on 300 feeders, weight range 480 to 800 lbs,  @ 1.45 lbs. ADG</v>
      </c>
      <c r="B2" s="348"/>
      <c r="C2" s="348"/>
      <c r="D2" s="348"/>
      <c r="E2" s="348"/>
      <c r="F2" s="348"/>
      <c r="G2" s="348"/>
    </row>
    <row r="4" spans="1:7" ht="15.75" x14ac:dyDescent="0.25">
      <c r="A4" s="5" t="s">
        <v>134</v>
      </c>
      <c r="C4" s="14" t="s">
        <v>24</v>
      </c>
      <c r="E4" s="14" t="s">
        <v>25</v>
      </c>
      <c r="G4" s="10" t="s">
        <v>133</v>
      </c>
    </row>
    <row r="5" spans="1:7" ht="15.75" x14ac:dyDescent="0.25">
      <c r="A5" s="5" t="s">
        <v>135</v>
      </c>
    </row>
    <row r="6" spans="1:7" x14ac:dyDescent="0.2">
      <c r="A6" s="19" t="s">
        <v>197</v>
      </c>
      <c r="C6" s="328">
        <f>Details!E39</f>
        <v>80.8</v>
      </c>
      <c r="E6" s="330">
        <f>ROUND(C6*Input!$E$5,0)</f>
        <v>24240</v>
      </c>
      <c r="G6" s="11"/>
    </row>
    <row r="7" spans="1:7" x14ac:dyDescent="0.2">
      <c r="A7" s="19" t="s">
        <v>198</v>
      </c>
      <c r="C7" s="328">
        <f>Details!E46</f>
        <v>70.8</v>
      </c>
      <c r="E7" s="331">
        <f>ROUND(C7*Input!$E$5,0)</f>
        <v>21240</v>
      </c>
      <c r="G7" s="11"/>
    </row>
    <row r="8" spans="1:7" x14ac:dyDescent="0.2">
      <c r="A8" s="4" t="s">
        <v>179</v>
      </c>
      <c r="C8" s="329">
        <f>Details!E57</f>
        <v>9.0440000000000005</v>
      </c>
      <c r="E8" s="332">
        <f>ROUND(C8*Input!$E$5,0)</f>
        <v>2713</v>
      </c>
      <c r="G8" s="11"/>
    </row>
    <row r="9" spans="1:7" ht="15.75" x14ac:dyDescent="0.25">
      <c r="A9" s="5" t="s">
        <v>146</v>
      </c>
      <c r="C9" s="17">
        <f>SUM(C6:C8)</f>
        <v>160.64400000000001</v>
      </c>
      <c r="E9" s="16">
        <f>SUM(E6:E8)</f>
        <v>48193</v>
      </c>
      <c r="G9" s="11"/>
    </row>
    <row r="10" spans="1:7" ht="15.75" x14ac:dyDescent="0.25">
      <c r="A10" s="5" t="s">
        <v>136</v>
      </c>
    </row>
    <row r="11" spans="1:7" x14ac:dyDescent="0.2">
      <c r="A11" s="4" t="s">
        <v>26</v>
      </c>
      <c r="C11" s="328">
        <f>Details!E72</f>
        <v>996.35294117647061</v>
      </c>
      <c r="E11" s="330">
        <f>ROUND(C11*Input!$E$5,0)</f>
        <v>298906</v>
      </c>
      <c r="G11" s="11"/>
    </row>
    <row r="12" spans="1:7" x14ac:dyDescent="0.2">
      <c r="A12" s="4" t="s">
        <v>27</v>
      </c>
      <c r="C12" s="328">
        <f>Details!E77</f>
        <v>7</v>
      </c>
      <c r="E12" s="330">
        <f>ROUND(C12*Input!$E$5,0)</f>
        <v>2100</v>
      </c>
      <c r="G12" s="11"/>
    </row>
    <row r="13" spans="1:7" x14ac:dyDescent="0.2">
      <c r="A13" s="19" t="s">
        <v>261</v>
      </c>
      <c r="C13" s="335">
        <f>Details!E82</f>
        <v>151.19999999999999</v>
      </c>
      <c r="E13" s="331">
        <f>ROUND(C13*Input!$E$5,0)</f>
        <v>45360</v>
      </c>
      <c r="G13" s="11"/>
    </row>
    <row r="14" spans="1:7" x14ac:dyDescent="0.2">
      <c r="A14" s="19" t="s">
        <v>262</v>
      </c>
      <c r="C14" s="328">
        <f>Details!E104</f>
        <v>9.5399999999999991</v>
      </c>
      <c r="E14" s="330">
        <f>ROUND(C14*Input!$E$5,0)</f>
        <v>2862</v>
      </c>
      <c r="G14" s="11"/>
    </row>
    <row r="15" spans="1:7" x14ac:dyDescent="0.2">
      <c r="A15" s="19" t="s">
        <v>263</v>
      </c>
      <c r="C15" s="328">
        <f>Details!E130</f>
        <v>13.107766666666667</v>
      </c>
      <c r="E15" s="330">
        <f>ROUND(C15*Input!$E$5,0)</f>
        <v>3932</v>
      </c>
      <c r="G15" s="11"/>
    </row>
    <row r="16" spans="1:7" x14ac:dyDescent="0.2">
      <c r="A16" s="19" t="s">
        <v>264</v>
      </c>
      <c r="C16" s="328">
        <f>Details!E135</f>
        <v>3.68</v>
      </c>
      <c r="E16" s="330">
        <f>ROUND(C16*Input!$E$5,0)</f>
        <v>1104</v>
      </c>
      <c r="G16" s="11"/>
    </row>
    <row r="17" spans="1:7" x14ac:dyDescent="0.2">
      <c r="A17" s="19" t="s">
        <v>265</v>
      </c>
      <c r="C17" s="328">
        <f>Details!E141</f>
        <v>19.09090909090909</v>
      </c>
      <c r="E17" s="330">
        <f>ROUND(C17*Input!$E$5,0)</f>
        <v>5727</v>
      </c>
      <c r="G17" s="11"/>
    </row>
    <row r="18" spans="1:7" x14ac:dyDescent="0.2">
      <c r="A18" s="19" t="s">
        <v>266</v>
      </c>
      <c r="C18" s="328">
        <f>Details!E155</f>
        <v>6.4799999999999995</v>
      </c>
      <c r="E18" s="330">
        <f>ROUND(C18*Input!$E$5,0)</f>
        <v>1944</v>
      </c>
      <c r="G18" s="11"/>
    </row>
    <row r="19" spans="1:7" x14ac:dyDescent="0.2">
      <c r="A19" s="19" t="s">
        <v>267</v>
      </c>
      <c r="C19" s="328">
        <f>Details!E164</f>
        <v>11.8892655</v>
      </c>
      <c r="E19" s="330">
        <f>ROUND(C19*Input!$E$5,0)</f>
        <v>3567</v>
      </c>
      <c r="G19" s="11"/>
    </row>
    <row r="20" spans="1:7" x14ac:dyDescent="0.2">
      <c r="A20" s="19" t="s">
        <v>268</v>
      </c>
      <c r="C20" s="328">
        <f>Details!E169</f>
        <v>4.67</v>
      </c>
      <c r="E20" s="330">
        <f>ROUND(C20*Input!$E$5,0)</f>
        <v>1401</v>
      </c>
      <c r="G20" s="11"/>
    </row>
    <row r="21" spans="1:7" x14ac:dyDescent="0.2">
      <c r="A21" s="19" t="s">
        <v>269</v>
      </c>
      <c r="C21" s="336">
        <f>Details!E177</f>
        <v>17.71</v>
      </c>
      <c r="E21" s="333">
        <f>ROUND(C21*Input!$E$5,0)</f>
        <v>5313</v>
      </c>
      <c r="G21" s="11"/>
    </row>
    <row r="22" spans="1:7" x14ac:dyDescent="0.2">
      <c r="A22" s="4" t="s">
        <v>141</v>
      </c>
      <c r="C22" s="328">
        <f>SUM(C9:C21)</f>
        <v>1401.3648824340464</v>
      </c>
      <c r="E22" s="330">
        <f>SUM(E11:E21)+E9</f>
        <v>420409</v>
      </c>
      <c r="G22" s="11"/>
    </row>
    <row r="23" spans="1:7" x14ac:dyDescent="0.2">
      <c r="A23" s="19" t="s">
        <v>270</v>
      </c>
      <c r="C23" s="336">
        <f>Details!E185</f>
        <v>55.262109589041088</v>
      </c>
      <c r="E23" s="333">
        <f>ROUND(C23*Input!$E$5,0)</f>
        <v>16579</v>
      </c>
      <c r="G23" s="11"/>
    </row>
    <row r="24" spans="1:7" ht="15.75" x14ac:dyDescent="0.25">
      <c r="A24" s="5" t="s">
        <v>142</v>
      </c>
      <c r="C24" s="17">
        <f>C22+C23</f>
        <v>1456.6269920230875</v>
      </c>
      <c r="E24" s="16">
        <f>E22+E23</f>
        <v>436988</v>
      </c>
      <c r="G24" s="11"/>
    </row>
    <row r="25" spans="1:7" ht="15.75" x14ac:dyDescent="0.25">
      <c r="A25" s="5" t="s">
        <v>140</v>
      </c>
      <c r="C25" s="9"/>
    </row>
    <row r="26" spans="1:7" x14ac:dyDescent="0.2">
      <c r="A26" s="4" t="s">
        <v>28</v>
      </c>
      <c r="C26" s="9"/>
    </row>
    <row r="27" spans="1:7" x14ac:dyDescent="0.2">
      <c r="A27" s="4" t="s">
        <v>29</v>
      </c>
      <c r="C27" s="328">
        <f>Details!E218</f>
        <v>14.33</v>
      </c>
      <c r="E27" s="330">
        <f>ROUND(C27*Input!$E$5,0)</f>
        <v>4299</v>
      </c>
      <c r="G27" s="11"/>
    </row>
    <row r="28" spans="1:7" x14ac:dyDescent="0.2">
      <c r="A28" s="19" t="s">
        <v>205</v>
      </c>
      <c r="C28" s="328">
        <f>Details!E225</f>
        <v>4.2699999999999996</v>
      </c>
      <c r="E28" s="330">
        <f>ROUND(C28*Input!$E$5,0)</f>
        <v>1281</v>
      </c>
      <c r="G28" s="11"/>
    </row>
    <row r="29" spans="1:7" x14ac:dyDescent="0.2">
      <c r="A29" s="19" t="s">
        <v>206</v>
      </c>
      <c r="C29" s="328">
        <f>Details!E232</f>
        <v>10.84</v>
      </c>
      <c r="E29" s="330">
        <f>ROUND(C29*Input!$E$5,0)</f>
        <v>3252</v>
      </c>
      <c r="G29" s="11"/>
    </row>
    <row r="30" spans="1:7" x14ac:dyDescent="0.2">
      <c r="A30" s="4" t="s">
        <v>30</v>
      </c>
      <c r="C30" s="337" t="s">
        <v>0</v>
      </c>
      <c r="E30" s="334"/>
    </row>
    <row r="31" spans="1:7" x14ac:dyDescent="0.2">
      <c r="A31" s="4" t="s">
        <v>31</v>
      </c>
      <c r="C31" s="328">
        <f>Details!E243</f>
        <v>4.3</v>
      </c>
      <c r="E31" s="330">
        <f>ROUND(C31*Input!$E$5,0)</f>
        <v>1290</v>
      </c>
      <c r="G31" s="11"/>
    </row>
    <row r="32" spans="1:7" x14ac:dyDescent="0.2">
      <c r="A32" s="4" t="s">
        <v>32</v>
      </c>
      <c r="C32" s="336">
        <f>Details!E251</f>
        <v>4.76</v>
      </c>
      <c r="E32" s="333">
        <f>ROUND(C32*Input!$E$5,0)</f>
        <v>1428</v>
      </c>
      <c r="G32" s="12"/>
    </row>
    <row r="33" spans="1:11" ht="15.75" x14ac:dyDescent="0.25">
      <c r="A33" s="5" t="s">
        <v>143</v>
      </c>
      <c r="C33" s="17">
        <f>SUM(C27:C32)</f>
        <v>38.5</v>
      </c>
      <c r="E33" s="16">
        <f>SUM(E27:E32)</f>
        <v>11550</v>
      </c>
      <c r="G33" s="11"/>
    </row>
    <row r="34" spans="1:11" ht="7.5" customHeight="1" x14ac:dyDescent="0.2">
      <c r="C34" s="9"/>
    </row>
    <row r="35" spans="1:11" ht="15.75" x14ac:dyDescent="0.25">
      <c r="A35" s="5" t="s">
        <v>144</v>
      </c>
      <c r="B35" s="5"/>
      <c r="C35" s="17">
        <f>C24+C33</f>
        <v>1495.1269920230875</v>
      </c>
      <c r="E35" s="16">
        <f>E24+E33</f>
        <v>448538</v>
      </c>
      <c r="G35" s="11"/>
    </row>
    <row r="36" spans="1:11" ht="7.5" customHeight="1" x14ac:dyDescent="0.2">
      <c r="C36" s="9"/>
    </row>
    <row r="37" spans="1:11" ht="15.75" x14ac:dyDescent="0.25">
      <c r="A37" s="5" t="s">
        <v>33</v>
      </c>
      <c r="C37" s="17">
        <f>Details!E255</f>
        <v>78</v>
      </c>
      <c r="E37" s="16">
        <f>C37*Input!$E$5</f>
        <v>23400</v>
      </c>
      <c r="G37" s="11"/>
    </row>
    <row r="38" spans="1:11" ht="7.5" customHeight="1" x14ac:dyDescent="0.2">
      <c r="C38" s="9"/>
    </row>
    <row r="39" spans="1:11" ht="15.75" x14ac:dyDescent="0.25">
      <c r="A39" s="5" t="s">
        <v>145</v>
      </c>
      <c r="B39" s="5"/>
      <c r="C39" s="17">
        <f>C35+C37</f>
        <v>1573.1269920230875</v>
      </c>
      <c r="E39" s="16">
        <f>E35+E37</f>
        <v>471938</v>
      </c>
      <c r="G39" s="11"/>
    </row>
    <row r="40" spans="1:11" ht="7.5" customHeight="1" x14ac:dyDescent="0.25">
      <c r="A40" s="5"/>
      <c r="B40" s="5"/>
      <c r="C40" s="17"/>
      <c r="E40" s="16"/>
      <c r="G40" s="12"/>
    </row>
    <row r="41" spans="1:11" s="324" customFormat="1" ht="15.75" customHeight="1" x14ac:dyDescent="0.25">
      <c r="A41" s="351" t="s">
        <v>337</v>
      </c>
      <c r="B41" s="351"/>
      <c r="C41" s="351"/>
      <c r="D41" s="351"/>
      <c r="E41" s="351"/>
      <c r="F41" s="351"/>
      <c r="G41" s="351"/>
      <c r="H41" s="116"/>
      <c r="I41" s="116"/>
      <c r="J41" s="116"/>
      <c r="K41" s="116"/>
    </row>
    <row r="42" spans="1:11" ht="8.1" customHeight="1" x14ac:dyDescent="0.2">
      <c r="A42" s="18"/>
      <c r="B42" s="18"/>
      <c r="C42" s="18"/>
      <c r="D42" s="18"/>
      <c r="E42" s="18"/>
      <c r="F42" s="18"/>
      <c r="G42" s="18"/>
    </row>
    <row r="43" spans="1:11" s="116" customFormat="1" ht="15" customHeight="1" x14ac:dyDescent="0.25">
      <c r="A43" s="117" t="s">
        <v>218</v>
      </c>
      <c r="C43" s="119" t="s">
        <v>219</v>
      </c>
      <c r="D43" s="120" t="s">
        <v>0</v>
      </c>
      <c r="E43" s="14" t="s">
        <v>42</v>
      </c>
      <c r="F43" s="118"/>
      <c r="G43" s="118"/>
    </row>
    <row r="44" spans="1:11" s="125" customFormat="1" ht="15" customHeight="1" x14ac:dyDescent="0.25">
      <c r="A44" s="121" t="str">
        <f>"    Gross Revenue @ $"&amp;Input!E10&amp;"/cwt market price"</f>
        <v xml:space="preserve">    Gross Revenue @ $180/cwt market price</v>
      </c>
      <c r="B44" s="122"/>
      <c r="C44" s="123">
        <f>Breakeven!F47</f>
        <v>1382.4</v>
      </c>
      <c r="D44" s="117"/>
      <c r="E44" s="124">
        <f>ROUND(C44*Input!E5,0)</f>
        <v>414720</v>
      </c>
      <c r="F44" s="117"/>
      <c r="G44" s="117"/>
    </row>
    <row r="45" spans="1:11" s="125" customFormat="1" ht="7.5" customHeight="1" x14ac:dyDescent="0.25">
      <c r="A45" s="121"/>
      <c r="B45" s="122"/>
      <c r="C45" s="123"/>
      <c r="D45" s="117"/>
      <c r="E45" s="124"/>
      <c r="F45" s="117"/>
      <c r="G45" s="117"/>
    </row>
    <row r="46" spans="1:11" s="125" customFormat="1" ht="15" customHeight="1" x14ac:dyDescent="0.25">
      <c r="A46" s="202" t="s">
        <v>318</v>
      </c>
      <c r="B46" s="324"/>
      <c r="C46" s="325">
        <f>SUM(C24/C44)</f>
        <v>1.0536942939981824</v>
      </c>
      <c r="D46" s="118"/>
      <c r="F46" s="117"/>
      <c r="G46" s="117"/>
    </row>
    <row r="47" spans="1:11" s="130" customFormat="1" ht="8.1" customHeight="1" x14ac:dyDescent="0.25">
      <c r="A47" s="126"/>
      <c r="B47" s="127"/>
      <c r="C47" s="128"/>
      <c r="D47" s="128"/>
      <c r="E47" s="129"/>
      <c r="F47" s="128"/>
      <c r="G47" s="128"/>
    </row>
    <row r="48" spans="1:11" ht="8.1" customHeight="1" x14ac:dyDescent="0.2">
      <c r="A48" s="18"/>
      <c r="B48" s="18"/>
      <c r="C48" s="18"/>
      <c r="D48" s="18"/>
      <c r="E48" s="18"/>
      <c r="F48" s="18"/>
      <c r="G48" s="18"/>
    </row>
    <row r="49" spans="1:7" s="115" customFormat="1" ht="15.75" x14ac:dyDescent="0.25">
      <c r="A49" s="117"/>
      <c r="B49" s="121"/>
      <c r="C49" s="132" t="s">
        <v>220</v>
      </c>
      <c r="D49" s="131"/>
      <c r="E49" s="132" t="s">
        <v>221</v>
      </c>
      <c r="G49" s="131"/>
    </row>
    <row r="50" spans="1:7" s="115" customFormat="1" ht="15.75" x14ac:dyDescent="0.25">
      <c r="A50" s="131"/>
      <c r="B50" s="121"/>
      <c r="C50" s="132" t="s">
        <v>222</v>
      </c>
      <c r="D50" s="131"/>
      <c r="E50" s="132" t="s">
        <v>222</v>
      </c>
      <c r="G50" s="131"/>
    </row>
    <row r="51" spans="1:7" s="115" customFormat="1" ht="15.75" x14ac:dyDescent="0.25">
      <c r="A51" s="133"/>
      <c r="B51" s="121"/>
      <c r="C51" s="134" t="str">
        <f>"$"&amp;Input!E10&amp;"/cwt market price"</f>
        <v>$180/cwt market price</v>
      </c>
      <c r="D51" s="131"/>
      <c r="E51" s="134" t="str">
        <f>"$"&amp;Input!E8&amp;"/cwt feeder price"</f>
        <v>$205/cwt feeder price</v>
      </c>
    </row>
    <row r="52" spans="1:7" s="115" customFormat="1" x14ac:dyDescent="0.2">
      <c r="A52" s="19" t="s">
        <v>223</v>
      </c>
      <c r="B52" s="121"/>
      <c r="C52" s="40">
        <f>Breakeven!F50*100</f>
        <v>192.10957274028817</v>
      </c>
      <c r="E52" s="203">
        <f>Breakeven!F30*100</f>
        <v>189.66497291967286</v>
      </c>
      <c r="G52" s="136"/>
    </row>
    <row r="53" spans="1:7" s="115" customFormat="1" x14ac:dyDescent="0.2">
      <c r="A53" s="19" t="s">
        <v>224</v>
      </c>
      <c r="B53" s="131"/>
      <c r="C53" s="40">
        <f>Breakeven!F57*100</f>
        <v>175.85957274028817</v>
      </c>
      <c r="E53" s="203">
        <f>Breakeven!F34*100</f>
        <v>199.82122291967286</v>
      </c>
      <c r="G53" s="136"/>
    </row>
    <row r="54" spans="1:7" s="115" customFormat="1" x14ac:dyDescent="0.2">
      <c r="A54" s="19" t="s">
        <v>225</v>
      </c>
      <c r="B54" s="131"/>
      <c r="C54" s="40">
        <f>Breakeven!F64*100</f>
        <v>184.08873940695483</v>
      </c>
      <c r="E54" s="203">
        <f>Breakeven!F38*100</f>
        <v>194.67799375300618</v>
      </c>
      <c r="G54" s="137"/>
    </row>
    <row r="55" spans="1:7" s="115" customFormat="1" x14ac:dyDescent="0.2">
      <c r="A55" s="19" t="s">
        <v>226</v>
      </c>
      <c r="B55" s="131"/>
      <c r="C55" s="40">
        <f>Breakeven!F71*100</f>
        <v>167.83873940695483</v>
      </c>
      <c r="E55" s="203">
        <f>Breakeven!F42*100</f>
        <v>204.83424375300618</v>
      </c>
      <c r="G55" s="137"/>
    </row>
    <row r="56" spans="1:7" s="115" customFormat="1" ht="8.1" customHeight="1" x14ac:dyDescent="0.2">
      <c r="A56" s="19"/>
      <c r="B56" s="131"/>
      <c r="C56" s="135"/>
      <c r="D56" s="131"/>
      <c r="F56" s="40"/>
      <c r="G56" s="131"/>
    </row>
    <row r="57" spans="1:7" s="116" customFormat="1" ht="15" customHeight="1" x14ac:dyDescent="0.25">
      <c r="C57" s="138" t="s">
        <v>227</v>
      </c>
      <c r="D57" s="118"/>
      <c r="E57" s="139" t="s">
        <v>228</v>
      </c>
      <c r="F57" s="118"/>
      <c r="G57" s="118"/>
    </row>
    <row r="58" spans="1:7" s="115" customFormat="1" ht="15.75" x14ac:dyDescent="0.25">
      <c r="A58" s="133"/>
      <c r="B58" s="131"/>
      <c r="C58" s="140" t="s">
        <v>229</v>
      </c>
      <c r="D58" s="131"/>
      <c r="E58" s="141" t="str">
        <f>"@ $"&amp;Input!E10&amp;"/cwt market price"</f>
        <v>@ $180/cwt market price</v>
      </c>
      <c r="F58" s="131"/>
      <c r="G58" s="131"/>
    </row>
    <row r="59" spans="1:7" s="115" customFormat="1" x14ac:dyDescent="0.2">
      <c r="A59" s="19" t="s">
        <v>230</v>
      </c>
      <c r="B59" s="131"/>
      <c r="C59" s="142">
        <f>Breakeven!F6*100</f>
        <v>55.779166666666669</v>
      </c>
      <c r="D59" s="131"/>
      <c r="E59" s="143">
        <f>C44-C11-C9</f>
        <v>225.40305882352948</v>
      </c>
      <c r="F59" s="131"/>
      <c r="G59" s="136"/>
    </row>
    <row r="60" spans="1:7" s="115" customFormat="1" x14ac:dyDescent="0.2">
      <c r="A60" s="19" t="s">
        <v>223</v>
      </c>
      <c r="B60" s="131"/>
      <c r="C60" s="135">
        <f>Breakeven!F11*100</f>
        <v>159.81737876618644</v>
      </c>
      <c r="D60" s="131"/>
      <c r="E60" s="144">
        <f>Breakeven!F47-Summary!C24</f>
        <v>-74.226992023087405</v>
      </c>
      <c r="F60" s="131"/>
      <c r="G60" s="136"/>
    </row>
    <row r="61" spans="1:7" s="115" customFormat="1" x14ac:dyDescent="0.2">
      <c r="A61" s="19" t="s">
        <v>224</v>
      </c>
      <c r="B61" s="131"/>
      <c r="C61" s="135">
        <f>Breakeven!F16*100</f>
        <v>186.90071209951975</v>
      </c>
      <c r="D61" s="131"/>
      <c r="E61" s="144">
        <f>Breakeven!F47-(C24+C37)</f>
        <v>-152.2269920230874</v>
      </c>
      <c r="F61" s="131"/>
      <c r="G61" s="137"/>
    </row>
    <row r="62" spans="1:7" s="115" customFormat="1" x14ac:dyDescent="0.2">
      <c r="A62" s="19" t="s">
        <v>225</v>
      </c>
      <c r="B62" s="121"/>
      <c r="C62" s="135">
        <f>Breakeven!F21*100</f>
        <v>173.18543432174198</v>
      </c>
      <c r="D62" s="131"/>
      <c r="E62" s="144">
        <f>Breakeven!F47-(C35)</f>
        <v>-112.7269920230874</v>
      </c>
      <c r="F62" s="131"/>
      <c r="G62" s="137"/>
    </row>
    <row r="63" spans="1:7" ht="15" customHeight="1" x14ac:dyDescent="0.2">
      <c r="A63" s="19" t="s">
        <v>226</v>
      </c>
      <c r="B63" s="18"/>
      <c r="C63" s="135">
        <f>Breakeven!F26*100</f>
        <v>200.26876765507529</v>
      </c>
      <c r="D63" s="18"/>
      <c r="E63" s="144">
        <f>Breakeven!F47-(C39)</f>
        <v>-190.7269920230874</v>
      </c>
      <c r="F63" s="18"/>
      <c r="G63" s="137"/>
    </row>
    <row r="64" spans="1:7" ht="8.1" customHeight="1" x14ac:dyDescent="0.2">
      <c r="C64" s="145"/>
    </row>
    <row r="65" spans="1:7" ht="40.5" customHeight="1" x14ac:dyDescent="0.2">
      <c r="A65" s="349" t="s">
        <v>231</v>
      </c>
      <c r="B65" s="350"/>
      <c r="C65" s="350"/>
      <c r="D65" s="350"/>
      <c r="E65" s="350"/>
      <c r="F65" s="350"/>
      <c r="G65" s="350"/>
    </row>
    <row r="67" spans="1:7" ht="15.75" x14ac:dyDescent="0.25">
      <c r="C67" s="2"/>
      <c r="F67" s="18"/>
    </row>
    <row r="68" spans="1:7" x14ac:dyDescent="0.2">
      <c r="F68" s="18"/>
    </row>
    <row r="69" spans="1:7" x14ac:dyDescent="0.2">
      <c r="C69" s="1"/>
      <c r="F69" s="18"/>
    </row>
    <row r="70" spans="1:7" x14ac:dyDescent="0.2">
      <c r="C70" s="3"/>
      <c r="F70" s="18"/>
    </row>
    <row r="71" spans="1:7" ht="15.75" x14ac:dyDescent="0.25">
      <c r="C71" s="2"/>
      <c r="F71" s="18"/>
    </row>
  </sheetData>
  <sheetProtection password="C6A6" sheet="1"/>
  <mergeCells count="4">
    <mergeCell ref="A1:G1"/>
    <mergeCell ref="A2:G2"/>
    <mergeCell ref="A65:G65"/>
    <mergeCell ref="A41:G41"/>
  </mergeCells>
  <phoneticPr fontId="0" type="noConversion"/>
  <printOptions horizontalCentered="1"/>
  <pageMargins left="0.74803149606299213" right="0.74803149606299213" top="0.78740157480314965" bottom="0.98425196850393704" header="0.51181102362204722" footer="0.51181102362204722"/>
  <pageSetup scale="71" firstPageNumber="2" orientation="portrait" useFirstPageNumber="1" r:id="rId1"/>
  <headerFooter scaleWithDoc="0">
    <oddHeader>&amp;L&amp;10Guidelines: Bison Bull Backgrounding Costs&amp;R&amp;10&amp;P</oddHeader>
    <oddFooter xml:space="preserve">&amp;R&amp;"Arial,Italic"&amp;9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0"/>
  <sheetViews>
    <sheetView zoomScale="90" zoomScaleNormal="90" workbookViewId="0">
      <selection activeCell="C15" sqref="C15"/>
    </sheetView>
  </sheetViews>
  <sheetFormatPr defaultRowHeight="15" x14ac:dyDescent="0.2"/>
  <cols>
    <col min="1" max="1" width="1.6640625" style="269" customWidth="1"/>
    <col min="2" max="2" width="28.5546875" style="269" customWidth="1"/>
    <col min="3" max="7" width="10.77734375" style="269" customWidth="1"/>
    <col min="8" max="10" width="8" style="269" customWidth="1"/>
    <col min="11" max="16384" width="8.88671875" style="293"/>
  </cols>
  <sheetData>
    <row r="1" spans="1:11" ht="18" x14ac:dyDescent="0.25">
      <c r="A1" s="352" t="s">
        <v>321</v>
      </c>
      <c r="B1" s="352"/>
      <c r="C1" s="352"/>
      <c r="D1" s="352"/>
      <c r="E1" s="352"/>
      <c r="F1" s="352"/>
      <c r="G1" s="352"/>
      <c r="H1" s="260"/>
      <c r="I1" s="260"/>
      <c r="J1" s="260"/>
      <c r="K1" s="260"/>
    </row>
    <row r="2" spans="1:11" ht="15.75" hidden="1" x14ac:dyDescent="0.25">
      <c r="A2" s="268" t="s">
        <v>134</v>
      </c>
      <c r="C2" s="270"/>
      <c r="D2" s="270"/>
      <c r="E2" s="270"/>
      <c r="F2" s="270"/>
      <c r="G2" s="270"/>
      <c r="H2" s="270"/>
      <c r="I2" s="270"/>
      <c r="J2" s="270"/>
    </row>
    <row r="3" spans="1:11" ht="15.75" hidden="1" x14ac:dyDescent="0.25">
      <c r="A3" s="268"/>
      <c r="B3" s="294" t="s">
        <v>322</v>
      </c>
      <c r="C3" s="270">
        <f>Summary!C9</f>
        <v>160.64400000000001</v>
      </c>
      <c r="D3" s="270"/>
      <c r="E3" s="270"/>
      <c r="F3" s="270"/>
      <c r="G3" s="270"/>
      <c r="H3" s="270"/>
      <c r="I3" s="270"/>
      <c r="J3" s="270"/>
    </row>
    <row r="4" spans="1:11" ht="15.75" hidden="1" x14ac:dyDescent="0.25">
      <c r="A4" s="268"/>
      <c r="B4" s="294" t="s">
        <v>323</v>
      </c>
      <c r="C4" s="270">
        <f>Summary!C11</f>
        <v>996.35294117647061</v>
      </c>
      <c r="D4" s="270"/>
      <c r="E4" s="270"/>
      <c r="F4" s="270"/>
      <c r="G4" s="270"/>
      <c r="H4" s="270"/>
      <c r="I4" s="270"/>
      <c r="J4" s="270"/>
    </row>
    <row r="5" spans="1:11" ht="15.75" hidden="1" x14ac:dyDescent="0.25">
      <c r="A5" s="268"/>
      <c r="B5" s="294" t="s">
        <v>89</v>
      </c>
      <c r="C5" s="295">
        <f>Summary!C24-Summary!C11-Summary!C9</f>
        <v>299.63005084661688</v>
      </c>
      <c r="D5" s="295"/>
      <c r="E5" s="270"/>
      <c r="F5" s="270"/>
      <c r="G5" s="270"/>
      <c r="H5" s="270"/>
      <c r="I5" s="270"/>
      <c r="J5" s="270"/>
    </row>
    <row r="6" spans="1:11" ht="15.75" hidden="1" x14ac:dyDescent="0.25">
      <c r="A6" s="268"/>
      <c r="B6" s="283" t="s">
        <v>324</v>
      </c>
      <c r="C6" s="270">
        <f>SUM(C3:C5)</f>
        <v>1456.6269920230875</v>
      </c>
      <c r="D6" s="270"/>
      <c r="E6" s="270"/>
      <c r="F6" s="270"/>
      <c r="G6" s="270"/>
      <c r="H6" s="270"/>
      <c r="I6" s="270"/>
      <c r="J6" s="270"/>
    </row>
    <row r="7" spans="1:11" ht="15.75" hidden="1" x14ac:dyDescent="0.25">
      <c r="A7" s="271" t="s">
        <v>140</v>
      </c>
      <c r="C7" s="270">
        <f>Summary!C33</f>
        <v>38.5</v>
      </c>
      <c r="D7" s="270"/>
      <c r="E7" s="270"/>
      <c r="F7" s="270"/>
      <c r="G7" s="270"/>
      <c r="H7" s="270"/>
      <c r="I7" s="270"/>
      <c r="J7" s="270"/>
    </row>
    <row r="8" spans="1:11" ht="15.75" hidden="1" x14ac:dyDescent="0.25">
      <c r="A8" s="271" t="s">
        <v>33</v>
      </c>
      <c r="C8" s="296">
        <f>Summary!C37</f>
        <v>78</v>
      </c>
      <c r="D8" s="296"/>
      <c r="E8" s="270"/>
      <c r="F8" s="270"/>
      <c r="G8" s="270"/>
      <c r="H8" s="270"/>
      <c r="I8" s="270"/>
      <c r="J8" s="270"/>
    </row>
    <row r="9" spans="1:11" ht="15.75" hidden="1" x14ac:dyDescent="0.25">
      <c r="A9" s="271" t="s">
        <v>43</v>
      </c>
      <c r="C9" s="270">
        <f>SUM(C6:C8)</f>
        <v>1573.1269920230875</v>
      </c>
      <c r="D9" s="270"/>
      <c r="E9" s="270"/>
      <c r="F9" s="270"/>
      <c r="G9" s="270"/>
      <c r="H9" s="270"/>
      <c r="I9" s="270"/>
      <c r="J9" s="270"/>
    </row>
    <row r="10" spans="1:11" ht="15.75" hidden="1" x14ac:dyDescent="0.25">
      <c r="A10" s="271"/>
      <c r="C10" s="270"/>
      <c r="D10" s="270"/>
      <c r="E10" s="270"/>
      <c r="F10" s="270"/>
      <c r="G10" s="270"/>
      <c r="H10" s="270"/>
      <c r="I10" s="270"/>
      <c r="J10" s="270"/>
    </row>
    <row r="11" spans="1:11" ht="18" hidden="1" x14ac:dyDescent="0.25">
      <c r="A11" s="297" t="s">
        <v>218</v>
      </c>
      <c r="B11" s="298"/>
      <c r="C11" s="262"/>
      <c r="D11" s="261"/>
      <c r="E11" s="261"/>
      <c r="F11" s="261"/>
      <c r="G11" s="261"/>
      <c r="H11" s="261"/>
      <c r="I11" s="262"/>
      <c r="J11" s="261"/>
    </row>
    <row r="12" spans="1:11" ht="18" hidden="1" x14ac:dyDescent="0.25">
      <c r="A12" s="298"/>
      <c r="B12" s="299" t="s">
        <v>313</v>
      </c>
      <c r="C12" s="300">
        <f>Input!E10</f>
        <v>180</v>
      </c>
      <c r="D12" s="300"/>
      <c r="E12" s="273"/>
      <c r="F12" s="273"/>
      <c r="G12" s="273"/>
      <c r="H12" s="273"/>
      <c r="I12" s="273"/>
      <c r="J12" s="273"/>
    </row>
    <row r="13" spans="1:11" ht="7.5" customHeight="1" x14ac:dyDescent="0.25">
      <c r="A13" s="298"/>
      <c r="B13" s="301"/>
      <c r="C13" s="300"/>
      <c r="D13" s="300"/>
      <c r="E13" s="273"/>
      <c r="F13" s="273"/>
      <c r="G13" s="273"/>
      <c r="H13" s="273"/>
      <c r="I13" s="273"/>
      <c r="J13" s="273"/>
    </row>
    <row r="14" spans="1:11" ht="8.1" customHeight="1" x14ac:dyDescent="0.2">
      <c r="A14" s="275"/>
      <c r="B14" s="275"/>
      <c r="C14" s="276"/>
      <c r="D14" s="276"/>
      <c r="E14" s="276"/>
      <c r="F14" s="276"/>
      <c r="G14" s="276"/>
      <c r="H14" s="277"/>
      <c r="I14" s="277"/>
      <c r="J14" s="277"/>
    </row>
    <row r="15" spans="1:11" ht="18" x14ac:dyDescent="0.25">
      <c r="A15" s="275"/>
      <c r="B15" s="302" t="s">
        <v>325</v>
      </c>
      <c r="C15" s="280">
        <v>-0.1</v>
      </c>
      <c r="D15" s="278"/>
      <c r="E15" s="278"/>
      <c r="F15" s="279"/>
      <c r="G15" s="278"/>
      <c r="H15" s="262"/>
      <c r="I15" s="303"/>
      <c r="J15" s="303"/>
    </row>
    <row r="16" spans="1:11" ht="18" x14ac:dyDescent="0.25">
      <c r="A16" s="275"/>
      <c r="B16" s="302" t="s">
        <v>326</v>
      </c>
      <c r="C16" s="280">
        <v>0.1</v>
      </c>
      <c r="D16" s="278"/>
      <c r="E16" s="278"/>
      <c r="F16" s="279"/>
      <c r="G16" s="278"/>
      <c r="H16" s="304"/>
      <c r="I16" s="303"/>
      <c r="J16" s="303"/>
    </row>
    <row r="17" spans="1:10" ht="18" x14ac:dyDescent="0.25">
      <c r="A17" s="275"/>
      <c r="B17" s="302" t="s">
        <v>335</v>
      </c>
      <c r="C17" s="280">
        <v>0.05</v>
      </c>
      <c r="D17" s="278"/>
      <c r="E17" s="278"/>
      <c r="F17" s="279"/>
      <c r="G17" s="278"/>
      <c r="H17" s="304"/>
      <c r="I17" s="303"/>
      <c r="J17" s="303"/>
    </row>
    <row r="18" spans="1:10" ht="8.1" customHeight="1" x14ac:dyDescent="0.25">
      <c r="A18" s="275"/>
      <c r="B18" s="302"/>
      <c r="C18" s="305"/>
      <c r="D18" s="305"/>
      <c r="E18" s="278"/>
      <c r="F18" s="279"/>
      <c r="G18" s="278"/>
      <c r="H18" s="304"/>
      <c r="I18" s="303"/>
      <c r="J18" s="303"/>
    </row>
    <row r="19" spans="1:10" ht="7.5" customHeight="1" x14ac:dyDescent="0.2">
      <c r="A19" s="281"/>
      <c r="B19" s="281"/>
      <c r="C19" s="277"/>
      <c r="D19" s="277"/>
      <c r="E19" s="277"/>
      <c r="F19" s="277"/>
      <c r="G19" s="277"/>
      <c r="H19" s="277"/>
      <c r="I19" s="277"/>
      <c r="J19" s="277"/>
    </row>
    <row r="20" spans="1:10" x14ac:dyDescent="0.25">
      <c r="A20" s="265"/>
      <c r="B20" s="265"/>
      <c r="C20" s="266" t="s">
        <v>320</v>
      </c>
      <c r="D20" s="266"/>
      <c r="E20" s="267"/>
      <c r="F20" s="263"/>
      <c r="G20" s="264"/>
      <c r="H20" s="263"/>
      <c r="I20" s="263"/>
      <c r="J20" s="263"/>
    </row>
    <row r="21" spans="1:10" ht="15.75" x14ac:dyDescent="0.25">
      <c r="A21" s="271"/>
      <c r="B21" s="282" t="s">
        <v>334</v>
      </c>
      <c r="C21" s="272">
        <f>SUM(C12*(1+C15))</f>
        <v>162</v>
      </c>
      <c r="D21" s="272"/>
      <c r="E21" s="272"/>
      <c r="F21" s="272"/>
      <c r="G21" s="272"/>
      <c r="H21" s="272"/>
      <c r="I21" s="272"/>
      <c r="J21" s="272"/>
    </row>
    <row r="22" spans="1:10" ht="15.75" x14ac:dyDescent="0.25">
      <c r="A22" s="271"/>
      <c r="B22" s="306" t="s">
        <v>319</v>
      </c>
      <c r="C22" s="272">
        <f>SUM(C3+(C3*C16))</f>
        <v>176.70840000000001</v>
      </c>
      <c r="D22" s="272"/>
      <c r="E22" s="284"/>
      <c r="F22" s="284"/>
      <c r="G22" s="284"/>
      <c r="H22" s="284"/>
      <c r="I22" s="284"/>
      <c r="J22" s="284"/>
    </row>
    <row r="23" spans="1:10" ht="15.75" x14ac:dyDescent="0.25">
      <c r="A23" s="271"/>
      <c r="B23" s="282" t="s">
        <v>333</v>
      </c>
      <c r="C23" s="272">
        <f>SUM(C4+(C4*C17))</f>
        <v>1046.1705882352942</v>
      </c>
      <c r="D23" s="272"/>
      <c r="E23" s="284"/>
      <c r="F23" s="284"/>
      <c r="G23" s="284"/>
      <c r="H23" s="284"/>
      <c r="I23" s="284"/>
      <c r="J23" s="284"/>
    </row>
    <row r="24" spans="1:10" x14ac:dyDescent="0.2">
      <c r="A24" s="285"/>
    </row>
    <row r="25" spans="1:10" ht="15.75" x14ac:dyDescent="0.25">
      <c r="A25" s="307" t="str">
        <f>"Stress Test Scenario = Market Price "&amp;IF(C15&lt;0,"Down","Up")&amp;" "&amp;ABS(C15*100)&amp;"%, Feed Price "&amp;IF(C16&lt;0,"Down","Up")&amp;" "&amp;ABS(C16*100)&amp;"% and Feeder Cost "&amp;IF(C17&lt;0,"Down","Up")&amp;" "&amp;ABS(C17*100)&amp;"%"</f>
        <v>Stress Test Scenario = Market Price Down 10%, Feed Price Up 10% and Feeder Cost Up 5%</v>
      </c>
      <c r="B25" s="283"/>
      <c r="C25" s="286"/>
      <c r="D25" s="286"/>
      <c r="E25" s="286"/>
      <c r="F25" s="286"/>
      <c r="G25" s="286"/>
      <c r="H25" s="286"/>
      <c r="I25" s="286"/>
      <c r="J25" s="286"/>
    </row>
    <row r="26" spans="1:10" ht="15.75" x14ac:dyDescent="0.25">
      <c r="A26" s="307"/>
      <c r="B26" s="283" t="s">
        <v>39</v>
      </c>
      <c r="C26" s="272">
        <f>SUM(C5+C22+C23)</f>
        <v>1522.5090390819109</v>
      </c>
      <c r="D26" s="272"/>
      <c r="E26" s="286"/>
      <c r="F26" s="286"/>
      <c r="G26" s="286"/>
      <c r="H26" s="286"/>
      <c r="I26" s="286"/>
      <c r="J26" s="286"/>
    </row>
    <row r="27" spans="1:10" ht="15.75" x14ac:dyDescent="0.25">
      <c r="A27" s="307"/>
      <c r="B27" s="283" t="s">
        <v>43</v>
      </c>
      <c r="C27" s="272">
        <f>C7+C8+C26</f>
        <v>1639.0090390819109</v>
      </c>
      <c r="D27" s="272"/>
      <c r="E27" s="286"/>
      <c r="F27" s="286"/>
      <c r="G27" s="286"/>
      <c r="H27" s="286"/>
      <c r="I27" s="286"/>
      <c r="J27" s="286"/>
    </row>
    <row r="28" spans="1:10" ht="15.75" x14ac:dyDescent="0.25">
      <c r="A28" s="285"/>
      <c r="B28" s="261" t="s">
        <v>336</v>
      </c>
      <c r="C28" s="272">
        <f>(Breakeven!F45/100)*'Risk Analysis'!C21</f>
        <v>1244.1599999999999</v>
      </c>
      <c r="D28" s="272"/>
      <c r="E28" s="272"/>
      <c r="F28" s="272"/>
      <c r="G28" s="272"/>
      <c r="H28" s="272"/>
      <c r="I28" s="272"/>
      <c r="J28" s="272"/>
    </row>
    <row r="29" spans="1:10" ht="18" x14ac:dyDescent="0.25">
      <c r="A29" s="262"/>
      <c r="B29" s="261" t="s">
        <v>314</v>
      </c>
      <c r="C29" s="281"/>
      <c r="D29" s="281"/>
      <c r="E29" s="281"/>
      <c r="F29" s="281"/>
      <c r="G29" s="281"/>
      <c r="H29" s="281"/>
      <c r="I29" s="281"/>
      <c r="J29" s="281"/>
    </row>
    <row r="30" spans="1:10" x14ac:dyDescent="0.2">
      <c r="A30" s="285"/>
      <c r="B30" s="287" t="s">
        <v>315</v>
      </c>
      <c r="C30" s="288">
        <f>SUM(C28-C26)</f>
        <v>-278.34903908191109</v>
      </c>
      <c r="D30" s="288"/>
      <c r="E30" s="288"/>
      <c r="F30" s="288"/>
      <c r="G30" s="288"/>
      <c r="H30" s="288"/>
      <c r="I30" s="288"/>
      <c r="J30" s="288"/>
    </row>
    <row r="31" spans="1:10" x14ac:dyDescent="0.2">
      <c r="A31" s="285"/>
      <c r="B31" s="308" t="s">
        <v>316</v>
      </c>
      <c r="C31" s="288">
        <f>SUM(C28-C26-C8)</f>
        <v>-356.34903908191109</v>
      </c>
      <c r="D31" s="288"/>
      <c r="E31" s="288"/>
      <c r="F31" s="288"/>
      <c r="G31" s="288"/>
      <c r="H31" s="288"/>
      <c r="I31" s="288"/>
      <c r="J31" s="288"/>
    </row>
    <row r="32" spans="1:10" x14ac:dyDescent="0.2">
      <c r="A32" s="285"/>
      <c r="B32" s="287" t="s">
        <v>317</v>
      </c>
      <c r="C32" s="288">
        <f>SUM(C28-C27)</f>
        <v>-394.84903908191109</v>
      </c>
      <c r="D32" s="288"/>
      <c r="E32" s="288"/>
      <c r="F32" s="288"/>
      <c r="G32" s="288"/>
      <c r="H32" s="288"/>
      <c r="I32" s="288"/>
      <c r="J32" s="288"/>
    </row>
    <row r="33" spans="1:11" ht="7.5" customHeight="1" x14ac:dyDescent="0.2">
      <c r="A33" s="285"/>
      <c r="B33" s="287"/>
      <c r="C33" s="288"/>
      <c r="D33" s="288"/>
      <c r="E33" s="288"/>
      <c r="F33" s="288"/>
      <c r="G33" s="288"/>
      <c r="H33" s="288"/>
      <c r="I33" s="288"/>
      <c r="J33" s="288"/>
    </row>
    <row r="34" spans="1:11" ht="15.75" x14ac:dyDescent="0.25">
      <c r="A34" s="285"/>
      <c r="B34" s="261" t="s">
        <v>318</v>
      </c>
      <c r="C34" s="289">
        <f>SUM(C26/C28)</f>
        <v>1.2237244719987068</v>
      </c>
      <c r="D34" s="289"/>
      <c r="E34" s="289"/>
      <c r="F34" s="289"/>
      <c r="G34" s="289"/>
      <c r="H34" s="289"/>
      <c r="I34" s="289"/>
      <c r="J34" s="289"/>
    </row>
    <row r="35" spans="1:11" x14ac:dyDescent="0.2">
      <c r="A35" s="285"/>
    </row>
    <row r="36" spans="1:11" ht="18" x14ac:dyDescent="0.25">
      <c r="A36" s="352" t="s">
        <v>327</v>
      </c>
      <c r="B36" s="352"/>
      <c r="C36" s="352"/>
      <c r="D36" s="352"/>
      <c r="E36" s="352"/>
      <c r="F36" s="352"/>
      <c r="G36" s="352"/>
      <c r="H36" s="260"/>
      <c r="I36" s="260"/>
      <c r="J36" s="260"/>
      <c r="K36" s="260"/>
    </row>
    <row r="37" spans="1:11" ht="7.5" customHeight="1" x14ac:dyDescent="0.25">
      <c r="A37" s="285"/>
      <c r="H37" s="260"/>
      <c r="I37" s="260"/>
      <c r="J37" s="260"/>
      <c r="K37" s="260"/>
    </row>
    <row r="38" spans="1:11" ht="18" x14ac:dyDescent="0.25">
      <c r="A38" s="285"/>
      <c r="B38" s="291"/>
      <c r="C38" s="353" t="str">
        <f>"Est. Market Price ($/cwt Cdn) @ "&amp;TEXT(Input!E16,"0.0000")&amp;" Cdn per USD"</f>
        <v>Est. Market Price ($/cwt Cdn) @ 0.7300 Cdn per USD</v>
      </c>
      <c r="D38" s="354"/>
      <c r="E38" s="354"/>
      <c r="F38" s="354"/>
      <c r="G38" s="355"/>
      <c r="H38" s="260"/>
      <c r="I38" s="260"/>
      <c r="J38" s="260"/>
      <c r="K38" s="260"/>
    </row>
    <row r="39" spans="1:11" ht="18" x14ac:dyDescent="0.25">
      <c r="A39" s="285"/>
      <c r="C39" s="309">
        <f>SUM($E$39-10)</f>
        <v>170</v>
      </c>
      <c r="D39" s="310">
        <f>SUM($E$39-5)</f>
        <v>175</v>
      </c>
      <c r="E39" s="310">
        <f>Input!E10</f>
        <v>180</v>
      </c>
      <c r="F39" s="310">
        <f>SUM($E$39+5)</f>
        <v>185</v>
      </c>
      <c r="G39" s="311">
        <f>SUM($E$39+10)</f>
        <v>190</v>
      </c>
      <c r="H39" s="260"/>
      <c r="I39" s="260"/>
      <c r="J39" s="260"/>
      <c r="K39" s="260"/>
    </row>
    <row r="40" spans="1:11" ht="18" x14ac:dyDescent="0.25">
      <c r="A40" s="312" t="s">
        <v>328</v>
      </c>
      <c r="B40" s="301"/>
      <c r="C40" s="313"/>
      <c r="D40" s="314"/>
      <c r="E40" s="315"/>
      <c r="F40" s="314"/>
      <c r="G40" s="314"/>
      <c r="H40" s="260"/>
      <c r="I40" s="260"/>
      <c r="J40" s="260"/>
      <c r="K40" s="260"/>
    </row>
    <row r="41" spans="1:11" ht="18" x14ac:dyDescent="0.25">
      <c r="A41" s="298"/>
      <c r="B41" s="308" t="s">
        <v>39</v>
      </c>
      <c r="C41" s="326">
        <f>SUM((C39/100)*Breakeven!$F$45*Input!$E$16)/Summary!$C$24</f>
        <v>0.65431164273309961</v>
      </c>
      <c r="D41" s="326">
        <f>SUM((D39/100)*Breakeven!$F$45*Input!$E$16)/Summary!$C$24</f>
        <v>0.67355610281348488</v>
      </c>
      <c r="E41" s="316">
        <f>SUM((E39/100)*Breakeven!$F$45*Input!$E$16)/Summary!$C$24</f>
        <v>0.69280056289387026</v>
      </c>
      <c r="F41" s="326">
        <f>SUM((F39/100)*Breakeven!$F$45*Input!$E$16)/Summary!$C$24</f>
        <v>0.71204502297425565</v>
      </c>
      <c r="G41" s="326">
        <f>SUM((G39/100)*Breakeven!$F$45*Input!$E$16)/Summary!$C$24</f>
        <v>0.7312894830546407</v>
      </c>
      <c r="H41" s="260"/>
      <c r="I41" s="260"/>
      <c r="J41" s="260"/>
      <c r="K41" s="260"/>
    </row>
    <row r="42" spans="1:11" ht="18" x14ac:dyDescent="0.25">
      <c r="A42" s="298"/>
      <c r="B42" s="308" t="s">
        <v>238</v>
      </c>
      <c r="C42" s="326">
        <f>SUM((C39/100)*Breakeven!$F$45*Input!$E$16)/(Summary!$C$24+Summary!$C$37)</f>
        <v>0.62105515213410334</v>
      </c>
      <c r="D42" s="326">
        <f>SUM((D39/100)*Breakeven!$F$45*Input!$E$16)/(Summary!$C$24+Summary!$C$37)</f>
        <v>0.63932148013804757</v>
      </c>
      <c r="E42" s="316">
        <f>SUM((E39/100)*Breakeven!$F$45*Input!$E$16)/(Summary!$C$24+Summary!$C$37)</f>
        <v>0.6575878081419918</v>
      </c>
      <c r="F42" s="326">
        <f>SUM((F39/100)*Breakeven!$F$45*Input!$E$16)/(Summary!$C$24+Summary!$C$37)</f>
        <v>0.67585413614593615</v>
      </c>
      <c r="G42" s="326">
        <f>SUM((G39/100)*Breakeven!$F$45*Input!$E$16)/(Summary!$C$24+Summary!$C$37)</f>
        <v>0.69412046414988016</v>
      </c>
      <c r="H42" s="260"/>
      <c r="I42" s="260"/>
      <c r="J42" s="260"/>
      <c r="K42" s="260"/>
    </row>
    <row r="43" spans="1:11" ht="18" x14ac:dyDescent="0.25">
      <c r="A43" s="298"/>
      <c r="B43" s="308" t="s">
        <v>329</v>
      </c>
      <c r="C43" s="326">
        <f>SUM((C39/100)*Breakeven!$F$45*Input!$E$16)/(Summary!$C$39)</f>
        <v>0.60585572864292458</v>
      </c>
      <c r="D43" s="326">
        <f>SUM((D39/100)*Breakeven!$F$45*Input!$E$16)/(Summary!$C$39)</f>
        <v>0.62367501477948128</v>
      </c>
      <c r="E43" s="316">
        <f>SUM((E39/100)*Breakeven!$F$45*Input!$E$16)/(Summary!$C$39)</f>
        <v>0.64149430091603787</v>
      </c>
      <c r="F43" s="326">
        <f>SUM((F39/100)*Breakeven!$F$45*Input!$E$16)/(Summary!$C$39)</f>
        <v>0.65931358705259457</v>
      </c>
      <c r="G43" s="326">
        <f>SUM((G39/100)*Breakeven!$F$45*Input!$E$16)/(Summary!$C$39)</f>
        <v>0.67713287318915105</v>
      </c>
      <c r="H43" s="260"/>
      <c r="I43" s="260"/>
      <c r="J43" s="260"/>
      <c r="K43" s="260"/>
    </row>
    <row r="44" spans="1:11" ht="18" x14ac:dyDescent="0.25">
      <c r="A44" s="285"/>
      <c r="H44" s="260"/>
      <c r="I44" s="260"/>
      <c r="J44" s="260"/>
      <c r="K44" s="260"/>
    </row>
    <row r="45" spans="1:11" s="327" customFormat="1" x14ac:dyDescent="0.2">
      <c r="A45" s="290" t="str">
        <f>"Breakeven Canadian Dollar = (Est. Market Price ($/lb) x Shrunk Wt. (lbs) x $ Cdn per USD) / Cost"</f>
        <v>Breakeven Canadian Dollar = (Est. Market Price ($/lb) x Shrunk Wt. (lbs) x $ Cdn per USD) / Cost</v>
      </c>
      <c r="B45" s="274"/>
      <c r="C45" s="274"/>
      <c r="D45" s="274"/>
      <c r="E45" s="274"/>
      <c r="F45" s="274"/>
      <c r="G45" s="274"/>
      <c r="H45" s="274"/>
      <c r="I45" s="274"/>
      <c r="J45" s="274"/>
    </row>
    <row r="46" spans="1:11" s="327" customFormat="1" x14ac:dyDescent="0.2">
      <c r="A46" s="290" t="str">
        <f>"   (eg. ($"&amp;TEXT(E39/100,"0.00")&amp;" x "&amp;ROUND(Breakeven!F45,0)&amp;" lbs x $"&amp;TEXT(Input!E16,"0.0000")&amp;") / $"&amp;TEXT(Summary!C39,"0.00")&amp;") = $"&amp;TEXT(E43,"0.0000")</f>
        <v xml:space="preserve">   (eg. ($1.80 x 768 lbs x $0.7300) / $1573.13) = $0.6415</v>
      </c>
      <c r="B46" s="274"/>
      <c r="C46" s="274"/>
      <c r="D46" s="274"/>
      <c r="E46" s="274"/>
      <c r="F46" s="274"/>
      <c r="G46" s="274"/>
      <c r="H46" s="274"/>
      <c r="I46" s="274"/>
      <c r="J46" s="274"/>
    </row>
    <row r="47" spans="1:11" ht="7.5" customHeight="1" x14ac:dyDescent="0.2">
      <c r="A47" s="317"/>
    </row>
    <row r="48" spans="1:11" ht="15" customHeight="1" x14ac:dyDescent="0.2">
      <c r="A48" s="356" t="s">
        <v>330</v>
      </c>
      <c r="B48" s="357"/>
      <c r="C48" s="357"/>
      <c r="D48" s="357"/>
      <c r="E48" s="357"/>
      <c r="F48" s="357"/>
      <c r="G48" s="357"/>
      <c r="H48" s="292"/>
      <c r="I48" s="292"/>
      <c r="J48" s="292"/>
    </row>
    <row r="49" spans="1:11" x14ac:dyDescent="0.2">
      <c r="A49" s="357"/>
      <c r="B49" s="357"/>
      <c r="C49" s="357"/>
      <c r="D49" s="357"/>
      <c r="E49" s="357"/>
      <c r="F49" s="357"/>
      <c r="G49" s="357"/>
      <c r="H49" s="292"/>
      <c r="I49" s="292"/>
      <c r="J49" s="292"/>
    </row>
    <row r="50" spans="1:11" ht="15.75" x14ac:dyDescent="0.25">
      <c r="A50" s="357"/>
      <c r="B50" s="357"/>
      <c r="C50" s="357"/>
      <c r="D50" s="357"/>
      <c r="E50" s="357"/>
      <c r="F50" s="357"/>
      <c r="G50" s="357"/>
      <c r="H50" s="283"/>
      <c r="I50" s="283"/>
      <c r="J50" s="283"/>
    </row>
    <row r="51" spans="1:11" x14ac:dyDescent="0.2">
      <c r="A51" s="285"/>
    </row>
    <row r="52" spans="1:11" x14ac:dyDescent="0.2">
      <c r="A52" s="285"/>
    </row>
    <row r="53" spans="1:11" s="269" customFormat="1" x14ac:dyDescent="0.2">
      <c r="A53" s="285"/>
      <c r="K53" s="293"/>
    </row>
    <row r="54" spans="1:11" s="269" customFormat="1" x14ac:dyDescent="0.2">
      <c r="A54" s="285"/>
      <c r="K54" s="293"/>
    </row>
    <row r="55" spans="1:11" s="269" customFormat="1" x14ac:dyDescent="0.2">
      <c r="A55" s="285"/>
      <c r="K55" s="293"/>
    </row>
    <row r="56" spans="1:11" s="269" customFormat="1" x14ac:dyDescent="0.2">
      <c r="A56" s="285"/>
      <c r="K56" s="293"/>
    </row>
    <row r="57" spans="1:11" s="269" customFormat="1" x14ac:dyDescent="0.2">
      <c r="A57" s="285"/>
      <c r="K57" s="293"/>
    </row>
    <row r="58" spans="1:11" s="269" customFormat="1" x14ac:dyDescent="0.2">
      <c r="A58" s="285"/>
      <c r="K58" s="293"/>
    </row>
    <row r="59" spans="1:11" s="269" customFormat="1" x14ac:dyDescent="0.2">
      <c r="A59" s="285"/>
      <c r="K59" s="293"/>
    </row>
    <row r="60" spans="1:11" s="269" customFormat="1" x14ac:dyDescent="0.2">
      <c r="A60" s="285"/>
      <c r="K60" s="293"/>
    </row>
  </sheetData>
  <sheetProtection password="C6A6" sheet="1"/>
  <mergeCells count="4">
    <mergeCell ref="A1:G1"/>
    <mergeCell ref="A36:G36"/>
    <mergeCell ref="C38:G38"/>
    <mergeCell ref="A48:G50"/>
  </mergeCells>
  <pageMargins left="0.70866141732283472" right="0.70866141732283472" top="0.74803149606299213" bottom="0.74803149606299213" header="0.31496062992125984" footer="0.31496062992125984"/>
  <pageSetup scale="90" firstPageNumber="3" orientation="portrait" useFirstPageNumber="1" r:id="rId1"/>
  <headerFooter scaleWithDoc="0">
    <oddHeader>&amp;L&amp;10Guidelines: Bison Bull Backgrounding Costs&amp;R&amp;10&amp;P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J135"/>
  <sheetViews>
    <sheetView showGridLines="0" zoomScaleNormal="100" workbookViewId="0">
      <selection activeCell="E5" sqref="E5"/>
    </sheetView>
  </sheetViews>
  <sheetFormatPr defaultColWidth="11.5546875" defaultRowHeight="15" x14ac:dyDescent="0.2"/>
  <cols>
    <col min="1" max="1" width="1.6640625" style="4" customWidth="1"/>
    <col min="2" max="2" width="15.109375" style="4" customWidth="1"/>
    <col min="3" max="3" width="17.44140625" style="4" customWidth="1"/>
    <col min="4" max="4" width="11.77734375" style="4" customWidth="1"/>
    <col min="5" max="5" width="9.5546875" style="4" customWidth="1"/>
    <col min="6" max="6" width="3.33203125" style="4" customWidth="1"/>
    <col min="7" max="7" width="9.77734375" style="4" customWidth="1"/>
    <col min="8" max="8" width="5.77734375" style="4" customWidth="1"/>
    <col min="9" max="9" width="9.5546875" style="4" customWidth="1"/>
    <col min="10" max="10" width="9.6640625" style="4" customWidth="1"/>
    <col min="11" max="13" width="11.5546875" style="4" customWidth="1"/>
    <col min="14" max="14" width="11.6640625" style="4" customWidth="1"/>
    <col min="15" max="15" width="12.6640625" style="4" customWidth="1"/>
    <col min="16" max="16" width="11.5546875" style="4" customWidth="1"/>
    <col min="17" max="18" width="1.6640625" style="4" customWidth="1"/>
    <col min="19" max="20" width="11.5546875" style="4" customWidth="1"/>
    <col min="21" max="21" width="2.6640625" style="4" customWidth="1"/>
    <col min="22" max="22" width="12.6640625" style="4" customWidth="1"/>
    <col min="23" max="23" width="4.6640625" style="4" customWidth="1"/>
    <col min="24" max="24" width="11.5546875" style="4" customWidth="1"/>
    <col min="25" max="25" width="10.6640625" style="4" customWidth="1"/>
    <col min="26" max="26" width="1.6640625" style="4" customWidth="1"/>
    <col min="27" max="33" width="9.6640625" style="4" customWidth="1"/>
    <col min="34" max="34" width="11.6640625" style="4" customWidth="1"/>
    <col min="35" max="35" width="1.6640625" style="4" customWidth="1"/>
    <col min="36" max="16384" width="11.5546875" style="4"/>
  </cols>
  <sheetData>
    <row r="1" spans="1:9" ht="18" x14ac:dyDescent="0.25">
      <c r="A1" s="358" t="s">
        <v>188</v>
      </c>
      <c r="B1" s="358"/>
      <c r="C1" s="358"/>
      <c r="D1" s="358"/>
      <c r="E1" s="358"/>
      <c r="F1" s="358"/>
      <c r="G1" s="358"/>
      <c r="H1" s="358"/>
      <c r="I1" s="358"/>
    </row>
    <row r="3" spans="1:9" ht="15.75" x14ac:dyDescent="0.25">
      <c r="B3" s="20" t="s">
        <v>80</v>
      </c>
    </row>
    <row r="4" spans="1:9" ht="15.75" x14ac:dyDescent="0.25">
      <c r="B4" s="20"/>
    </row>
    <row r="5" spans="1:9" ht="15.75" x14ac:dyDescent="0.25">
      <c r="B5" s="4" t="s">
        <v>1</v>
      </c>
      <c r="E5" s="86">
        <v>300</v>
      </c>
      <c r="F5" s="9" t="s">
        <v>2</v>
      </c>
    </row>
    <row r="6" spans="1:9" ht="15.75" x14ac:dyDescent="0.25">
      <c r="B6" s="4" t="s">
        <v>153</v>
      </c>
      <c r="E6" s="87">
        <v>1.5</v>
      </c>
      <c r="F6" s="9" t="s">
        <v>3</v>
      </c>
    </row>
    <row r="7" spans="1:9" ht="15.75" x14ac:dyDescent="0.25">
      <c r="B7" s="4" t="s">
        <v>81</v>
      </c>
      <c r="E7" s="86">
        <v>480</v>
      </c>
      <c r="F7" s="9" t="s">
        <v>4</v>
      </c>
    </row>
    <row r="8" spans="1:9" ht="15.75" x14ac:dyDescent="0.25">
      <c r="B8" s="4" t="s">
        <v>154</v>
      </c>
      <c r="E8" s="339">
        <v>205</v>
      </c>
      <c r="F8" s="9" t="s">
        <v>84</v>
      </c>
    </row>
    <row r="9" spans="1:9" ht="15.75" x14ac:dyDescent="0.25">
      <c r="B9" s="4" t="s">
        <v>82</v>
      </c>
      <c r="E9" s="86">
        <v>800</v>
      </c>
      <c r="F9" s="9" t="s">
        <v>4</v>
      </c>
    </row>
    <row r="10" spans="1:9" ht="15.75" x14ac:dyDescent="0.25">
      <c r="B10" s="19" t="s">
        <v>253</v>
      </c>
      <c r="E10" s="340">
        <v>180</v>
      </c>
      <c r="F10" s="9" t="s">
        <v>84</v>
      </c>
      <c r="H10" s="197"/>
      <c r="I10" s="145"/>
    </row>
    <row r="11" spans="1:9" ht="15.75" x14ac:dyDescent="0.25">
      <c r="B11" s="19"/>
      <c r="E11" s="259"/>
      <c r="F11" s="9"/>
      <c r="H11" s="197"/>
      <c r="I11" s="145"/>
    </row>
    <row r="12" spans="1:9" ht="15.75" x14ac:dyDescent="0.25">
      <c r="B12" s="19" t="s">
        <v>184</v>
      </c>
      <c r="E12" s="87">
        <v>4</v>
      </c>
      <c r="F12" s="9" t="s">
        <v>3</v>
      </c>
    </row>
    <row r="13" spans="1:9" ht="15.75" x14ac:dyDescent="0.25">
      <c r="B13" s="19" t="s">
        <v>185</v>
      </c>
      <c r="E13" s="87">
        <v>0</v>
      </c>
      <c r="F13" s="9" t="s">
        <v>3</v>
      </c>
    </row>
    <row r="14" spans="1:9" ht="15.75" x14ac:dyDescent="0.25">
      <c r="B14" s="4" t="s">
        <v>83</v>
      </c>
      <c r="E14" s="87">
        <v>1.45</v>
      </c>
      <c r="F14" s="9" t="s">
        <v>5</v>
      </c>
    </row>
    <row r="15" spans="1:9" ht="15.75" x14ac:dyDescent="0.25">
      <c r="B15" s="4" t="s">
        <v>6</v>
      </c>
      <c r="E15" s="87">
        <v>0</v>
      </c>
      <c r="F15" s="9" t="s">
        <v>3</v>
      </c>
    </row>
    <row r="16" spans="1:9" s="319" customFormat="1" ht="15.75" x14ac:dyDescent="0.25">
      <c r="A16" s="320"/>
      <c r="B16" s="318" t="s">
        <v>331</v>
      </c>
      <c r="C16" s="318"/>
      <c r="D16" s="321" t="str">
        <f>"($"&amp;TEXT(1/E16,"#.####")&amp;" CDN )"</f>
        <v>($1.3699 CDN )</v>
      </c>
      <c r="E16" s="322">
        <v>0.73</v>
      </c>
      <c r="F16" s="323" t="s">
        <v>332</v>
      </c>
      <c r="I16" s="318"/>
    </row>
    <row r="17" spans="2:9" ht="15.75" x14ac:dyDescent="0.25">
      <c r="B17" s="4" t="s">
        <v>7</v>
      </c>
      <c r="E17" s="83">
        <f>ROUND((E9-(E7-(E7*E13/100)))/E14,0)</f>
        <v>221</v>
      </c>
      <c r="F17" s="9" t="s">
        <v>8</v>
      </c>
    </row>
    <row r="18" spans="2:9" s="200" customFormat="1" ht="15.75" x14ac:dyDescent="0.25">
      <c r="B18" s="200" t="s">
        <v>260</v>
      </c>
      <c r="E18" s="97">
        <v>120</v>
      </c>
      <c r="F18" s="201" t="s">
        <v>169</v>
      </c>
      <c r="H18" s="76"/>
      <c r="I18" s="76"/>
    </row>
    <row r="19" spans="2:9" s="200" customFormat="1" ht="15.75" x14ac:dyDescent="0.25">
      <c r="B19" s="200" t="s">
        <v>259</v>
      </c>
      <c r="E19" s="202">
        <f>SUM(E17-E18)</f>
        <v>101</v>
      </c>
      <c r="F19" s="201" t="s">
        <v>169</v>
      </c>
      <c r="H19" s="76"/>
      <c r="I19" s="76"/>
    </row>
    <row r="20" spans="2:9" x14ac:dyDescent="0.2">
      <c r="D20" s="193"/>
    </row>
    <row r="21" spans="2:9" x14ac:dyDescent="0.2">
      <c r="B21" s="19" t="s">
        <v>258</v>
      </c>
      <c r="E21" s="194">
        <f>Summary!C9</f>
        <v>160.64400000000001</v>
      </c>
    </row>
    <row r="22" spans="2:9" x14ac:dyDescent="0.2">
      <c r="B22" s="19" t="s">
        <v>254</v>
      </c>
      <c r="E22" s="195">
        <f>SUM(E21/E19)</f>
        <v>1.5905346534653466</v>
      </c>
    </row>
    <row r="23" spans="2:9" x14ac:dyDescent="0.2">
      <c r="B23" s="19" t="s">
        <v>255</v>
      </c>
      <c r="E23" s="196">
        <f>(E21/ROUND((Input!$E$9-(Input!$E$9*Input!$E$12/100))-(Input!$E$7-(Input!$E$7*Input!$E$13/100)),0))</f>
        <v>0.55779166666666669</v>
      </c>
    </row>
    <row r="24" spans="2:9" x14ac:dyDescent="0.2">
      <c r="B24" s="19"/>
      <c r="E24" s="196"/>
    </row>
    <row r="25" spans="2:9" x14ac:dyDescent="0.2">
      <c r="B25" s="19" t="s">
        <v>256</v>
      </c>
      <c r="E25" s="199">
        <f>ROUND(E9-E7,0)</f>
        <v>320</v>
      </c>
    </row>
    <row r="26" spans="2:9" x14ac:dyDescent="0.2">
      <c r="B26" s="19" t="s">
        <v>257</v>
      </c>
      <c r="E26" s="198">
        <f>ROUND((E9-(E9*E12/100))-(E7-(E7*E13/100)),0)</f>
        <v>288</v>
      </c>
    </row>
    <row r="28" spans="2:9" x14ac:dyDescent="0.2">
      <c r="B28" s="4" t="s">
        <v>88</v>
      </c>
    </row>
    <row r="30" spans="2:9" ht="15.75" x14ac:dyDescent="0.25">
      <c r="B30" s="45" t="s">
        <v>35</v>
      </c>
      <c r="C30" s="46" t="s">
        <v>85</v>
      </c>
      <c r="D30" s="7"/>
      <c r="E30" s="7"/>
      <c r="F30" s="45"/>
      <c r="G30" s="95" t="s">
        <v>208</v>
      </c>
    </row>
    <row r="31" spans="2:9" ht="15.75" x14ac:dyDescent="0.25">
      <c r="B31" s="19" t="s">
        <v>9</v>
      </c>
      <c r="C31" s="89">
        <v>100</v>
      </c>
      <c r="D31" s="4" t="s">
        <v>48</v>
      </c>
      <c r="E31" s="87">
        <v>16</v>
      </c>
      <c r="F31" s="9" t="s">
        <v>86</v>
      </c>
    </row>
    <row r="32" spans="2:9" ht="15.75" x14ac:dyDescent="0.25">
      <c r="B32" s="19" t="s">
        <v>195</v>
      </c>
      <c r="C32" s="88">
        <v>0</v>
      </c>
      <c r="D32" s="4" t="s">
        <v>48</v>
      </c>
      <c r="E32" s="87">
        <v>0</v>
      </c>
      <c r="F32" s="9" t="s">
        <v>86</v>
      </c>
    </row>
    <row r="33" spans="2:10" ht="15.75" x14ac:dyDescent="0.25">
      <c r="B33" s="19" t="s">
        <v>200</v>
      </c>
      <c r="C33" s="88">
        <v>0</v>
      </c>
      <c r="D33" s="4" t="s">
        <v>48</v>
      </c>
      <c r="E33" s="87">
        <v>0</v>
      </c>
      <c r="F33" s="9" t="s">
        <v>86</v>
      </c>
    </row>
    <row r="34" spans="2:10" ht="15.75" x14ac:dyDescent="0.25">
      <c r="B34" s="19" t="s">
        <v>196</v>
      </c>
      <c r="C34" s="90">
        <v>0.2</v>
      </c>
      <c r="D34" s="4" t="s">
        <v>38</v>
      </c>
      <c r="E34" s="87">
        <v>3.5</v>
      </c>
      <c r="F34" s="9" t="s">
        <v>86</v>
      </c>
    </row>
    <row r="35" spans="2:10" ht="15.75" x14ac:dyDescent="0.25">
      <c r="B35" s="4" t="s">
        <v>10</v>
      </c>
      <c r="C35" s="88">
        <v>0.14000000000000001</v>
      </c>
      <c r="D35" s="4" t="s">
        <v>38</v>
      </c>
      <c r="E35" s="87">
        <v>3.5</v>
      </c>
      <c r="F35" s="9" t="s">
        <v>87</v>
      </c>
      <c r="I35" s="86"/>
    </row>
    <row r="36" spans="2:10" ht="15.75" x14ac:dyDescent="0.25">
      <c r="B36" s="18" t="s">
        <v>11</v>
      </c>
      <c r="C36" s="91">
        <v>0.91</v>
      </c>
      <c r="D36" s="18" t="s">
        <v>38</v>
      </c>
      <c r="E36" s="92">
        <v>9.4</v>
      </c>
      <c r="F36" s="48" t="s">
        <v>87</v>
      </c>
      <c r="G36" s="18"/>
      <c r="H36" s="49"/>
      <c r="I36" s="86"/>
    </row>
    <row r="38" spans="2:10" ht="15.75" x14ac:dyDescent="0.25">
      <c r="B38" s="20" t="s">
        <v>168</v>
      </c>
      <c r="D38" s="19" t="s">
        <v>201</v>
      </c>
      <c r="E38" s="258">
        <v>1.26</v>
      </c>
      <c r="G38" s="197"/>
      <c r="H38" s="145"/>
      <c r="I38" s="145"/>
      <c r="J38" s="145"/>
    </row>
    <row r="40" spans="2:10" ht="15.75" x14ac:dyDescent="0.25">
      <c r="B40" s="20" t="s">
        <v>89</v>
      </c>
      <c r="E40" s="50"/>
    </row>
    <row r="41" spans="2:10" x14ac:dyDescent="0.2">
      <c r="G41" s="9"/>
      <c r="H41" s="51" t="s">
        <v>0</v>
      </c>
    </row>
    <row r="42" spans="2:10" ht="15.75" x14ac:dyDescent="0.25">
      <c r="B42" s="20" t="s">
        <v>90</v>
      </c>
      <c r="D42" s="4" t="s">
        <v>0</v>
      </c>
      <c r="E42" s="4" t="s">
        <v>0</v>
      </c>
      <c r="G42" s="9"/>
      <c r="H42" s="51" t="s">
        <v>0</v>
      </c>
    </row>
    <row r="43" spans="2:10" ht="15.75" x14ac:dyDescent="0.25">
      <c r="B43" s="4" t="s">
        <v>95</v>
      </c>
      <c r="E43" s="93">
        <v>0.1</v>
      </c>
      <c r="F43" s="52" t="s">
        <v>94</v>
      </c>
      <c r="H43" s="51"/>
    </row>
    <row r="44" spans="2:10" ht="15.75" x14ac:dyDescent="0.25">
      <c r="B44" s="4" t="s">
        <v>91</v>
      </c>
      <c r="D44" s="4" t="s">
        <v>0</v>
      </c>
      <c r="E44" s="88">
        <v>70</v>
      </c>
      <c r="F44" s="9" t="s">
        <v>53</v>
      </c>
      <c r="H44" s="51" t="s">
        <v>0</v>
      </c>
    </row>
    <row r="45" spans="2:10" x14ac:dyDescent="0.2">
      <c r="B45" s="4" t="s">
        <v>0</v>
      </c>
      <c r="D45" s="4" t="s">
        <v>0</v>
      </c>
      <c r="E45" s="9" t="s">
        <v>0</v>
      </c>
      <c r="F45" s="9"/>
      <c r="H45" s="51" t="s">
        <v>0</v>
      </c>
    </row>
    <row r="46" spans="2:10" ht="15.75" x14ac:dyDescent="0.25">
      <c r="B46" s="20" t="s">
        <v>92</v>
      </c>
    </row>
    <row r="47" spans="2:10" x14ac:dyDescent="0.2">
      <c r="B47" s="4" t="s">
        <v>152</v>
      </c>
    </row>
    <row r="48" spans="2:10" ht="15.75" x14ac:dyDescent="0.25">
      <c r="B48" s="4" t="s">
        <v>93</v>
      </c>
      <c r="E48" s="96">
        <v>0.83</v>
      </c>
      <c r="F48" s="9" t="s">
        <v>46</v>
      </c>
    </row>
    <row r="49" spans="1:9" ht="15.75" x14ac:dyDescent="0.25">
      <c r="B49" s="4" t="s">
        <v>12</v>
      </c>
      <c r="E49" s="96">
        <v>0</v>
      </c>
      <c r="F49" s="9" t="s">
        <v>46</v>
      </c>
    </row>
    <row r="50" spans="1:9" ht="15.75" x14ac:dyDescent="0.25">
      <c r="B50" s="4" t="s">
        <v>13</v>
      </c>
      <c r="E50" s="96">
        <v>7.6</v>
      </c>
      <c r="F50" s="9" t="s">
        <v>46</v>
      </c>
    </row>
    <row r="51" spans="1:9" x14ac:dyDescent="0.2">
      <c r="B51" s="51"/>
      <c r="C51" s="51"/>
      <c r="D51" s="51"/>
      <c r="E51" s="51"/>
      <c r="F51" s="51"/>
      <c r="H51" s="51"/>
      <c r="I51" s="51"/>
    </row>
    <row r="52" spans="1:9" x14ac:dyDescent="0.2">
      <c r="B52" s="4" t="s">
        <v>96</v>
      </c>
    </row>
    <row r="53" spans="1:9" x14ac:dyDescent="0.2">
      <c r="B53" s="4" t="s">
        <v>97</v>
      </c>
      <c r="E53" s="9" t="s">
        <v>0</v>
      </c>
      <c r="F53" s="9"/>
    </row>
    <row r="54" spans="1:9" ht="15.75" x14ac:dyDescent="0.25">
      <c r="B54" s="4" t="s">
        <v>14</v>
      </c>
      <c r="E54" s="86">
        <v>1</v>
      </c>
      <c r="F54" s="51" t="s">
        <v>60</v>
      </c>
    </row>
    <row r="55" spans="1:9" ht="15.75" x14ac:dyDescent="0.25">
      <c r="B55" s="4" t="s">
        <v>98</v>
      </c>
      <c r="E55" s="96">
        <v>175</v>
      </c>
      <c r="F55" s="9" t="s">
        <v>79</v>
      </c>
    </row>
    <row r="56" spans="1:9" x14ac:dyDescent="0.2">
      <c r="E56" s="9" t="s">
        <v>0</v>
      </c>
      <c r="F56" s="9"/>
    </row>
    <row r="57" spans="1:9" x14ac:dyDescent="0.2">
      <c r="B57" s="4" t="s">
        <v>99</v>
      </c>
      <c r="E57" s="9" t="s">
        <v>0</v>
      </c>
      <c r="F57" s="9"/>
    </row>
    <row r="58" spans="1:9" ht="15.75" x14ac:dyDescent="0.25">
      <c r="B58" s="4" t="s">
        <v>100</v>
      </c>
      <c r="E58" s="86">
        <v>160</v>
      </c>
      <c r="F58" s="51" t="s">
        <v>101</v>
      </c>
    </row>
    <row r="59" spans="1:9" ht="15.75" x14ac:dyDescent="0.25">
      <c r="B59" s="4" t="s">
        <v>15</v>
      </c>
      <c r="E59" s="88">
        <v>1</v>
      </c>
      <c r="F59" s="9"/>
    </row>
    <row r="60" spans="1:9" ht="15.75" x14ac:dyDescent="0.25">
      <c r="B60" s="4" t="s">
        <v>16</v>
      </c>
      <c r="E60" s="86">
        <v>1</v>
      </c>
      <c r="F60" s="51"/>
    </row>
    <row r="62" spans="1:9" ht="15.75" x14ac:dyDescent="0.25">
      <c r="B62" s="20" t="s">
        <v>102</v>
      </c>
    </row>
    <row r="63" spans="1:9" s="207" customFormat="1" x14ac:dyDescent="0.2">
      <c r="A63" s="204" t="s">
        <v>274</v>
      </c>
      <c r="B63" s="205"/>
      <c r="C63" s="205"/>
      <c r="D63" s="205"/>
      <c r="E63" s="206"/>
      <c r="H63" s="206"/>
      <c r="I63" s="205"/>
    </row>
    <row r="64" spans="1:9" s="207" customFormat="1" ht="15.75" x14ac:dyDescent="0.25">
      <c r="A64" s="204" t="s">
        <v>275</v>
      </c>
      <c r="D64" s="205"/>
      <c r="E64" s="208">
        <v>120</v>
      </c>
      <c r="H64" s="206"/>
      <c r="I64" s="205"/>
    </row>
    <row r="65" spans="1:9" s="207" customFormat="1" ht="15.75" x14ac:dyDescent="0.25">
      <c r="A65" s="204" t="s">
        <v>276</v>
      </c>
      <c r="D65" s="205"/>
      <c r="E65" s="209">
        <v>1.65</v>
      </c>
      <c r="F65" s="210" t="s">
        <v>277</v>
      </c>
      <c r="H65" s="206"/>
      <c r="I65" s="205"/>
    </row>
    <row r="66" spans="1:9" s="207" customFormat="1" ht="15.75" x14ac:dyDescent="0.25">
      <c r="A66" s="204" t="s">
        <v>278</v>
      </c>
      <c r="C66" s="205"/>
      <c r="D66" s="205"/>
      <c r="E66" s="211">
        <v>1</v>
      </c>
      <c r="F66" s="210" t="s">
        <v>60</v>
      </c>
      <c r="H66" s="206"/>
      <c r="I66" s="205"/>
    </row>
    <row r="67" spans="1:9" s="207" customFormat="1" ht="15.75" x14ac:dyDescent="0.25">
      <c r="A67" s="204" t="s">
        <v>279</v>
      </c>
      <c r="B67" s="205"/>
      <c r="C67" s="205"/>
      <c r="D67" s="205"/>
      <c r="E67" s="211">
        <v>1</v>
      </c>
      <c r="F67" s="210" t="s">
        <v>113</v>
      </c>
      <c r="H67" s="206"/>
      <c r="I67" s="205"/>
    </row>
    <row r="68" spans="1:9" s="207" customFormat="1" ht="15.75" x14ac:dyDescent="0.25">
      <c r="A68" s="204" t="s">
        <v>280</v>
      </c>
      <c r="B68" s="205"/>
      <c r="C68" s="205"/>
      <c r="D68" s="205"/>
      <c r="E68" s="211">
        <v>2</v>
      </c>
      <c r="F68" s="210" t="s">
        <v>113</v>
      </c>
      <c r="H68" s="206"/>
      <c r="I68" s="205"/>
    </row>
    <row r="69" spans="1:9" ht="15.75" x14ac:dyDescent="0.25">
      <c r="B69" s="20" t="s">
        <v>103</v>
      </c>
      <c r="E69" s="232" t="s">
        <v>0</v>
      </c>
      <c r="F69" s="9"/>
    </row>
    <row r="70" spans="1:9" s="212" customFormat="1" ht="15.75" customHeight="1" x14ac:dyDescent="0.25">
      <c r="A70" s="212" t="s">
        <v>281</v>
      </c>
      <c r="B70" s="212" t="s">
        <v>282</v>
      </c>
      <c r="E70" s="338">
        <v>9.3240000000000003E-2</v>
      </c>
      <c r="F70" s="212" t="s">
        <v>283</v>
      </c>
    </row>
    <row r="71" spans="1:9" s="212" customFormat="1" ht="15.75" customHeight="1" x14ac:dyDescent="0.25">
      <c r="B71" s="213">
        <v>12</v>
      </c>
      <c r="C71" s="212" t="s">
        <v>301</v>
      </c>
      <c r="E71" s="214">
        <f>SUM(B71*E5*E70)</f>
        <v>335.66399999999999</v>
      </c>
    </row>
    <row r="72" spans="1:9" s="212" customFormat="1" ht="15.75" customHeight="1" x14ac:dyDescent="0.25">
      <c r="B72" s="213">
        <v>1</v>
      </c>
      <c r="C72" s="212" t="s">
        <v>284</v>
      </c>
      <c r="E72" s="215">
        <f>SUM(B72*18)*(E19)*E70</f>
        <v>169.51032000000001</v>
      </c>
    </row>
    <row r="73" spans="1:9" s="212" customFormat="1" ht="15.75" customHeight="1" x14ac:dyDescent="0.25">
      <c r="B73" s="213"/>
      <c r="D73" s="212" t="s">
        <v>285</v>
      </c>
      <c r="E73" s="216">
        <f>SUM(E71:E72)</f>
        <v>505.17431999999997</v>
      </c>
    </row>
    <row r="74" spans="1:9" s="51" customFormat="1" ht="15.75" x14ac:dyDescent="0.25">
      <c r="A74" s="51" t="s">
        <v>286</v>
      </c>
      <c r="E74" s="88">
        <v>0</v>
      </c>
    </row>
    <row r="75" spans="1:9" s="51" customFormat="1" ht="15.75" x14ac:dyDescent="0.25">
      <c r="A75" s="51" t="s">
        <v>287</v>
      </c>
      <c r="E75" s="217">
        <v>600</v>
      </c>
    </row>
    <row r="77" spans="1:9" ht="15.75" x14ac:dyDescent="0.25">
      <c r="B77" s="20" t="s">
        <v>155</v>
      </c>
      <c r="E77" s="9" t="s">
        <v>0</v>
      </c>
      <c r="F77" s="9"/>
    </row>
    <row r="78" spans="1:9" ht="15.75" x14ac:dyDescent="0.25">
      <c r="B78" s="197" t="s">
        <v>104</v>
      </c>
      <c r="E78" s="97">
        <v>150</v>
      </c>
      <c r="F78" s="51" t="s">
        <v>69</v>
      </c>
    </row>
    <row r="79" spans="1:9" ht="15.75" x14ac:dyDescent="0.25">
      <c r="B79" s="4" t="s">
        <v>106</v>
      </c>
      <c r="E79" s="96">
        <v>7</v>
      </c>
      <c r="F79" s="9" t="s">
        <v>105</v>
      </c>
    </row>
    <row r="80" spans="1:9" ht="15.75" x14ac:dyDescent="0.25">
      <c r="B80" s="4" t="s">
        <v>17</v>
      </c>
      <c r="E80" s="97">
        <v>85</v>
      </c>
      <c r="F80" s="47"/>
    </row>
    <row r="81" spans="1:9" ht="15.75" x14ac:dyDescent="0.25">
      <c r="E81" s="43"/>
      <c r="F81" s="47"/>
    </row>
    <row r="82" spans="1:9" ht="15.75" x14ac:dyDescent="0.25">
      <c r="B82" s="20" t="s">
        <v>182</v>
      </c>
      <c r="E82" s="9" t="s">
        <v>0</v>
      </c>
      <c r="F82" s="9"/>
    </row>
    <row r="83" spans="1:9" ht="15.75" x14ac:dyDescent="0.25">
      <c r="B83" s="4" t="s">
        <v>106</v>
      </c>
      <c r="C83" s="4" t="s">
        <v>170</v>
      </c>
      <c r="E83" s="96">
        <v>7</v>
      </c>
      <c r="F83" s="9" t="s">
        <v>105</v>
      </c>
    </row>
    <row r="84" spans="1:9" ht="15.75" x14ac:dyDescent="0.25">
      <c r="C84" s="4" t="s">
        <v>171</v>
      </c>
      <c r="E84" s="98">
        <v>150</v>
      </c>
      <c r="F84" s="4" t="s">
        <v>69</v>
      </c>
    </row>
    <row r="85" spans="1:9" ht="15.75" x14ac:dyDescent="0.25">
      <c r="C85" s="4" t="s">
        <v>172</v>
      </c>
      <c r="E85" s="98">
        <v>55</v>
      </c>
      <c r="F85" s="4" t="s">
        <v>173</v>
      </c>
    </row>
    <row r="86" spans="1:9" ht="15.75" x14ac:dyDescent="0.25">
      <c r="E86" s="44"/>
      <c r="F86" s="9"/>
    </row>
    <row r="87" spans="1:9" ht="15.75" x14ac:dyDescent="0.25">
      <c r="B87" s="20" t="s">
        <v>108</v>
      </c>
      <c r="D87" s="4" t="s">
        <v>0</v>
      </c>
      <c r="E87" s="9" t="s">
        <v>0</v>
      </c>
      <c r="F87" s="9"/>
      <c r="H87" s="51" t="s">
        <v>0</v>
      </c>
    </row>
    <row r="88" spans="1:9" s="234" customFormat="1" ht="18.75" customHeight="1" x14ac:dyDescent="0.25">
      <c r="A88" s="34" t="s">
        <v>305</v>
      </c>
      <c r="B88" s="51"/>
      <c r="C88" s="51"/>
      <c r="E88" s="233">
        <v>2.4E-2</v>
      </c>
      <c r="F88" s="122" t="s">
        <v>303</v>
      </c>
      <c r="H88" s="235"/>
      <c r="I88" s="51"/>
    </row>
    <row r="89" spans="1:9" s="234" customFormat="1" ht="15.75" x14ac:dyDescent="0.25">
      <c r="A89" s="34" t="s">
        <v>306</v>
      </c>
      <c r="B89" s="51"/>
      <c r="C89" s="51"/>
      <c r="E89" s="236">
        <v>75</v>
      </c>
      <c r="F89" s="234" t="s">
        <v>113</v>
      </c>
      <c r="H89" s="235"/>
      <c r="I89" s="51"/>
    </row>
    <row r="90" spans="1:9" s="234" customFormat="1" ht="15.75" x14ac:dyDescent="0.25">
      <c r="A90" s="34" t="s">
        <v>307</v>
      </c>
      <c r="B90" s="51"/>
      <c r="C90" s="51"/>
      <c r="E90" s="237">
        <v>15</v>
      </c>
      <c r="F90" s="122" t="s">
        <v>304</v>
      </c>
      <c r="H90" s="235"/>
      <c r="I90" s="51"/>
    </row>
    <row r="92" spans="1:9" ht="15.75" x14ac:dyDescent="0.25">
      <c r="B92" s="20" t="s">
        <v>109</v>
      </c>
    </row>
    <row r="93" spans="1:9" x14ac:dyDescent="0.2">
      <c r="B93" s="4" t="s">
        <v>18</v>
      </c>
    </row>
    <row r="94" spans="1:9" ht="15.75" x14ac:dyDescent="0.25">
      <c r="B94" s="4" t="s">
        <v>110</v>
      </c>
      <c r="E94" s="217">
        <v>0.45</v>
      </c>
      <c r="F94" s="9"/>
    </row>
    <row r="95" spans="1:9" ht="15.75" x14ac:dyDescent="0.25">
      <c r="B95" s="4" t="s">
        <v>111</v>
      </c>
      <c r="E95" s="217">
        <v>0.4</v>
      </c>
      <c r="F95" s="9"/>
    </row>
    <row r="96" spans="1:9" ht="15.75" x14ac:dyDescent="0.25">
      <c r="B96" s="4" t="s">
        <v>19</v>
      </c>
      <c r="E96" s="217">
        <v>49</v>
      </c>
      <c r="F96" s="9"/>
    </row>
    <row r="98" spans="2:9" ht="15.75" x14ac:dyDescent="0.25">
      <c r="B98" s="20" t="s">
        <v>112</v>
      </c>
    </row>
    <row r="99" spans="2:9" ht="15.75" x14ac:dyDescent="0.25">
      <c r="B99" s="4" t="s">
        <v>20</v>
      </c>
      <c r="E99" s="88">
        <v>1400</v>
      </c>
      <c r="F99" s="9"/>
    </row>
    <row r="101" spans="2:9" ht="15.75" x14ac:dyDescent="0.25">
      <c r="B101" s="20" t="s">
        <v>114</v>
      </c>
      <c r="E101" s="87">
        <v>7.75</v>
      </c>
      <c r="F101" s="53" t="s">
        <v>113</v>
      </c>
    </row>
    <row r="102" spans="2:9" ht="15.75" x14ac:dyDescent="0.25">
      <c r="B102" s="20" t="s">
        <v>115</v>
      </c>
      <c r="E102" s="87">
        <v>3</v>
      </c>
      <c r="F102" s="53" t="s">
        <v>113</v>
      </c>
    </row>
    <row r="103" spans="2:9" x14ac:dyDescent="0.2">
      <c r="I103" s="4" t="s">
        <v>0</v>
      </c>
    </row>
    <row r="104" spans="2:9" x14ac:dyDescent="0.2">
      <c r="B104" s="4" t="s">
        <v>116</v>
      </c>
    </row>
    <row r="105" spans="2:9" x14ac:dyDescent="0.2">
      <c r="I105" s="4" t="s">
        <v>0</v>
      </c>
    </row>
    <row r="106" spans="2:9" ht="18" x14ac:dyDescent="0.25">
      <c r="D106" s="80" t="s">
        <v>117</v>
      </c>
    </row>
    <row r="107" spans="2:9" x14ac:dyDescent="0.2">
      <c r="D107" s="4" t="s">
        <v>0</v>
      </c>
      <c r="E107" s="9"/>
      <c r="F107" s="9"/>
      <c r="G107" s="51"/>
    </row>
    <row r="108" spans="2:9" ht="15.75" x14ac:dyDescent="0.25">
      <c r="D108" s="13" t="s">
        <v>118</v>
      </c>
      <c r="E108" s="54" t="s">
        <v>120</v>
      </c>
      <c r="F108" s="9"/>
      <c r="G108" s="55" t="s">
        <v>132</v>
      </c>
    </row>
    <row r="109" spans="2:9" ht="15.75" x14ac:dyDescent="0.25">
      <c r="D109" s="10" t="s">
        <v>119</v>
      </c>
      <c r="E109" s="46" t="s">
        <v>119</v>
      </c>
      <c r="F109" s="56"/>
      <c r="G109" s="57" t="s">
        <v>121</v>
      </c>
      <c r="H109" s="7"/>
    </row>
    <row r="110" spans="2:9" ht="15.75" x14ac:dyDescent="0.25">
      <c r="B110" s="20" t="s">
        <v>21</v>
      </c>
      <c r="D110" s="4" t="s">
        <v>0</v>
      </c>
    </row>
    <row r="111" spans="2:9" ht="15.75" x14ac:dyDescent="0.25">
      <c r="B111" s="4" t="s">
        <v>165</v>
      </c>
      <c r="D111" s="250">
        <v>10000</v>
      </c>
    </row>
    <row r="112" spans="2:9" ht="15.75" x14ac:dyDescent="0.25">
      <c r="B112" s="4" t="s">
        <v>128</v>
      </c>
      <c r="D112" s="251">
        <v>6000</v>
      </c>
      <c r="E112" s="6"/>
      <c r="F112" s="51"/>
      <c r="G112" s="6"/>
    </row>
    <row r="113" spans="1:8" ht="15.75" x14ac:dyDescent="0.25">
      <c r="B113" s="4" t="s">
        <v>22</v>
      </c>
      <c r="D113" s="251">
        <v>20000</v>
      </c>
      <c r="E113" s="6"/>
      <c r="F113" s="51"/>
      <c r="G113" s="6"/>
    </row>
    <row r="114" spans="1:8" ht="15.75" x14ac:dyDescent="0.25">
      <c r="B114" s="4" t="s">
        <v>23</v>
      </c>
      <c r="D114" s="251">
        <v>8000</v>
      </c>
      <c r="E114" s="6"/>
      <c r="F114" s="51"/>
      <c r="G114" s="6"/>
    </row>
    <row r="115" spans="1:8" ht="15.75" x14ac:dyDescent="0.25">
      <c r="B115" s="4" t="s">
        <v>123</v>
      </c>
      <c r="D115" s="252">
        <v>42000</v>
      </c>
      <c r="E115" s="58"/>
      <c r="F115" s="59"/>
      <c r="G115" s="58"/>
      <c r="H115" s="7"/>
    </row>
    <row r="116" spans="1:8" ht="15.75" x14ac:dyDescent="0.25">
      <c r="B116" s="20" t="s">
        <v>124</v>
      </c>
      <c r="D116" s="253">
        <f>SUM(D111:D115)</f>
        <v>86000</v>
      </c>
      <c r="E116" s="86">
        <v>0</v>
      </c>
      <c r="F116" s="51" t="s">
        <v>113</v>
      </c>
      <c r="G116" s="86">
        <v>20</v>
      </c>
      <c r="H116" s="4" t="s">
        <v>122</v>
      </c>
    </row>
    <row r="117" spans="1:8" x14ac:dyDescent="0.2">
      <c r="D117" s="145"/>
    </row>
    <row r="118" spans="1:8" ht="15.75" x14ac:dyDescent="0.25">
      <c r="B118" s="5" t="s">
        <v>202</v>
      </c>
      <c r="D118" s="145"/>
      <c r="E118" s="51" t="s">
        <v>0</v>
      </c>
      <c r="F118" s="51"/>
      <c r="G118" s="51" t="s">
        <v>0</v>
      </c>
    </row>
    <row r="119" spans="1:8" ht="15.75" x14ac:dyDescent="0.25">
      <c r="B119" s="4" t="s">
        <v>157</v>
      </c>
      <c r="D119" s="251">
        <v>27000</v>
      </c>
    </row>
    <row r="120" spans="1:8" ht="15.75" x14ac:dyDescent="0.25">
      <c r="B120" s="4" t="s">
        <v>166</v>
      </c>
      <c r="D120" s="251">
        <v>2500</v>
      </c>
      <c r="E120" s="6"/>
      <c r="F120" s="51"/>
      <c r="G120" s="6"/>
    </row>
    <row r="121" spans="1:8" ht="15.75" x14ac:dyDescent="0.25">
      <c r="B121" s="4" t="s">
        <v>167</v>
      </c>
      <c r="D121" s="252">
        <v>2500</v>
      </c>
      <c r="E121" s="58"/>
      <c r="F121" s="59"/>
      <c r="G121" s="58"/>
      <c r="H121" s="7"/>
    </row>
    <row r="122" spans="1:8" ht="15.75" x14ac:dyDescent="0.25">
      <c r="B122" s="5" t="s">
        <v>203</v>
      </c>
      <c r="D122" s="254">
        <f>SUM(D119:D121)</f>
        <v>32000</v>
      </c>
      <c r="E122" s="86">
        <v>0</v>
      </c>
      <c r="F122" s="51" t="s">
        <v>113</v>
      </c>
      <c r="G122" s="86">
        <v>25</v>
      </c>
      <c r="H122" s="4" t="s">
        <v>122</v>
      </c>
    </row>
    <row r="123" spans="1:8" ht="15.75" x14ac:dyDescent="0.25">
      <c r="D123" s="255"/>
      <c r="E123" s="6"/>
      <c r="F123" s="51"/>
      <c r="G123" s="6"/>
    </row>
    <row r="124" spans="1:8" ht="15.75" x14ac:dyDescent="0.25">
      <c r="B124" s="5" t="s">
        <v>204</v>
      </c>
      <c r="D124" s="255"/>
      <c r="E124" s="6"/>
      <c r="F124" s="51"/>
      <c r="G124" s="6"/>
    </row>
    <row r="125" spans="1:8" ht="15.75" x14ac:dyDescent="0.25">
      <c r="B125" s="19" t="s">
        <v>338</v>
      </c>
      <c r="D125" s="256">
        <v>36000</v>
      </c>
      <c r="E125" s="94">
        <v>20</v>
      </c>
      <c r="F125" s="84" t="s">
        <v>113</v>
      </c>
      <c r="G125" s="94">
        <v>15</v>
      </c>
      <c r="H125" s="18" t="s">
        <v>122</v>
      </c>
    </row>
    <row r="126" spans="1:8" ht="15.75" x14ac:dyDescent="0.25">
      <c r="A126" s="19" t="s">
        <v>312</v>
      </c>
      <c r="D126" s="257">
        <v>20000</v>
      </c>
      <c r="E126" s="248">
        <v>20</v>
      </c>
      <c r="F126" s="34" t="s">
        <v>113</v>
      </c>
      <c r="G126" s="248">
        <v>10</v>
      </c>
      <c r="H126" s="4" t="s">
        <v>122</v>
      </c>
    </row>
    <row r="127" spans="1:8" x14ac:dyDescent="0.2">
      <c r="G127" s="9"/>
    </row>
    <row r="128" spans="1:8" ht="15.75" x14ac:dyDescent="0.25">
      <c r="B128" s="20" t="s">
        <v>156</v>
      </c>
      <c r="D128" s="20">
        <f>D116+D122+D125+D126</f>
        <v>174000</v>
      </c>
      <c r="G128" s="9"/>
    </row>
    <row r="129" spans="1:7" x14ac:dyDescent="0.2">
      <c r="G129" s="9"/>
    </row>
    <row r="130" spans="1:7" ht="15.75" x14ac:dyDescent="0.25">
      <c r="B130" s="20" t="s">
        <v>127</v>
      </c>
      <c r="G130" s="9"/>
    </row>
    <row r="131" spans="1:7" x14ac:dyDescent="0.2">
      <c r="G131" s="9"/>
    </row>
    <row r="132" spans="1:7" ht="15.75" x14ac:dyDescent="0.25">
      <c r="B132" s="4" t="s">
        <v>129</v>
      </c>
      <c r="E132" s="249">
        <v>3</v>
      </c>
      <c r="F132" s="4" t="s">
        <v>130</v>
      </c>
    </row>
    <row r="133" spans="1:7" ht="15.75" x14ac:dyDescent="0.25">
      <c r="B133" s="4" t="s">
        <v>131</v>
      </c>
      <c r="E133" s="88">
        <v>26</v>
      </c>
      <c r="F133" s="4" t="s">
        <v>79</v>
      </c>
    </row>
    <row r="134" spans="1:7" x14ac:dyDescent="0.2">
      <c r="A134" s="15"/>
    </row>
    <row r="135" spans="1:7" x14ac:dyDescent="0.2">
      <c r="A135" s="18"/>
    </row>
  </sheetData>
  <sheetProtection password="C6A6" sheet="1"/>
  <mergeCells count="1">
    <mergeCell ref="A1:I1"/>
  </mergeCells>
  <phoneticPr fontId="0" type="noConversion"/>
  <printOptions horizontalCentered="1"/>
  <pageMargins left="0.74803149606299213" right="0.74803149606299213" top="0.82677165354330717" bottom="0.98425196850393704" header="0.51181102362204722" footer="0.51181102362204722"/>
  <pageSetup scale="79" firstPageNumber="4" orientation="portrait" useFirstPageNumber="1" r:id="rId1"/>
  <headerFooter scaleWithDoc="0">
    <oddHeader>&amp;L&amp;10Guidelines: Bison Bull Backgrounding Costs&amp;R&amp;10&amp;P</oddHeader>
  </headerFooter>
  <rowBreaks count="2" manualBreakCount="2">
    <brk id="50" max="7" man="1"/>
    <brk id="9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J255"/>
  <sheetViews>
    <sheetView showGridLines="0" zoomScaleNormal="100" zoomScaleSheetLayoutView="100" zoomScalePageLayoutView="130" workbookViewId="0">
      <selection sqref="A1:J1"/>
    </sheetView>
  </sheetViews>
  <sheetFormatPr defaultRowHeight="15" x14ac:dyDescent="0.2"/>
  <cols>
    <col min="1" max="1" width="3.109375" style="19" customWidth="1"/>
    <col min="2" max="2" width="8.88671875" style="19"/>
    <col min="3" max="3" width="6.88671875" style="19" customWidth="1"/>
    <col min="4" max="4" width="3.109375" style="82" customWidth="1"/>
    <col min="5" max="5" width="10.21875" style="19" customWidth="1"/>
    <col min="6" max="6" width="1.5546875" style="19" customWidth="1"/>
    <col min="7" max="7" width="7.5546875" style="19" customWidth="1"/>
    <col min="8" max="8" width="9" style="19" customWidth="1"/>
    <col min="9" max="9" width="8.88671875" style="19"/>
    <col min="10" max="10" width="12.21875" style="19" customWidth="1"/>
    <col min="11" max="16384" width="8.88671875" style="19"/>
  </cols>
  <sheetData>
    <row r="1" spans="1:10" ht="18" x14ac:dyDescent="0.25">
      <c r="A1" s="358" t="s">
        <v>186</v>
      </c>
      <c r="B1" s="358"/>
      <c r="C1" s="358"/>
      <c r="D1" s="358"/>
      <c r="E1" s="358"/>
      <c r="F1" s="358"/>
      <c r="G1" s="358"/>
      <c r="H1" s="358"/>
      <c r="I1" s="358"/>
      <c r="J1" s="358"/>
    </row>
    <row r="2" spans="1:10" ht="15" customHeight="1" x14ac:dyDescent="0.25">
      <c r="A2" s="363" t="str">
        <f>"Based on "&amp;Input!E5&amp;" head"</f>
        <v>Based on 300 head</v>
      </c>
      <c r="B2" s="363"/>
      <c r="C2" s="363"/>
      <c r="D2" s="363"/>
      <c r="E2" s="363"/>
      <c r="F2" s="363"/>
      <c r="G2" s="363"/>
      <c r="H2" s="363"/>
      <c r="I2" s="363"/>
      <c r="J2" s="363"/>
    </row>
    <row r="3" spans="1:10" ht="15.75" x14ac:dyDescent="0.25">
      <c r="B3" s="81"/>
      <c r="C3" s="82"/>
      <c r="E3" s="82"/>
      <c r="F3" s="82"/>
      <c r="G3" s="82"/>
      <c r="H3" s="82"/>
      <c r="I3" s="82"/>
      <c r="J3" s="82"/>
    </row>
    <row r="4" spans="1:10" ht="15.75" x14ac:dyDescent="0.25">
      <c r="B4" s="68" t="s">
        <v>151</v>
      </c>
      <c r="C4" s="82"/>
      <c r="E4" s="82"/>
      <c r="F4" s="82"/>
      <c r="G4" s="82"/>
      <c r="H4" s="82"/>
      <c r="I4" s="82"/>
      <c r="J4" s="82"/>
    </row>
    <row r="5" spans="1:10" x14ac:dyDescent="0.2">
      <c r="B5" s="366" t="str">
        <f>"1. This budget assumes the weaning and/or purchase weight of bison bull calves to be approximately "&amp;Input!E7&amp;" lbs and finish weight to be "&amp;Input!E9&amp;" lbs."</f>
        <v>1. This budget assumes the weaning and/or purchase weight of bison bull calves to be approximately 480 lbs and finish weight to be 800 lbs.</v>
      </c>
      <c r="C5" s="367"/>
      <c r="D5" s="367"/>
      <c r="E5" s="367"/>
      <c r="F5" s="367"/>
      <c r="G5" s="367"/>
      <c r="H5" s="367"/>
      <c r="I5" s="367"/>
      <c r="J5" s="367"/>
    </row>
    <row r="6" spans="1:10" x14ac:dyDescent="0.2">
      <c r="B6" s="367"/>
      <c r="C6" s="367"/>
      <c r="D6" s="367"/>
      <c r="E6" s="367"/>
      <c r="F6" s="367"/>
      <c r="G6" s="367"/>
      <c r="H6" s="367"/>
      <c r="I6" s="367"/>
      <c r="J6" s="367"/>
    </row>
    <row r="7" spans="1:10" x14ac:dyDescent="0.2">
      <c r="B7" s="367"/>
      <c r="C7" s="367"/>
      <c r="D7" s="367"/>
      <c r="E7" s="367"/>
      <c r="F7" s="367"/>
      <c r="G7" s="367"/>
      <c r="H7" s="367"/>
      <c r="I7" s="367"/>
      <c r="J7" s="367"/>
    </row>
    <row r="8" spans="1:10" ht="7.5" customHeight="1" x14ac:dyDescent="0.2">
      <c r="B8" s="34"/>
      <c r="C8" s="82"/>
      <c r="E8" s="82"/>
      <c r="F8" s="82"/>
      <c r="G8" s="82"/>
      <c r="H8" s="82"/>
      <c r="I8" s="82"/>
      <c r="J8" s="82"/>
    </row>
    <row r="9" spans="1:10" x14ac:dyDescent="0.2">
      <c r="B9" s="364" t="str">
        <f>"2.  This budget assumes a shrink of "&amp;Input!E12&amp;" %. Shrunk Weight weight = "&amp;ROUND(Input!E9-(Input!E9*(Input!E12/100)),0)&amp;" lbs."</f>
        <v>2.  This budget assumes a shrink of 4 %. Shrunk Weight weight = 768 lbs.</v>
      </c>
      <c r="C9" s="365"/>
      <c r="D9" s="365"/>
      <c r="E9" s="365"/>
      <c r="F9" s="365"/>
      <c r="G9" s="365"/>
      <c r="H9" s="365"/>
      <c r="I9" s="365"/>
      <c r="J9" s="365"/>
    </row>
    <row r="10" spans="1:10" ht="7.5" customHeight="1" x14ac:dyDescent="0.2">
      <c r="B10" s="34"/>
      <c r="C10" s="82"/>
      <c r="E10" s="82"/>
      <c r="F10" s="82"/>
      <c r="G10" s="82"/>
      <c r="H10" s="82"/>
      <c r="I10" s="82"/>
      <c r="J10" s="82"/>
    </row>
    <row r="11" spans="1:10" x14ac:dyDescent="0.2">
      <c r="B11" s="364" t="str">
        <f>"3.  Average Daily Gain = "&amp;Input!E14&amp;" lbs per day. "</f>
        <v xml:space="preserve">3.  Average Daily Gain = 1.45 lbs per day. </v>
      </c>
      <c r="C11" s="365"/>
      <c r="D11" s="365"/>
      <c r="E11" s="365"/>
      <c r="F11" s="365"/>
      <c r="G11" s="365"/>
      <c r="H11" s="365"/>
      <c r="I11" s="365"/>
      <c r="J11" s="365"/>
    </row>
    <row r="12" spans="1:10" ht="7.5" customHeight="1" x14ac:dyDescent="0.2">
      <c r="B12" s="34"/>
      <c r="C12" s="82"/>
      <c r="E12" s="82"/>
      <c r="F12" s="82"/>
      <c r="G12" s="82"/>
      <c r="H12" s="82"/>
      <c r="I12" s="82"/>
      <c r="J12" s="82"/>
    </row>
    <row r="13" spans="1:10" x14ac:dyDescent="0.2">
      <c r="B13" s="364" t="str">
        <f>"4.  Time frame from start to finish is approximately "&amp;Input!E17&amp;" days, "&amp;Input!E19&amp;" days backgrounding ration and "&amp;Input!E18&amp;" days pasture."</f>
        <v>4.  Time frame from start to finish is approximately 221 days, 101 days backgrounding ration and 120 days pasture.</v>
      </c>
      <c r="C13" s="365"/>
      <c r="D13" s="365"/>
      <c r="E13" s="365"/>
      <c r="F13" s="365"/>
      <c r="G13" s="365"/>
      <c r="H13" s="365"/>
      <c r="I13" s="365"/>
      <c r="J13" s="365"/>
    </row>
    <row r="14" spans="1:10" x14ac:dyDescent="0.2">
      <c r="B14" s="365"/>
      <c r="C14" s="365"/>
      <c r="D14" s="365"/>
      <c r="E14" s="365"/>
      <c r="F14" s="365"/>
      <c r="G14" s="365"/>
      <c r="H14" s="365"/>
      <c r="I14" s="365"/>
      <c r="J14" s="365"/>
    </row>
    <row r="15" spans="1:10" ht="7.5" customHeight="1" x14ac:dyDescent="0.2">
      <c r="B15" s="34"/>
      <c r="C15" s="82"/>
      <c r="E15" s="82"/>
      <c r="F15" s="82"/>
      <c r="G15" s="82"/>
      <c r="H15" s="82"/>
      <c r="I15" s="82"/>
      <c r="J15" s="82"/>
    </row>
    <row r="16" spans="1:10" x14ac:dyDescent="0.2">
      <c r="B16" s="364" t="s">
        <v>187</v>
      </c>
      <c r="C16" s="365"/>
      <c r="D16" s="365"/>
      <c r="E16" s="365"/>
      <c r="F16" s="365"/>
      <c r="G16" s="365"/>
      <c r="H16" s="365"/>
      <c r="I16" s="365"/>
      <c r="J16" s="365"/>
    </row>
    <row r="17" spans="2:10" ht="7.5" customHeight="1" x14ac:dyDescent="0.2">
      <c r="B17" s="34"/>
      <c r="C17" s="82"/>
      <c r="E17" s="82"/>
      <c r="F17" s="82"/>
      <c r="G17" s="82"/>
      <c r="H17" s="82"/>
      <c r="I17" s="82"/>
      <c r="J17" s="82"/>
    </row>
    <row r="18" spans="2:10" x14ac:dyDescent="0.2">
      <c r="B18" s="364" t="str">
        <f>"6.  This budget is based an a backgrounding enterprise of "&amp;Input!E5&amp;"  bulls."</f>
        <v>6.  This budget is based an a backgrounding enterprise of 300  bulls.</v>
      </c>
      <c r="C18" s="365"/>
      <c r="D18" s="365"/>
      <c r="E18" s="365"/>
      <c r="F18" s="365"/>
      <c r="G18" s="365"/>
      <c r="H18" s="365"/>
      <c r="I18" s="365"/>
      <c r="J18" s="365"/>
    </row>
    <row r="20" spans="2:10" ht="15.75" x14ac:dyDescent="0.25">
      <c r="B20" s="20" t="s">
        <v>134</v>
      </c>
    </row>
    <row r="21" spans="2:10" ht="15.75" x14ac:dyDescent="0.25">
      <c r="J21" s="21" t="s">
        <v>133</v>
      </c>
    </row>
    <row r="22" spans="2:10" ht="15.75" x14ac:dyDescent="0.25">
      <c r="B22" s="20" t="s">
        <v>135</v>
      </c>
    </row>
    <row r="23" spans="2:10" ht="15.75" x14ac:dyDescent="0.25">
      <c r="B23" s="5" t="s">
        <v>197</v>
      </c>
    </row>
    <row r="24" spans="2:10" x14ac:dyDescent="0.2">
      <c r="C24" s="19" t="s">
        <v>9</v>
      </c>
      <c r="E24" s="25">
        <f>Input!E19</f>
        <v>101</v>
      </c>
      <c r="G24" s="19" t="s">
        <v>72</v>
      </c>
      <c r="J24" s="22"/>
    </row>
    <row r="25" spans="2:10" x14ac:dyDescent="0.2">
      <c r="D25" s="82" t="s">
        <v>44</v>
      </c>
      <c r="E25" s="23">
        <f>Input!E31</f>
        <v>16</v>
      </c>
      <c r="G25" s="19" t="s">
        <v>45</v>
      </c>
      <c r="J25" s="22"/>
    </row>
    <row r="26" spans="2:10" x14ac:dyDescent="0.2">
      <c r="D26" s="82" t="s">
        <v>44</v>
      </c>
      <c r="E26" s="79">
        <f>Input!C31/2000</f>
        <v>0.05</v>
      </c>
      <c r="G26" s="15" t="s">
        <v>38</v>
      </c>
      <c r="J26" s="22"/>
    </row>
    <row r="27" spans="2:10" x14ac:dyDescent="0.2">
      <c r="D27" s="82" t="s">
        <v>37</v>
      </c>
      <c r="E27" s="30">
        <f>ROUND((E24*E25)*E26,2)</f>
        <v>80.8</v>
      </c>
      <c r="G27" s="19" t="s">
        <v>46</v>
      </c>
      <c r="H27" s="19" t="s">
        <v>0</v>
      </c>
      <c r="J27" s="22"/>
    </row>
    <row r="29" spans="2:10" x14ac:dyDescent="0.2">
      <c r="C29" s="19" t="s">
        <v>200</v>
      </c>
      <c r="E29" s="25">
        <f>Input!E19</f>
        <v>101</v>
      </c>
      <c r="G29" s="19" t="s">
        <v>72</v>
      </c>
      <c r="J29" s="22"/>
    </row>
    <row r="30" spans="2:10" x14ac:dyDescent="0.2">
      <c r="D30" s="82" t="s">
        <v>44</v>
      </c>
      <c r="E30" s="61">
        <f>Input!E33</f>
        <v>0</v>
      </c>
      <c r="G30" s="19" t="s">
        <v>45</v>
      </c>
      <c r="J30" s="22"/>
    </row>
    <row r="31" spans="2:10" x14ac:dyDescent="0.2">
      <c r="D31" s="82" t="s">
        <v>44</v>
      </c>
      <c r="E31" s="66">
        <f>Input!C33/2000</f>
        <v>0</v>
      </c>
      <c r="G31" s="8" t="s">
        <v>38</v>
      </c>
      <c r="J31" s="22"/>
    </row>
    <row r="32" spans="2:10" x14ac:dyDescent="0.2">
      <c r="D32" s="82" t="s">
        <v>37</v>
      </c>
      <c r="E32" s="30">
        <f>ROUND((E29*E30)*E31,2)</f>
        <v>0</v>
      </c>
      <c r="G32" s="19" t="s">
        <v>46</v>
      </c>
      <c r="J32" s="22"/>
    </row>
    <row r="34" spans="2:10" x14ac:dyDescent="0.2">
      <c r="C34" s="19" t="s">
        <v>207</v>
      </c>
      <c r="E34" s="25">
        <f>Input!E19</f>
        <v>101</v>
      </c>
      <c r="G34" s="19" t="s">
        <v>72</v>
      </c>
      <c r="J34" s="22"/>
    </row>
    <row r="35" spans="2:10" x14ac:dyDescent="0.2">
      <c r="D35" s="82" t="s">
        <v>44</v>
      </c>
      <c r="E35" s="23">
        <f>Input!E32</f>
        <v>0</v>
      </c>
      <c r="G35" s="19" t="s">
        <v>45</v>
      </c>
      <c r="J35" s="22"/>
    </row>
    <row r="36" spans="2:10" x14ac:dyDescent="0.2">
      <c r="D36" s="82" t="s">
        <v>44</v>
      </c>
      <c r="E36" s="66">
        <f>Input!C32/2000</f>
        <v>0</v>
      </c>
      <c r="G36" s="8" t="s">
        <v>38</v>
      </c>
      <c r="J36" s="22"/>
    </row>
    <row r="37" spans="2:10" x14ac:dyDescent="0.2">
      <c r="D37" s="82" t="s">
        <v>37</v>
      </c>
      <c r="E37" s="30">
        <f>ROUND((E34*E35)*E36,2)</f>
        <v>0</v>
      </c>
      <c r="G37" s="19" t="s">
        <v>46</v>
      </c>
      <c r="J37" s="22"/>
    </row>
    <row r="39" spans="2:10" ht="15.75" x14ac:dyDescent="0.25">
      <c r="D39" s="77" t="s">
        <v>37</v>
      </c>
      <c r="E39" s="17">
        <f>E27+E32+E37</f>
        <v>80.8</v>
      </c>
      <c r="G39" s="20" t="s">
        <v>46</v>
      </c>
      <c r="J39" s="22"/>
    </row>
    <row r="41" spans="2:10" ht="15.75" x14ac:dyDescent="0.25">
      <c r="B41" s="5" t="s">
        <v>199</v>
      </c>
    </row>
    <row r="42" spans="2:10" x14ac:dyDescent="0.2">
      <c r="E42" s="25">
        <f>Input!E19</f>
        <v>101</v>
      </c>
      <c r="G42" s="19" t="s">
        <v>72</v>
      </c>
      <c r="J42" s="22"/>
    </row>
    <row r="43" spans="2:10" x14ac:dyDescent="0.2">
      <c r="D43" s="82" t="s">
        <v>44</v>
      </c>
      <c r="E43" s="23">
        <f>Input!E34</f>
        <v>3.5</v>
      </c>
      <c r="G43" s="19" t="s">
        <v>45</v>
      </c>
      <c r="J43" s="22"/>
    </row>
    <row r="44" spans="2:10" x14ac:dyDescent="0.2">
      <c r="D44" s="82" t="s">
        <v>37</v>
      </c>
      <c r="E44" s="63">
        <f>ROUND((E42*E43)/2000,3)</f>
        <v>0.17699999999999999</v>
      </c>
      <c r="G44" s="19" t="s">
        <v>47</v>
      </c>
      <c r="J44" s="22"/>
    </row>
    <row r="45" spans="2:10" x14ac:dyDescent="0.2">
      <c r="D45" s="82" t="s">
        <v>44</v>
      </c>
      <c r="E45" s="79">
        <f>Input!C34</f>
        <v>0.2</v>
      </c>
      <c r="F45" s="15"/>
      <c r="G45" s="8" t="s">
        <v>38</v>
      </c>
      <c r="J45" s="22"/>
    </row>
    <row r="46" spans="2:10" ht="15.75" x14ac:dyDescent="0.25">
      <c r="D46" s="77" t="s">
        <v>37</v>
      </c>
      <c r="E46" s="17">
        <f>ROUND(E44*E45*2000,2)</f>
        <v>70.8</v>
      </c>
      <c r="F46" s="20"/>
      <c r="G46" s="20" t="s">
        <v>46</v>
      </c>
      <c r="H46" s="19" t="s">
        <v>0</v>
      </c>
      <c r="J46" s="22"/>
    </row>
    <row r="48" spans="2:10" ht="15.75" x14ac:dyDescent="0.25">
      <c r="B48" s="20" t="s">
        <v>179</v>
      </c>
    </row>
    <row r="49" spans="2:10" x14ac:dyDescent="0.2">
      <c r="E49" s="61">
        <f>Input!E35</f>
        <v>3.5</v>
      </c>
      <c r="G49" s="19" t="s">
        <v>193</v>
      </c>
      <c r="J49" s="22"/>
    </row>
    <row r="50" spans="2:10" x14ac:dyDescent="0.2">
      <c r="D50" s="82" t="s">
        <v>44</v>
      </c>
      <c r="E50" s="26">
        <f>Input!C35</f>
        <v>0.14000000000000001</v>
      </c>
      <c r="F50" s="15"/>
      <c r="G50" s="15" t="s">
        <v>177</v>
      </c>
      <c r="J50" s="22"/>
    </row>
    <row r="51" spans="2:10" x14ac:dyDescent="0.2">
      <c r="D51" s="82" t="s">
        <v>37</v>
      </c>
      <c r="E51" s="27">
        <f>E49*E50</f>
        <v>0.49000000000000005</v>
      </c>
      <c r="G51" s="19" t="s">
        <v>46</v>
      </c>
      <c r="J51" s="22"/>
    </row>
    <row r="53" spans="2:10" x14ac:dyDescent="0.2">
      <c r="E53" s="61">
        <f>Input!E36</f>
        <v>9.4</v>
      </c>
      <c r="G53" s="19" t="s">
        <v>194</v>
      </c>
      <c r="J53" s="22"/>
    </row>
    <row r="54" spans="2:10" x14ac:dyDescent="0.2">
      <c r="D54" s="82" t="s">
        <v>44</v>
      </c>
      <c r="E54" s="26">
        <f>Input!C36</f>
        <v>0.91</v>
      </c>
      <c r="G54" s="15" t="s">
        <v>177</v>
      </c>
      <c r="J54" s="22"/>
    </row>
    <row r="55" spans="2:10" x14ac:dyDescent="0.2">
      <c r="D55" s="82" t="s">
        <v>37</v>
      </c>
      <c r="E55" s="27">
        <f>E53*E54</f>
        <v>8.5540000000000003</v>
      </c>
      <c r="G55" s="19" t="s">
        <v>46</v>
      </c>
      <c r="J55" s="22"/>
    </row>
    <row r="57" spans="2:10" ht="15.75" x14ac:dyDescent="0.25">
      <c r="D57" s="77" t="s">
        <v>37</v>
      </c>
      <c r="E57" s="31">
        <f>E51+E55</f>
        <v>9.0440000000000005</v>
      </c>
      <c r="G57" s="20" t="s">
        <v>46</v>
      </c>
      <c r="J57" s="22"/>
    </row>
    <row r="58" spans="2:10" ht="15.75" x14ac:dyDescent="0.25">
      <c r="D58" s="77"/>
      <c r="E58" s="27"/>
      <c r="G58" s="20"/>
      <c r="J58" s="28"/>
    </row>
    <row r="59" spans="2:10" ht="15.75" x14ac:dyDescent="0.25">
      <c r="B59" s="20" t="s">
        <v>136</v>
      </c>
      <c r="D59" s="19"/>
      <c r="E59" s="82"/>
    </row>
    <row r="60" spans="2:10" x14ac:dyDescent="0.2">
      <c r="D60" s="19"/>
      <c r="E60" s="82"/>
    </row>
    <row r="61" spans="2:10" ht="15.75" x14ac:dyDescent="0.25">
      <c r="B61" s="20" t="s">
        <v>174</v>
      </c>
      <c r="D61" s="19"/>
      <c r="E61" s="25"/>
    </row>
    <row r="62" spans="2:10" x14ac:dyDescent="0.2">
      <c r="D62" s="19"/>
      <c r="E62" s="25">
        <f>Input!E7</f>
        <v>480</v>
      </c>
      <c r="G62" s="19" t="s">
        <v>49</v>
      </c>
      <c r="J62" s="22"/>
    </row>
    <row r="63" spans="2:10" x14ac:dyDescent="0.2">
      <c r="D63" s="82" t="s">
        <v>44</v>
      </c>
      <c r="E63" s="30">
        <f>Input!E8</f>
        <v>205</v>
      </c>
      <c r="G63" s="19" t="s">
        <v>107</v>
      </c>
      <c r="J63" s="22"/>
    </row>
    <row r="64" spans="2:10" x14ac:dyDescent="0.2">
      <c r="D64" s="82" t="s">
        <v>36</v>
      </c>
      <c r="E64" s="62">
        <v>100</v>
      </c>
      <c r="F64" s="15"/>
      <c r="G64" s="15" t="s">
        <v>50</v>
      </c>
      <c r="H64" s="19" t="s">
        <v>0</v>
      </c>
      <c r="J64" s="22"/>
    </row>
    <row r="65" spans="2:10" x14ac:dyDescent="0.2">
      <c r="D65" s="82" t="s">
        <v>37</v>
      </c>
      <c r="E65" s="30">
        <f>ROUND(E62/100*E63,2)</f>
        <v>984</v>
      </c>
      <c r="G65" s="27" t="s">
        <v>46</v>
      </c>
      <c r="J65" s="22"/>
    </row>
    <row r="67" spans="2:10" x14ac:dyDescent="0.2">
      <c r="E67" s="25">
        <f>Input!E78</f>
        <v>150</v>
      </c>
      <c r="G67" s="19" t="s">
        <v>69</v>
      </c>
      <c r="J67" s="22"/>
    </row>
    <row r="68" spans="2:10" x14ac:dyDescent="0.2">
      <c r="D68" s="82" t="s">
        <v>44</v>
      </c>
      <c r="E68" s="27">
        <f>Input!E79</f>
        <v>7</v>
      </c>
      <c r="G68" s="19" t="s">
        <v>175</v>
      </c>
      <c r="J68" s="22"/>
    </row>
    <row r="69" spans="2:10" x14ac:dyDescent="0.2">
      <c r="D69" s="82" t="s">
        <v>36</v>
      </c>
      <c r="E69" s="29">
        <f>Input!E80</f>
        <v>85</v>
      </c>
      <c r="F69" s="15"/>
      <c r="G69" s="15" t="s">
        <v>176</v>
      </c>
      <c r="H69" s="15"/>
      <c r="J69" s="22"/>
    </row>
    <row r="70" spans="2:10" x14ac:dyDescent="0.2">
      <c r="D70" s="82" t="s">
        <v>37</v>
      </c>
      <c r="E70" s="27">
        <f>(E67*E68)/E69</f>
        <v>12.352941176470589</v>
      </c>
      <c r="G70" s="27" t="s">
        <v>46</v>
      </c>
      <c r="J70" s="22"/>
    </row>
    <row r="72" spans="2:10" ht="15.75" x14ac:dyDescent="0.25">
      <c r="D72" s="77" t="s">
        <v>37</v>
      </c>
      <c r="E72" s="31">
        <f>E65+E70</f>
        <v>996.35294117647061</v>
      </c>
      <c r="G72" s="31" t="s">
        <v>46</v>
      </c>
      <c r="J72" s="22"/>
    </row>
    <row r="74" spans="2:10" ht="15.75" x14ac:dyDescent="0.25">
      <c r="B74" s="20" t="s">
        <v>51</v>
      </c>
    </row>
    <row r="75" spans="2:10" x14ac:dyDescent="0.2">
      <c r="E75" s="64">
        <f>Input!E43</f>
        <v>0.1</v>
      </c>
      <c r="G75" s="19" t="s">
        <v>52</v>
      </c>
      <c r="J75" s="22"/>
    </row>
    <row r="76" spans="2:10" x14ac:dyDescent="0.2">
      <c r="D76" s="82" t="s">
        <v>44</v>
      </c>
      <c r="E76" s="24">
        <f>Input!E44</f>
        <v>70</v>
      </c>
      <c r="F76" s="15"/>
      <c r="G76" s="15" t="s">
        <v>53</v>
      </c>
      <c r="J76" s="22"/>
    </row>
    <row r="77" spans="2:10" ht="15.75" x14ac:dyDescent="0.25">
      <c r="D77" s="77" t="s">
        <v>37</v>
      </c>
      <c r="E77" s="17">
        <f>ROUND(E75*E76,2)</f>
        <v>7</v>
      </c>
      <c r="F77" s="20"/>
      <c r="G77" s="20" t="s">
        <v>46</v>
      </c>
      <c r="H77" s="20"/>
      <c r="J77" s="22"/>
    </row>
    <row r="79" spans="2:10" ht="15.75" x14ac:dyDescent="0.25">
      <c r="B79" s="5" t="s">
        <v>271</v>
      </c>
    </row>
    <row r="80" spans="2:10" x14ac:dyDescent="0.2">
      <c r="E80" s="27">
        <f>Input!E38</f>
        <v>1.26</v>
      </c>
      <c r="G80" s="19" t="s">
        <v>180</v>
      </c>
      <c r="J80" s="22"/>
    </row>
    <row r="81" spans="2:10" x14ac:dyDescent="0.2">
      <c r="D81" s="82" t="s">
        <v>44</v>
      </c>
      <c r="E81" s="29">
        <f>Input!E18</f>
        <v>120</v>
      </c>
      <c r="F81" s="15"/>
      <c r="G81" s="15" t="s">
        <v>181</v>
      </c>
      <c r="J81" s="22"/>
    </row>
    <row r="82" spans="2:10" ht="15.75" x14ac:dyDescent="0.25">
      <c r="D82" s="77" t="s">
        <v>37</v>
      </c>
      <c r="E82" s="67">
        <f>E80*E81</f>
        <v>151.19999999999999</v>
      </c>
      <c r="G82" s="20" t="s">
        <v>46</v>
      </c>
      <c r="J82" s="22"/>
    </row>
    <row r="83" spans="2:10" ht="15.75" x14ac:dyDescent="0.25">
      <c r="D83" s="77"/>
      <c r="E83" s="27"/>
      <c r="G83" s="20"/>
      <c r="J83" s="28"/>
    </row>
    <row r="84" spans="2:10" ht="15.75" x14ac:dyDescent="0.25">
      <c r="B84" s="5" t="s">
        <v>272</v>
      </c>
    </row>
    <row r="85" spans="2:10" x14ac:dyDescent="0.2">
      <c r="C85" s="32" t="s">
        <v>54</v>
      </c>
      <c r="D85" s="33"/>
      <c r="E85" s="34"/>
      <c r="F85" s="34"/>
      <c r="G85" s="34"/>
      <c r="H85" s="34"/>
      <c r="I85" s="34"/>
    </row>
    <row r="86" spans="2:10" x14ac:dyDescent="0.2">
      <c r="E86" s="30">
        <f>Input!E48</f>
        <v>0.83</v>
      </c>
      <c r="G86" s="19" t="s">
        <v>55</v>
      </c>
      <c r="J86" s="22"/>
    </row>
    <row r="87" spans="2:10" x14ac:dyDescent="0.2">
      <c r="C87" s="34"/>
      <c r="D87" s="82" t="s">
        <v>56</v>
      </c>
      <c r="E87" s="30">
        <f>Input!E49</f>
        <v>0</v>
      </c>
      <c r="F87" s="35"/>
      <c r="G87" s="19" t="s">
        <v>57</v>
      </c>
      <c r="H87" s="34"/>
      <c r="J87" s="22"/>
    </row>
    <row r="88" spans="2:10" x14ac:dyDescent="0.2">
      <c r="B88" s="34"/>
      <c r="C88" s="34"/>
      <c r="D88" s="82" t="s">
        <v>56</v>
      </c>
      <c r="E88" s="24">
        <f>Input!E50</f>
        <v>7.6</v>
      </c>
      <c r="F88" s="32"/>
      <c r="G88" s="15" t="s">
        <v>58</v>
      </c>
      <c r="H88" s="34"/>
      <c r="J88" s="22"/>
    </row>
    <row r="89" spans="2:10" x14ac:dyDescent="0.2">
      <c r="D89" s="82" t="s">
        <v>37</v>
      </c>
      <c r="E89" s="30">
        <f>ROUND(E86+E87+E88,2)</f>
        <v>8.43</v>
      </c>
      <c r="G89" s="19" t="s">
        <v>46</v>
      </c>
      <c r="J89" s="22"/>
    </row>
    <row r="90" spans="2:10" x14ac:dyDescent="0.2">
      <c r="G90" s="34" t="s">
        <v>0</v>
      </c>
    </row>
    <row r="91" spans="2:10" x14ac:dyDescent="0.2">
      <c r="C91" s="19" t="s">
        <v>147</v>
      </c>
    </row>
    <row r="92" spans="2:10" x14ac:dyDescent="0.2">
      <c r="E92" s="30">
        <f>Input!E55</f>
        <v>175</v>
      </c>
      <c r="G92" s="19" t="s">
        <v>59</v>
      </c>
      <c r="J92" s="22"/>
    </row>
    <row r="93" spans="2:10" x14ac:dyDescent="0.2">
      <c r="D93" s="36" t="s">
        <v>44</v>
      </c>
      <c r="E93" s="61">
        <f>Input!E54</f>
        <v>1</v>
      </c>
      <c r="F93" s="35"/>
      <c r="G93" s="32" t="s">
        <v>60</v>
      </c>
      <c r="J93" s="22"/>
    </row>
    <row r="94" spans="2:10" x14ac:dyDescent="0.2">
      <c r="D94" s="36" t="s">
        <v>36</v>
      </c>
      <c r="E94" s="65">
        <f>Input!E5</f>
        <v>300</v>
      </c>
      <c r="F94" s="35"/>
      <c r="G94" s="35" t="s">
        <v>61</v>
      </c>
      <c r="J94" s="22"/>
    </row>
    <row r="95" spans="2:10" x14ac:dyDescent="0.2">
      <c r="D95" s="82" t="s">
        <v>37</v>
      </c>
      <c r="E95" s="30">
        <f>ROUND(E92*E93/E94,2)</f>
        <v>0.57999999999999996</v>
      </c>
      <c r="G95" s="19" t="s">
        <v>46</v>
      </c>
      <c r="J95" s="22"/>
    </row>
    <row r="96" spans="2:10" x14ac:dyDescent="0.2">
      <c r="H96" s="19" t="s">
        <v>0</v>
      </c>
    </row>
    <row r="97" spans="1:10" x14ac:dyDescent="0.2">
      <c r="C97" s="19" t="s">
        <v>148</v>
      </c>
    </row>
    <row r="98" spans="1:10" x14ac:dyDescent="0.2">
      <c r="E98" s="30">
        <f>Input!E59</f>
        <v>1</v>
      </c>
      <c r="G98" s="19" t="s">
        <v>62</v>
      </c>
      <c r="J98" s="22"/>
    </row>
    <row r="99" spans="1:10" x14ac:dyDescent="0.2">
      <c r="D99" s="82" t="s">
        <v>44</v>
      </c>
      <c r="E99" s="25">
        <f>Input!E58</f>
        <v>160</v>
      </c>
      <c r="G99" s="19" t="s">
        <v>63</v>
      </c>
      <c r="J99" s="22"/>
    </row>
    <row r="100" spans="1:10" x14ac:dyDescent="0.2">
      <c r="D100" s="82" t="s">
        <v>44</v>
      </c>
      <c r="E100" s="25">
        <f>Input!E60</f>
        <v>1</v>
      </c>
      <c r="G100" s="19" t="s">
        <v>64</v>
      </c>
      <c r="J100" s="22"/>
    </row>
    <row r="101" spans="1:10" x14ac:dyDescent="0.2">
      <c r="D101" s="36" t="s">
        <v>36</v>
      </c>
      <c r="E101" s="65">
        <f>Input!E5</f>
        <v>300</v>
      </c>
      <c r="F101" s="34"/>
      <c r="G101" s="35" t="s">
        <v>61</v>
      </c>
      <c r="J101" s="22"/>
    </row>
    <row r="102" spans="1:10" x14ac:dyDescent="0.2">
      <c r="D102" s="82" t="s">
        <v>37</v>
      </c>
      <c r="E102" s="30">
        <f>ROUND(E98*E99*E100/E101,2)</f>
        <v>0.53</v>
      </c>
      <c r="G102" s="19" t="s">
        <v>46</v>
      </c>
      <c r="J102" s="22"/>
    </row>
    <row r="104" spans="1:10" ht="15.75" x14ac:dyDescent="0.25">
      <c r="C104" s="37" t="s">
        <v>42</v>
      </c>
      <c r="D104" s="78" t="s">
        <v>37</v>
      </c>
      <c r="E104" s="17">
        <f>E89+E95+E102</f>
        <v>9.5399999999999991</v>
      </c>
      <c r="F104" s="37"/>
      <c r="G104" s="20" t="s">
        <v>46</v>
      </c>
      <c r="H104" s="37"/>
      <c r="J104" s="22"/>
    </row>
    <row r="106" spans="1:10" ht="15.75" x14ac:dyDescent="0.25">
      <c r="B106" s="5" t="s">
        <v>263</v>
      </c>
    </row>
    <row r="107" spans="1:10" s="116" customFormat="1" ht="15" customHeight="1" x14ac:dyDescent="0.25">
      <c r="B107" s="204" t="s">
        <v>298</v>
      </c>
      <c r="C107" s="204"/>
      <c r="D107" s="204"/>
      <c r="E107" s="204"/>
      <c r="F107" s="204"/>
      <c r="G107" s="204"/>
      <c r="H107" s="118"/>
    </row>
    <row r="108" spans="1:10" s="116" customFormat="1" ht="15" customHeight="1" x14ac:dyDescent="0.25">
      <c r="A108" s="204"/>
      <c r="B108" s="204"/>
      <c r="D108" s="204"/>
      <c r="E108" s="204">
        <f>Input!E64</f>
        <v>120</v>
      </c>
      <c r="F108" s="204"/>
      <c r="G108" s="204" t="s">
        <v>288</v>
      </c>
      <c r="H108" s="204"/>
      <c r="J108" s="218"/>
    </row>
    <row r="109" spans="1:10" s="116" customFormat="1" ht="15" customHeight="1" x14ac:dyDescent="0.25">
      <c r="A109" s="204"/>
      <c r="B109" s="204"/>
      <c r="D109" s="219" t="s">
        <v>36</v>
      </c>
      <c r="E109" s="220">
        <v>2.5</v>
      </c>
      <c r="F109" s="204"/>
      <c r="G109" s="204" t="s">
        <v>289</v>
      </c>
      <c r="H109" s="204"/>
      <c r="J109" s="218"/>
    </row>
    <row r="110" spans="1:10" s="116" customFormat="1" ht="15" customHeight="1" x14ac:dyDescent="0.25">
      <c r="A110" s="204"/>
      <c r="B110" s="204"/>
      <c r="D110" s="204" t="s">
        <v>44</v>
      </c>
      <c r="E110" s="221">
        <v>0.1665576</v>
      </c>
      <c r="F110" s="204"/>
      <c r="G110" s="204" t="s">
        <v>290</v>
      </c>
      <c r="H110" s="204"/>
      <c r="J110" s="218"/>
    </row>
    <row r="111" spans="1:10" s="116" customFormat="1" ht="15" customHeight="1" x14ac:dyDescent="0.25">
      <c r="A111" s="204"/>
      <c r="B111" s="204"/>
      <c r="D111" s="204" t="s">
        <v>44</v>
      </c>
      <c r="E111" s="220">
        <f>Input!E66</f>
        <v>1</v>
      </c>
      <c r="F111" s="204"/>
      <c r="G111" s="204" t="s">
        <v>291</v>
      </c>
      <c r="H111" s="204"/>
      <c r="J111" s="218"/>
    </row>
    <row r="112" spans="1:10" s="116" customFormat="1" ht="15" customHeight="1" x14ac:dyDescent="0.25">
      <c r="A112" s="204"/>
      <c r="B112" s="204"/>
      <c r="D112" s="204" t="s">
        <v>44</v>
      </c>
      <c r="E112" s="222">
        <f>Input!E65</f>
        <v>1.65</v>
      </c>
      <c r="F112" s="204"/>
      <c r="G112" s="204" t="s">
        <v>292</v>
      </c>
      <c r="H112" s="204"/>
      <c r="J112" s="218"/>
    </row>
    <row r="113" spans="1:10" s="116" customFormat="1" ht="15" customHeight="1" x14ac:dyDescent="0.25">
      <c r="A113" s="204"/>
      <c r="B113" s="204"/>
      <c r="D113" s="223" t="s">
        <v>44</v>
      </c>
      <c r="E113" s="224">
        <f>Input!E19</f>
        <v>101</v>
      </c>
      <c r="F113" s="204"/>
      <c r="G113" s="204" t="s">
        <v>72</v>
      </c>
      <c r="H113" s="204"/>
      <c r="J113" s="218"/>
    </row>
    <row r="114" spans="1:10" s="116" customFormat="1" ht="15" customHeight="1" x14ac:dyDescent="0.25">
      <c r="A114" s="204"/>
      <c r="B114" s="204"/>
      <c r="D114" s="204"/>
      <c r="E114" s="222">
        <f>IF(E113="ERROR","ERROR",ROUND(((E108/E109)*E110*E111*E112*E113),2))</f>
        <v>1332.33</v>
      </c>
      <c r="F114" s="204"/>
      <c r="G114" s="204" t="s">
        <v>293</v>
      </c>
      <c r="H114" s="204"/>
      <c r="J114" s="218"/>
    </row>
    <row r="115" spans="1:10" s="116" customFormat="1" ht="15" customHeight="1" x14ac:dyDescent="0.25">
      <c r="A115" s="204"/>
      <c r="B115" s="204"/>
      <c r="D115" s="225" t="s">
        <v>36</v>
      </c>
      <c r="E115" s="226">
        <f>Input!E5</f>
        <v>300</v>
      </c>
      <c r="F115" s="225"/>
      <c r="G115" s="225" t="s">
        <v>61</v>
      </c>
      <c r="H115" s="204"/>
      <c r="J115" s="218"/>
    </row>
    <row r="116" spans="1:10" s="116" customFormat="1" ht="15" customHeight="1" x14ac:dyDescent="0.25">
      <c r="A116" s="204"/>
      <c r="B116" s="204"/>
      <c r="D116" s="204" t="s">
        <v>37</v>
      </c>
      <c r="E116" s="227">
        <f>IF(E113="ERROR","ERROR",SUM(E114/E115))</f>
        <v>4.4410999999999996</v>
      </c>
      <c r="F116" s="204"/>
      <c r="G116" s="204" t="s">
        <v>46</v>
      </c>
      <c r="H116" s="204"/>
      <c r="J116" s="218"/>
    </row>
    <row r="117" spans="1:10" s="116" customFormat="1" ht="15" customHeight="1" x14ac:dyDescent="0.25">
      <c r="B117" s="204" t="s">
        <v>299</v>
      </c>
      <c r="D117" s="204"/>
      <c r="E117" s="222"/>
      <c r="F117" s="204"/>
      <c r="G117" s="204"/>
      <c r="H117" s="204"/>
      <c r="J117" s="204"/>
    </row>
    <row r="118" spans="1:10" s="116" customFormat="1" ht="15" customHeight="1" x14ac:dyDescent="0.25">
      <c r="A118" s="204"/>
      <c r="B118" s="204"/>
      <c r="D118" s="204"/>
      <c r="E118" s="228">
        <f>H203</f>
        <v>88000</v>
      </c>
      <c r="F118" s="204"/>
      <c r="G118" s="204" t="s">
        <v>294</v>
      </c>
      <c r="H118" s="204"/>
      <c r="J118" s="218"/>
    </row>
    <row r="119" spans="1:10" s="116" customFormat="1" ht="15" customHeight="1" x14ac:dyDescent="0.25">
      <c r="A119" s="204"/>
      <c r="B119" s="204"/>
      <c r="D119" s="223" t="s">
        <v>44</v>
      </c>
      <c r="E119" s="229">
        <f>Input!E67</f>
        <v>1</v>
      </c>
      <c r="F119" s="204"/>
      <c r="G119" s="204" t="s">
        <v>295</v>
      </c>
      <c r="H119" s="204"/>
      <c r="J119" s="218"/>
    </row>
    <row r="120" spans="1:10" s="116" customFormat="1" ht="15" customHeight="1" x14ac:dyDescent="0.25">
      <c r="A120" s="204"/>
      <c r="B120" s="204"/>
      <c r="D120" s="204" t="s">
        <v>37</v>
      </c>
      <c r="E120" s="222">
        <f>SUM(E118*(E119/100))</f>
        <v>880</v>
      </c>
      <c r="F120" s="204"/>
      <c r="G120" s="204" t="s">
        <v>296</v>
      </c>
      <c r="H120" s="204"/>
      <c r="J120" s="218"/>
    </row>
    <row r="121" spans="1:10" s="116" customFormat="1" ht="15" customHeight="1" x14ac:dyDescent="0.25">
      <c r="A121" s="204"/>
      <c r="B121" s="204"/>
      <c r="D121" s="225" t="s">
        <v>36</v>
      </c>
      <c r="E121" s="226">
        <f>Input!E5</f>
        <v>300</v>
      </c>
      <c r="F121" s="225"/>
      <c r="G121" s="225" t="s">
        <v>61</v>
      </c>
      <c r="H121" s="204"/>
      <c r="J121" s="218"/>
    </row>
    <row r="122" spans="1:10" s="116" customFormat="1" ht="15" customHeight="1" x14ac:dyDescent="0.25">
      <c r="A122" s="204"/>
      <c r="B122" s="204"/>
      <c r="D122" s="204" t="s">
        <v>37</v>
      </c>
      <c r="E122" s="227">
        <f>SUM(E120/E121)</f>
        <v>2.9333333333333331</v>
      </c>
      <c r="F122" s="204"/>
      <c r="G122" s="204" t="s">
        <v>46</v>
      </c>
      <c r="H122" s="204"/>
      <c r="J122" s="218"/>
    </row>
    <row r="123" spans="1:10" s="116" customFormat="1" ht="15" customHeight="1" x14ac:dyDescent="0.25">
      <c r="B123" s="204" t="s">
        <v>300</v>
      </c>
      <c r="D123" s="204"/>
      <c r="E123" s="222"/>
      <c r="F123" s="204"/>
      <c r="G123" s="204"/>
      <c r="H123" s="204"/>
      <c r="J123" s="204"/>
    </row>
    <row r="124" spans="1:10" s="116" customFormat="1" ht="15" customHeight="1" x14ac:dyDescent="0.25">
      <c r="A124" s="204"/>
      <c r="B124" s="204"/>
      <c r="D124" s="204"/>
      <c r="E124" s="228">
        <f>H195</f>
        <v>86000</v>
      </c>
      <c r="F124" s="204"/>
      <c r="G124" s="204" t="s">
        <v>297</v>
      </c>
      <c r="H124" s="204"/>
      <c r="J124" s="218"/>
    </row>
    <row r="125" spans="1:10" s="116" customFormat="1" ht="15" customHeight="1" x14ac:dyDescent="0.25">
      <c r="A125" s="204"/>
      <c r="B125" s="204"/>
      <c r="D125" s="223" t="s">
        <v>44</v>
      </c>
      <c r="E125" s="229">
        <f>Input!E68</f>
        <v>2</v>
      </c>
      <c r="F125" s="204"/>
      <c r="G125" s="204" t="s">
        <v>295</v>
      </c>
      <c r="H125" s="204"/>
      <c r="J125" s="218"/>
    </row>
    <row r="126" spans="1:10" s="116" customFormat="1" ht="15" customHeight="1" x14ac:dyDescent="0.25">
      <c r="A126" s="204"/>
      <c r="B126" s="204"/>
      <c r="D126" s="204" t="s">
        <v>37</v>
      </c>
      <c r="E126" s="222">
        <f>SUM(E124*(E125/100))</f>
        <v>1720</v>
      </c>
      <c r="F126" s="204"/>
      <c r="G126" s="204" t="s">
        <v>296</v>
      </c>
      <c r="H126" s="204"/>
      <c r="J126" s="218"/>
    </row>
    <row r="127" spans="1:10" s="116" customFormat="1" ht="15" customHeight="1" x14ac:dyDescent="0.25">
      <c r="A127" s="204"/>
      <c r="B127" s="204"/>
      <c r="D127" s="225" t="s">
        <v>36</v>
      </c>
      <c r="E127" s="226">
        <f>Input!E5</f>
        <v>300</v>
      </c>
      <c r="F127" s="225"/>
      <c r="G127" s="225" t="s">
        <v>61</v>
      </c>
      <c r="H127" s="204"/>
      <c r="J127" s="218"/>
    </row>
    <row r="128" spans="1:10" s="116" customFormat="1" ht="15" customHeight="1" x14ac:dyDescent="0.25">
      <c r="A128" s="204"/>
      <c r="B128" s="204"/>
      <c r="D128" s="204" t="s">
        <v>37</v>
      </c>
      <c r="E128" s="227">
        <f>SUM(E126/E127)</f>
        <v>5.7333333333333334</v>
      </c>
      <c r="F128" s="204"/>
      <c r="G128" s="204" t="s">
        <v>46</v>
      </c>
      <c r="H128" s="204"/>
      <c r="J128" s="218"/>
    </row>
    <row r="129" spans="1:10" s="116" customFormat="1" ht="15" customHeight="1" x14ac:dyDescent="0.25">
      <c r="A129" s="204"/>
      <c r="B129" s="204"/>
      <c r="D129" s="204"/>
      <c r="E129" s="222"/>
      <c r="F129" s="204"/>
      <c r="G129" s="204"/>
      <c r="H129" s="204"/>
      <c r="J129" s="204"/>
    </row>
    <row r="130" spans="1:10" s="116" customFormat="1" ht="15" customHeight="1" x14ac:dyDescent="0.25">
      <c r="A130" s="34"/>
      <c r="B130" s="230" t="s">
        <v>302</v>
      </c>
      <c r="D130" s="230" t="s">
        <v>37</v>
      </c>
      <c r="E130" s="155">
        <f>SUM(E128+E122+E116)</f>
        <v>13.107766666666667</v>
      </c>
      <c r="F130" s="230"/>
      <c r="G130" s="231" t="s">
        <v>46</v>
      </c>
      <c r="H130" s="230"/>
      <c r="J130" s="218"/>
    </row>
    <row r="131" spans="1:10" s="51" customFormat="1" x14ac:dyDescent="0.2">
      <c r="D131" s="33"/>
    </row>
    <row r="132" spans="1:10" ht="15.75" x14ac:dyDescent="0.25">
      <c r="B132" s="5" t="s">
        <v>264</v>
      </c>
    </row>
    <row r="133" spans="1:10" x14ac:dyDescent="0.2">
      <c r="E133" s="38">
        <f>SUM(Input!E73:E75)</f>
        <v>1105.1743200000001</v>
      </c>
      <c r="G133" s="19" t="s">
        <v>137</v>
      </c>
      <c r="J133" s="22"/>
    </row>
    <row r="134" spans="1:10" x14ac:dyDescent="0.2">
      <c r="D134" s="82" t="s">
        <v>36</v>
      </c>
      <c r="E134" s="65">
        <f>Input!E5</f>
        <v>300</v>
      </c>
      <c r="F134" s="15"/>
      <c r="G134" s="35" t="s">
        <v>61</v>
      </c>
      <c r="H134" s="15"/>
      <c r="J134" s="22"/>
    </row>
    <row r="135" spans="1:10" ht="15.75" x14ac:dyDescent="0.25">
      <c r="D135" s="77" t="s">
        <v>37</v>
      </c>
      <c r="E135" s="17">
        <f>ROUND((E133)/E134,2)</f>
        <v>3.68</v>
      </c>
      <c r="F135" s="20"/>
      <c r="G135" s="20" t="s">
        <v>46</v>
      </c>
      <c r="J135" s="22"/>
    </row>
    <row r="137" spans="1:10" ht="15.75" x14ac:dyDescent="0.25">
      <c r="B137" s="5" t="s">
        <v>265</v>
      </c>
    </row>
    <row r="138" spans="1:10" x14ac:dyDescent="0.2">
      <c r="E138" s="27">
        <f>Input!E83</f>
        <v>7</v>
      </c>
      <c r="G138" s="19" t="s">
        <v>175</v>
      </c>
      <c r="J138" s="22"/>
    </row>
    <row r="139" spans="1:10" x14ac:dyDescent="0.2">
      <c r="D139" s="82" t="s">
        <v>44</v>
      </c>
      <c r="E139" s="25">
        <f>Input!E84</f>
        <v>150</v>
      </c>
      <c r="G139" s="19" t="s">
        <v>178</v>
      </c>
      <c r="J139" s="22"/>
    </row>
    <row r="140" spans="1:10" x14ac:dyDescent="0.2">
      <c r="D140" s="82" t="s">
        <v>36</v>
      </c>
      <c r="E140" s="29">
        <f>Input!E85</f>
        <v>55</v>
      </c>
      <c r="F140" s="15"/>
      <c r="G140" s="15" t="s">
        <v>176</v>
      </c>
      <c r="J140" s="22"/>
    </row>
    <row r="141" spans="1:10" ht="15.75" x14ac:dyDescent="0.25">
      <c r="D141" s="77" t="s">
        <v>37</v>
      </c>
      <c r="E141" s="31">
        <f>(E138*E139)/E140</f>
        <v>19.09090909090909</v>
      </c>
      <c r="G141" s="20" t="s">
        <v>46</v>
      </c>
      <c r="J141" s="22"/>
    </row>
    <row r="143" spans="1:10" ht="15.75" x14ac:dyDescent="0.25">
      <c r="B143" s="5" t="s">
        <v>266</v>
      </c>
    </row>
    <row r="144" spans="1:10" x14ac:dyDescent="0.2">
      <c r="E144" s="39">
        <f>Input!D116+Input!D122+Input!D125</f>
        <v>154000</v>
      </c>
      <c r="G144" s="19" t="s">
        <v>138</v>
      </c>
      <c r="J144" s="22"/>
    </row>
    <row r="145" spans="1:10" x14ac:dyDescent="0.2">
      <c r="D145" s="82" t="s">
        <v>44</v>
      </c>
      <c r="E145" s="30">
        <f>Input!E95</f>
        <v>0.4</v>
      </c>
      <c r="G145" s="19" t="s">
        <v>65</v>
      </c>
      <c r="J145" s="22"/>
    </row>
    <row r="146" spans="1:10" x14ac:dyDescent="0.2">
      <c r="D146" s="82" t="s">
        <v>36</v>
      </c>
      <c r="E146" s="25">
        <v>100</v>
      </c>
      <c r="J146" s="22"/>
    </row>
    <row r="147" spans="1:10" x14ac:dyDescent="0.2">
      <c r="D147" s="82" t="s">
        <v>36</v>
      </c>
      <c r="E147" s="65">
        <f>Input!E5</f>
        <v>300</v>
      </c>
      <c r="F147" s="15"/>
      <c r="G147" s="35" t="s">
        <v>61</v>
      </c>
      <c r="H147" s="15"/>
      <c r="J147" s="22"/>
    </row>
    <row r="148" spans="1:10" x14ac:dyDescent="0.2">
      <c r="D148" s="82" t="s">
        <v>37</v>
      </c>
      <c r="E148" s="30">
        <f>ROUND(E144*E145/E146/E147,2)</f>
        <v>2.0499999999999998</v>
      </c>
      <c r="G148" s="19" t="s">
        <v>66</v>
      </c>
      <c r="J148" s="22"/>
    </row>
    <row r="149" spans="1:10" x14ac:dyDescent="0.2">
      <c r="E149" s="40"/>
    </row>
    <row r="150" spans="1:10" x14ac:dyDescent="0.2">
      <c r="E150" s="41">
        <f>(Input!E7*Input!E8)/100</f>
        <v>984</v>
      </c>
      <c r="G150" s="19" t="s">
        <v>67</v>
      </c>
      <c r="J150" s="22"/>
    </row>
    <row r="151" spans="1:10" x14ac:dyDescent="0.2">
      <c r="D151" s="82" t="s">
        <v>44</v>
      </c>
      <c r="E151" s="30">
        <f>Input!E94</f>
        <v>0.45</v>
      </c>
      <c r="G151" s="19" t="s">
        <v>65</v>
      </c>
      <c r="J151" s="22"/>
    </row>
    <row r="152" spans="1:10" x14ac:dyDescent="0.2">
      <c r="D152" s="82" t="s">
        <v>36</v>
      </c>
      <c r="E152" s="65">
        <v>100</v>
      </c>
      <c r="J152" s="22"/>
    </row>
    <row r="153" spans="1:10" x14ac:dyDescent="0.2">
      <c r="D153" s="82" t="s">
        <v>37</v>
      </c>
      <c r="E153" s="30">
        <f>ROUND(E150*E151/E152,2)</f>
        <v>4.43</v>
      </c>
      <c r="G153" s="19" t="s">
        <v>46</v>
      </c>
      <c r="J153" s="22"/>
    </row>
    <row r="154" spans="1:10" x14ac:dyDescent="0.2">
      <c r="E154" s="40"/>
    </row>
    <row r="155" spans="1:10" ht="15.75" x14ac:dyDescent="0.25">
      <c r="C155" s="19" t="s">
        <v>42</v>
      </c>
      <c r="D155" s="82" t="s">
        <v>37</v>
      </c>
      <c r="E155" s="17">
        <f>E148+E153</f>
        <v>6.4799999999999995</v>
      </c>
      <c r="G155" s="20" t="s">
        <v>46</v>
      </c>
      <c r="J155" s="22"/>
    </row>
    <row r="156" spans="1:10" x14ac:dyDescent="0.2">
      <c r="E156" s="40"/>
    </row>
    <row r="157" spans="1:10" ht="15.75" x14ac:dyDescent="0.25">
      <c r="B157" s="5" t="s">
        <v>267</v>
      </c>
    </row>
    <row r="158" spans="1:10" s="239" customFormat="1" ht="15" customHeight="1" x14ac:dyDescent="0.25">
      <c r="A158" s="238"/>
      <c r="C158" s="240"/>
      <c r="D158" s="204" t="s">
        <v>37</v>
      </c>
      <c r="E158" s="204">
        <f>Input!E19</f>
        <v>101</v>
      </c>
      <c r="F158" s="204"/>
      <c r="G158" s="204" t="s">
        <v>72</v>
      </c>
      <c r="I158" s="204"/>
      <c r="J158" s="22"/>
    </row>
    <row r="159" spans="1:10" s="239" customFormat="1" ht="18" customHeight="1" x14ac:dyDescent="0.25">
      <c r="A159" s="238"/>
      <c r="C159" s="240"/>
      <c r="D159" s="204" t="s">
        <v>44</v>
      </c>
      <c r="E159" s="241">
        <f>Input!E88</f>
        <v>2.4E-2</v>
      </c>
      <c r="F159" s="204"/>
      <c r="G159" s="210" t="s">
        <v>303</v>
      </c>
      <c r="I159" s="204"/>
      <c r="J159" s="22"/>
    </row>
    <row r="160" spans="1:10" s="239" customFormat="1" ht="18" customHeight="1" x14ac:dyDescent="0.25">
      <c r="A160" s="238"/>
      <c r="C160" s="240"/>
      <c r="D160" s="204" t="s">
        <v>37</v>
      </c>
      <c r="E160" s="242">
        <f>SUM(E158*E159)</f>
        <v>2.4239999999999999</v>
      </c>
      <c r="F160" s="225"/>
      <c r="G160" s="210" t="s">
        <v>308</v>
      </c>
      <c r="I160" s="204"/>
      <c r="J160" s="22"/>
    </row>
    <row r="161" spans="1:10" s="239" customFormat="1" ht="18" customHeight="1" x14ac:dyDescent="0.25">
      <c r="A161" s="238"/>
      <c r="C161" s="240"/>
      <c r="D161" s="204" t="s">
        <v>44</v>
      </c>
      <c r="E161" s="243">
        <f>Input!E89</f>
        <v>75</v>
      </c>
      <c r="F161" s="225"/>
      <c r="G161" s="210" t="s">
        <v>309</v>
      </c>
      <c r="I161" s="204"/>
      <c r="J161" s="22"/>
    </row>
    <row r="162" spans="1:10" s="239" customFormat="1" ht="18" customHeight="1" x14ac:dyDescent="0.25">
      <c r="A162" s="238"/>
      <c r="C162" s="240"/>
      <c r="D162" s="204" t="s">
        <v>44</v>
      </c>
      <c r="E162" s="244">
        <v>1.3079499999999999</v>
      </c>
      <c r="F162" s="225"/>
      <c r="G162" s="210" t="s">
        <v>310</v>
      </c>
      <c r="I162" s="204"/>
      <c r="J162" s="22"/>
    </row>
    <row r="163" spans="1:10" s="239" customFormat="1" ht="18" customHeight="1" x14ac:dyDescent="0.25">
      <c r="A163" s="238"/>
      <c r="C163" s="240"/>
      <c r="D163" s="223" t="s">
        <v>44</v>
      </c>
      <c r="E163" s="245">
        <f>Input!E90</f>
        <v>15</v>
      </c>
      <c r="F163" s="225"/>
      <c r="G163" s="246" t="s">
        <v>311</v>
      </c>
      <c r="I163" s="204"/>
      <c r="J163" s="22"/>
    </row>
    <row r="164" spans="1:10" s="239" customFormat="1" ht="15" customHeight="1" x14ac:dyDescent="0.25">
      <c r="A164" s="238"/>
      <c r="C164" s="240"/>
      <c r="D164" s="240" t="s">
        <v>37</v>
      </c>
      <c r="E164" s="247">
        <f>SUM(E160*(1-(E161/100))*E162*E163)</f>
        <v>11.8892655</v>
      </c>
      <c r="F164" s="225"/>
      <c r="G164" s="240" t="s">
        <v>46</v>
      </c>
      <c r="I164" s="204"/>
      <c r="J164" s="22"/>
    </row>
    <row r="166" spans="1:10" ht="15.75" x14ac:dyDescent="0.25">
      <c r="B166" s="5" t="s">
        <v>268</v>
      </c>
    </row>
    <row r="167" spans="1:10" x14ac:dyDescent="0.2">
      <c r="E167" s="38">
        <f>Input!E99</f>
        <v>1400</v>
      </c>
      <c r="G167" s="19" t="s">
        <v>68</v>
      </c>
      <c r="J167" s="22"/>
    </row>
    <row r="168" spans="1:10" x14ac:dyDescent="0.2">
      <c r="D168" s="82" t="s">
        <v>36</v>
      </c>
      <c r="E168" s="65">
        <f>Input!E5</f>
        <v>300</v>
      </c>
      <c r="F168" s="15"/>
      <c r="G168" s="35" t="s">
        <v>61</v>
      </c>
      <c r="H168" s="15"/>
      <c r="I168" s="15"/>
      <c r="J168" s="22"/>
    </row>
    <row r="169" spans="1:10" ht="15.75" x14ac:dyDescent="0.25">
      <c r="D169" s="77" t="s">
        <v>37</v>
      </c>
      <c r="E169" s="17">
        <f>ROUND(E167/E168,2)</f>
        <v>4.67</v>
      </c>
      <c r="F169" s="20"/>
      <c r="G169" s="20" t="s">
        <v>46</v>
      </c>
      <c r="H169" s="20"/>
      <c r="J169" s="22"/>
    </row>
    <row r="171" spans="1:10" ht="15.75" x14ac:dyDescent="0.25">
      <c r="B171" s="5" t="s">
        <v>273</v>
      </c>
    </row>
    <row r="172" spans="1:10" x14ac:dyDescent="0.2">
      <c r="E172" s="30">
        <f>Summary!C11</f>
        <v>996.35294117647061</v>
      </c>
      <c r="G172" s="32" t="s">
        <v>41</v>
      </c>
      <c r="J172" s="22"/>
    </row>
    <row r="173" spans="1:10" x14ac:dyDescent="0.2">
      <c r="D173" s="82" t="s">
        <v>56</v>
      </c>
      <c r="E173" s="30">
        <f>SUM(Summary!C9:C20)</f>
        <v>1383.6548824340464</v>
      </c>
      <c r="G173" s="19" t="s">
        <v>190</v>
      </c>
      <c r="J173" s="22"/>
    </row>
    <row r="174" spans="1:10" x14ac:dyDescent="0.2">
      <c r="D174" s="82" t="s">
        <v>40</v>
      </c>
      <c r="E174" s="30">
        <f>Summary!C17</f>
        <v>19.09090909090909</v>
      </c>
      <c r="F174" s="35"/>
      <c r="G174" s="19" t="s">
        <v>191</v>
      </c>
      <c r="H174" s="35"/>
      <c r="J174" s="22"/>
    </row>
    <row r="175" spans="1:10" x14ac:dyDescent="0.2">
      <c r="D175" s="82" t="s">
        <v>36</v>
      </c>
      <c r="E175" s="69">
        <v>2</v>
      </c>
      <c r="F175" s="35"/>
      <c r="G175" s="19" t="s">
        <v>192</v>
      </c>
      <c r="H175" s="35"/>
      <c r="J175" s="22"/>
    </row>
    <row r="176" spans="1:10" x14ac:dyDescent="0.2">
      <c r="D176" s="82" t="s">
        <v>44</v>
      </c>
      <c r="E176" s="70">
        <f>Input!E6</f>
        <v>1.5</v>
      </c>
      <c r="F176" s="32"/>
      <c r="G176" s="35" t="s">
        <v>139</v>
      </c>
      <c r="H176" s="32"/>
      <c r="J176" s="22"/>
    </row>
    <row r="177" spans="2:10" ht="15.75" x14ac:dyDescent="0.25">
      <c r="D177" s="77" t="s">
        <v>37</v>
      </c>
      <c r="E177" s="17">
        <f>ROUND(((E172+E173-E174)/E175)*E176/100,2)</f>
        <v>17.71</v>
      </c>
      <c r="F177" s="32"/>
      <c r="G177" s="20" t="s">
        <v>46</v>
      </c>
      <c r="H177" s="32"/>
      <c r="J177" s="22"/>
    </row>
    <row r="179" spans="2:10" ht="15.75" x14ac:dyDescent="0.25">
      <c r="B179" s="5" t="s">
        <v>270</v>
      </c>
    </row>
    <row r="180" spans="2:10" x14ac:dyDescent="0.2">
      <c r="E180" s="30">
        <f>(Input!E7*Input!E8)/100</f>
        <v>984</v>
      </c>
      <c r="G180" s="19" t="s">
        <v>41</v>
      </c>
      <c r="J180" s="22"/>
    </row>
    <row r="181" spans="2:10" x14ac:dyDescent="0.2">
      <c r="D181" s="82" t="s">
        <v>56</v>
      </c>
      <c r="E181" s="30">
        <f>(Summary!C9+SUM(Summary!C12:C20))/2</f>
        <v>193.65097062878786</v>
      </c>
      <c r="G181" s="19" t="s">
        <v>70</v>
      </c>
      <c r="J181" s="22"/>
    </row>
    <row r="182" spans="2:10" x14ac:dyDescent="0.2">
      <c r="D182" s="82" t="s">
        <v>44</v>
      </c>
      <c r="E182" s="71">
        <f>Input!E101</f>
        <v>7.75</v>
      </c>
      <c r="G182" s="19" t="s">
        <v>71</v>
      </c>
      <c r="J182" s="22"/>
    </row>
    <row r="183" spans="2:10" x14ac:dyDescent="0.2">
      <c r="D183" s="82" t="s">
        <v>44</v>
      </c>
      <c r="E183" s="25">
        <f>Input!E17</f>
        <v>221</v>
      </c>
      <c r="G183" s="19" t="s">
        <v>72</v>
      </c>
      <c r="J183" s="22"/>
    </row>
    <row r="184" spans="2:10" x14ac:dyDescent="0.2">
      <c r="D184" s="82" t="s">
        <v>36</v>
      </c>
      <c r="E184" s="65">
        <v>365</v>
      </c>
      <c r="F184" s="15"/>
      <c r="G184" s="15" t="s">
        <v>160</v>
      </c>
      <c r="H184" s="15"/>
      <c r="I184" s="15"/>
      <c r="J184" s="22"/>
    </row>
    <row r="185" spans="2:10" ht="15.75" x14ac:dyDescent="0.25">
      <c r="D185" s="77" t="s">
        <v>37</v>
      </c>
      <c r="E185" s="17">
        <f>ROUND((E180+E181)*(E182/100),2)*E183/365</f>
        <v>55.262109589041088</v>
      </c>
      <c r="F185" s="20"/>
      <c r="G185" s="20" t="s">
        <v>46</v>
      </c>
      <c r="H185" s="20"/>
      <c r="J185" s="22"/>
    </row>
    <row r="187" spans="2:10" ht="15.75" x14ac:dyDescent="0.25">
      <c r="B187" s="368" t="s">
        <v>164</v>
      </c>
      <c r="C187" s="368"/>
      <c r="D187" s="368"/>
      <c r="E187" s="368"/>
      <c r="F187" s="368"/>
      <c r="G187" s="368"/>
      <c r="H187" s="368"/>
      <c r="I187" s="368"/>
      <c r="J187" s="368"/>
    </row>
    <row r="189" spans="2:10" ht="15.75" x14ac:dyDescent="0.25">
      <c r="B189" s="20" t="s">
        <v>21</v>
      </c>
    </row>
    <row r="190" spans="2:10" ht="15.75" x14ac:dyDescent="0.25">
      <c r="B190" s="19" t="s">
        <v>165</v>
      </c>
      <c r="H190" s="72">
        <f>Input!D111</f>
        <v>10000</v>
      </c>
      <c r="J190" s="22"/>
    </row>
    <row r="191" spans="2:10" ht="15.75" x14ac:dyDescent="0.25">
      <c r="B191" s="19" t="s">
        <v>128</v>
      </c>
      <c r="H191" s="72">
        <f>Input!D112</f>
        <v>6000</v>
      </c>
      <c r="J191" s="22"/>
    </row>
    <row r="192" spans="2:10" ht="15.75" x14ac:dyDescent="0.25">
      <c r="B192" s="19" t="s">
        <v>22</v>
      </c>
      <c r="H192" s="72">
        <f>Input!D113</f>
        <v>20000</v>
      </c>
      <c r="J192" s="22"/>
    </row>
    <row r="193" spans="2:10" ht="15.75" x14ac:dyDescent="0.25">
      <c r="B193" s="19" t="s">
        <v>23</v>
      </c>
      <c r="H193" s="72">
        <f>Input!D114</f>
        <v>8000</v>
      </c>
      <c r="J193" s="22"/>
    </row>
    <row r="194" spans="2:10" ht="15.75" x14ac:dyDescent="0.25">
      <c r="B194" s="19" t="s">
        <v>123</v>
      </c>
      <c r="H194" s="73">
        <f>Input!D115</f>
        <v>42000</v>
      </c>
      <c r="J194" s="22"/>
    </row>
    <row r="195" spans="2:10" ht="15.75" x14ac:dyDescent="0.25">
      <c r="B195" s="20" t="s">
        <v>124</v>
      </c>
      <c r="H195" s="60">
        <f>SUM(H190:H194)</f>
        <v>86000</v>
      </c>
      <c r="J195" s="22"/>
    </row>
    <row r="197" spans="2:10" ht="15.75" x14ac:dyDescent="0.25">
      <c r="B197" s="20" t="s">
        <v>126</v>
      </c>
    </row>
    <row r="198" spans="2:10" ht="15.75" x14ac:dyDescent="0.25">
      <c r="B198" s="19" t="s">
        <v>157</v>
      </c>
      <c r="H198" s="72">
        <f>Input!D119</f>
        <v>27000</v>
      </c>
      <c r="J198" s="22"/>
    </row>
    <row r="199" spans="2:10" ht="15.75" x14ac:dyDescent="0.25">
      <c r="B199" s="19" t="s">
        <v>158</v>
      </c>
      <c r="H199" s="72">
        <f>Input!D120</f>
        <v>2500</v>
      </c>
      <c r="J199" s="22"/>
    </row>
    <row r="200" spans="2:10" ht="15.75" x14ac:dyDescent="0.25">
      <c r="B200" s="19" t="s">
        <v>167</v>
      </c>
      <c r="H200" s="72">
        <f>Input!D121</f>
        <v>2500</v>
      </c>
      <c r="J200" s="22"/>
    </row>
    <row r="201" spans="2:10" ht="15.75" x14ac:dyDescent="0.25">
      <c r="B201" s="19" t="s">
        <v>159</v>
      </c>
      <c r="H201" s="85">
        <f>Input!D125</f>
        <v>36000</v>
      </c>
      <c r="J201" s="22"/>
    </row>
    <row r="202" spans="2:10" ht="15.75" x14ac:dyDescent="0.25">
      <c r="B202" s="19" t="s">
        <v>167</v>
      </c>
      <c r="H202" s="73">
        <f>Input!D126</f>
        <v>20000</v>
      </c>
      <c r="J202" s="22"/>
    </row>
    <row r="203" spans="2:10" ht="15.75" x14ac:dyDescent="0.25">
      <c r="B203" s="20" t="s">
        <v>125</v>
      </c>
      <c r="H203" s="60">
        <f>SUM(H198:H202)</f>
        <v>88000</v>
      </c>
      <c r="J203" s="22"/>
    </row>
    <row r="205" spans="2:10" ht="15.75" x14ac:dyDescent="0.25">
      <c r="B205" s="20" t="s">
        <v>156</v>
      </c>
      <c r="H205" s="20">
        <f>H195+H203</f>
        <v>174000</v>
      </c>
      <c r="J205" s="22"/>
    </row>
    <row r="207" spans="2:10" ht="15.75" x14ac:dyDescent="0.25">
      <c r="B207" s="20" t="s">
        <v>140</v>
      </c>
    </row>
    <row r="209" spans="2:10" ht="15.75" x14ac:dyDescent="0.25">
      <c r="B209" s="20" t="s">
        <v>28</v>
      </c>
    </row>
    <row r="210" spans="2:10" ht="15.75" x14ac:dyDescent="0.25">
      <c r="B210" s="20"/>
      <c r="D210" s="74"/>
      <c r="E210" s="369" t="s">
        <v>161</v>
      </c>
      <c r="F210" s="370"/>
      <c r="G210" s="370"/>
      <c r="H210" s="370"/>
      <c r="I210" s="74"/>
      <c r="J210" s="74"/>
    </row>
    <row r="211" spans="2:10" ht="15.75" x14ac:dyDescent="0.25">
      <c r="B211" s="20"/>
      <c r="C211" s="74"/>
      <c r="D211" s="74"/>
      <c r="E211" s="370" t="s">
        <v>162</v>
      </c>
      <c r="F211" s="370"/>
      <c r="G211" s="370"/>
      <c r="H211" s="370"/>
      <c r="I211" s="74"/>
      <c r="J211" s="74"/>
    </row>
    <row r="212" spans="2:10" ht="15.75" x14ac:dyDescent="0.25">
      <c r="B212" s="20"/>
      <c r="C212" s="74"/>
      <c r="D212" s="74"/>
      <c r="E212" s="74"/>
      <c r="F212" s="74"/>
      <c r="G212" s="74"/>
      <c r="H212" s="74"/>
      <c r="I212" s="74"/>
      <c r="J212" s="74"/>
    </row>
    <row r="213" spans="2:10" ht="15.75" x14ac:dyDescent="0.25">
      <c r="B213" s="20" t="s">
        <v>29</v>
      </c>
    </row>
    <row r="214" spans="2:10" x14ac:dyDescent="0.2">
      <c r="E214" s="39">
        <f>Input!D116</f>
        <v>86000</v>
      </c>
      <c r="G214" s="19" t="s">
        <v>73</v>
      </c>
      <c r="J214" s="22"/>
    </row>
    <row r="215" spans="2:10" x14ac:dyDescent="0.2">
      <c r="D215" s="82" t="s">
        <v>40</v>
      </c>
      <c r="E215" s="39">
        <f>(Input!E116/100)*Input!D116</f>
        <v>0</v>
      </c>
      <c r="G215" s="19" t="s">
        <v>74</v>
      </c>
      <c r="J215" s="22"/>
    </row>
    <row r="216" spans="2:10" x14ac:dyDescent="0.2">
      <c r="D216" s="82" t="s">
        <v>36</v>
      </c>
      <c r="E216" s="25">
        <f>Input!G116</f>
        <v>20</v>
      </c>
      <c r="G216" s="19" t="s">
        <v>75</v>
      </c>
      <c r="J216" s="22"/>
    </row>
    <row r="217" spans="2:10" x14ac:dyDescent="0.2">
      <c r="D217" s="82" t="s">
        <v>36</v>
      </c>
      <c r="E217" s="65">
        <f>Input!E5</f>
        <v>300</v>
      </c>
      <c r="F217" s="15"/>
      <c r="G217" s="15" t="s">
        <v>61</v>
      </c>
      <c r="H217" s="15"/>
      <c r="J217" s="22"/>
    </row>
    <row r="218" spans="2:10" ht="15.75" x14ac:dyDescent="0.25">
      <c r="D218" s="77" t="s">
        <v>37</v>
      </c>
      <c r="E218" s="31">
        <f>ROUND((E214-E215)/E216/E217,2)</f>
        <v>14.33</v>
      </c>
      <c r="F218" s="20"/>
      <c r="G218" s="20" t="s">
        <v>46</v>
      </c>
      <c r="H218" s="20"/>
      <c r="J218" s="22"/>
    </row>
    <row r="220" spans="2:10" ht="15.75" x14ac:dyDescent="0.25">
      <c r="B220" s="5" t="s">
        <v>205</v>
      </c>
    </row>
    <row r="221" spans="2:10" x14ac:dyDescent="0.2">
      <c r="E221" s="39">
        <f>Input!D122</f>
        <v>32000</v>
      </c>
      <c r="G221" s="19" t="s">
        <v>73</v>
      </c>
      <c r="J221" s="22"/>
    </row>
    <row r="222" spans="2:10" x14ac:dyDescent="0.2">
      <c r="D222" s="82" t="s">
        <v>40</v>
      </c>
      <c r="E222" s="39">
        <f>(Input!E122/100)*Input!D122</f>
        <v>0</v>
      </c>
      <c r="G222" s="19" t="s">
        <v>74</v>
      </c>
      <c r="J222" s="22"/>
    </row>
    <row r="223" spans="2:10" x14ac:dyDescent="0.2">
      <c r="D223" s="82" t="s">
        <v>36</v>
      </c>
      <c r="E223" s="25">
        <f>Input!G122</f>
        <v>25</v>
      </c>
      <c r="G223" s="19" t="s">
        <v>75</v>
      </c>
      <c r="J223" s="22"/>
    </row>
    <row r="224" spans="2:10" x14ac:dyDescent="0.2">
      <c r="D224" s="82" t="s">
        <v>36</v>
      </c>
      <c r="E224" s="65">
        <f>Input!E5</f>
        <v>300</v>
      </c>
      <c r="F224" s="15"/>
      <c r="G224" s="15" t="s">
        <v>61</v>
      </c>
      <c r="H224" s="15"/>
      <c r="J224" s="22"/>
    </row>
    <row r="225" spans="2:10" ht="15.75" x14ac:dyDescent="0.25">
      <c r="D225" s="77" t="s">
        <v>37</v>
      </c>
      <c r="E225" s="31">
        <f>ROUND((E221-E222)/E223/E224,2)</f>
        <v>4.2699999999999996</v>
      </c>
      <c r="F225" s="20"/>
      <c r="G225" s="20" t="s">
        <v>46</v>
      </c>
      <c r="H225" s="20"/>
      <c r="J225" s="22"/>
    </row>
    <row r="226" spans="2:10" ht="15.75" x14ac:dyDescent="0.25">
      <c r="D226" s="77"/>
      <c r="E226" s="31"/>
      <c r="F226" s="20"/>
      <c r="G226" s="20"/>
      <c r="H226" s="20"/>
      <c r="J226" s="28"/>
    </row>
    <row r="227" spans="2:10" ht="15.75" x14ac:dyDescent="0.25">
      <c r="B227" s="5" t="s">
        <v>206</v>
      </c>
      <c r="D227" s="77"/>
      <c r="E227" s="31"/>
      <c r="F227" s="20"/>
      <c r="G227" s="20"/>
      <c r="H227" s="20"/>
      <c r="J227" s="28"/>
    </row>
    <row r="228" spans="2:10" x14ac:dyDescent="0.2">
      <c r="E228" s="39">
        <f>Input!D125+Input!D126</f>
        <v>56000</v>
      </c>
      <c r="G228" s="19" t="s">
        <v>73</v>
      </c>
      <c r="J228" s="22"/>
    </row>
    <row r="229" spans="2:10" x14ac:dyDescent="0.2">
      <c r="D229" s="82" t="s">
        <v>40</v>
      </c>
      <c r="E229" s="39">
        <f>(Input!E125/100)*Input!D125</f>
        <v>7200</v>
      </c>
      <c r="G229" s="19" t="s">
        <v>74</v>
      </c>
      <c r="J229" s="22"/>
    </row>
    <row r="230" spans="2:10" x14ac:dyDescent="0.2">
      <c r="D230" s="82" t="s">
        <v>36</v>
      </c>
      <c r="E230" s="25">
        <f>Input!G125</f>
        <v>15</v>
      </c>
      <c r="G230" s="19" t="s">
        <v>75</v>
      </c>
      <c r="J230" s="22"/>
    </row>
    <row r="231" spans="2:10" x14ac:dyDescent="0.2">
      <c r="D231" s="82" t="s">
        <v>36</v>
      </c>
      <c r="E231" s="65">
        <f>Input!E5</f>
        <v>300</v>
      </c>
      <c r="F231" s="15"/>
      <c r="G231" s="15" t="s">
        <v>61</v>
      </c>
      <c r="H231" s="15"/>
      <c r="J231" s="22"/>
    </row>
    <row r="232" spans="2:10" ht="15.75" x14ac:dyDescent="0.25">
      <c r="D232" s="77" t="s">
        <v>37</v>
      </c>
      <c r="E232" s="31">
        <f>ROUND((E228-E229)/E230/E231,2)</f>
        <v>10.84</v>
      </c>
      <c r="F232" s="20"/>
      <c r="G232" s="20" t="s">
        <v>46</v>
      </c>
      <c r="H232" s="20"/>
      <c r="J232" s="22"/>
    </row>
    <row r="233" spans="2:10" ht="15.75" x14ac:dyDescent="0.25">
      <c r="B233" s="20" t="s">
        <v>30</v>
      </c>
    </row>
    <row r="234" spans="2:10" x14ac:dyDescent="0.2">
      <c r="E234" s="359" t="s">
        <v>183</v>
      </c>
      <c r="F234" s="360"/>
      <c r="G234" s="360"/>
      <c r="H234" s="360"/>
      <c r="I234" s="360"/>
      <c r="J234" s="360"/>
    </row>
    <row r="235" spans="2:10" x14ac:dyDescent="0.2">
      <c r="E235" s="361" t="s">
        <v>163</v>
      </c>
      <c r="F235" s="362"/>
      <c r="G235" s="362"/>
      <c r="H235" s="362"/>
      <c r="I235" s="362"/>
      <c r="J235" s="42"/>
    </row>
    <row r="237" spans="2:10" ht="15.75" x14ac:dyDescent="0.25">
      <c r="B237" s="20" t="s">
        <v>31</v>
      </c>
    </row>
    <row r="238" spans="2:10" x14ac:dyDescent="0.2">
      <c r="E238" s="39">
        <f>Input!D116</f>
        <v>86000</v>
      </c>
      <c r="G238" s="19" t="s">
        <v>76</v>
      </c>
      <c r="J238" s="22"/>
    </row>
    <row r="239" spans="2:10" x14ac:dyDescent="0.2">
      <c r="D239" s="82" t="s">
        <v>56</v>
      </c>
      <c r="E239" s="39">
        <f>Input!D116*Input!E116</f>
        <v>0</v>
      </c>
      <c r="G239" s="19" t="s">
        <v>74</v>
      </c>
      <c r="J239" s="22"/>
    </row>
    <row r="240" spans="2:10" x14ac:dyDescent="0.2">
      <c r="D240" s="82" t="s">
        <v>36</v>
      </c>
      <c r="E240" s="25">
        <v>2</v>
      </c>
      <c r="G240" s="19" t="s">
        <v>149</v>
      </c>
      <c r="J240" s="22"/>
    </row>
    <row r="241" spans="2:10" x14ac:dyDescent="0.2">
      <c r="D241" s="82" t="s">
        <v>44</v>
      </c>
      <c r="E241" s="64">
        <f>Input!E102</f>
        <v>3</v>
      </c>
      <c r="G241" s="19" t="s">
        <v>150</v>
      </c>
      <c r="J241" s="22"/>
    </row>
    <row r="242" spans="2:10" x14ac:dyDescent="0.2">
      <c r="D242" s="82" t="s">
        <v>36</v>
      </c>
      <c r="E242" s="65">
        <f>Input!E5</f>
        <v>300</v>
      </c>
      <c r="F242" s="15"/>
      <c r="G242" s="15" t="s">
        <v>61</v>
      </c>
      <c r="H242" s="15"/>
      <c r="J242" s="22"/>
    </row>
    <row r="243" spans="2:10" ht="15.75" x14ac:dyDescent="0.25">
      <c r="D243" s="77" t="s">
        <v>37</v>
      </c>
      <c r="E243" s="31">
        <f>ROUND((E238+E239)/E240*(E241/100)/E242,2)</f>
        <v>4.3</v>
      </c>
      <c r="F243" s="20"/>
      <c r="G243" s="20" t="s">
        <v>46</v>
      </c>
      <c r="H243" s="20"/>
      <c r="J243" s="22"/>
    </row>
    <row r="245" spans="2:10" ht="15.75" x14ac:dyDescent="0.25">
      <c r="B245" s="20" t="s">
        <v>32</v>
      </c>
    </row>
    <row r="246" spans="2:10" x14ac:dyDescent="0.2">
      <c r="E246" s="39">
        <f>E221+E228</f>
        <v>88000</v>
      </c>
      <c r="G246" s="19" t="s">
        <v>73</v>
      </c>
      <c r="J246" s="22"/>
    </row>
    <row r="247" spans="2:10" x14ac:dyDescent="0.2">
      <c r="D247" s="82" t="s">
        <v>56</v>
      </c>
      <c r="E247" s="39">
        <f>(Input!$D$119*Input!$E$122)+(Input!$D$125*Input!$E$125/100)</f>
        <v>7200</v>
      </c>
      <c r="G247" s="19" t="s">
        <v>74</v>
      </c>
      <c r="J247" s="22"/>
    </row>
    <row r="248" spans="2:10" x14ac:dyDescent="0.2">
      <c r="D248" s="82" t="s">
        <v>36</v>
      </c>
      <c r="E248" s="25">
        <v>2</v>
      </c>
      <c r="G248" s="19" t="s">
        <v>149</v>
      </c>
      <c r="J248" s="22"/>
    </row>
    <row r="249" spans="2:10" x14ac:dyDescent="0.2">
      <c r="D249" s="82" t="s">
        <v>44</v>
      </c>
      <c r="E249" s="64">
        <f>Input!E102</f>
        <v>3</v>
      </c>
      <c r="G249" s="19" t="s">
        <v>150</v>
      </c>
      <c r="J249" s="22"/>
    </row>
    <row r="250" spans="2:10" x14ac:dyDescent="0.2">
      <c r="D250" s="82" t="s">
        <v>36</v>
      </c>
      <c r="E250" s="65">
        <f>Input!E5</f>
        <v>300</v>
      </c>
      <c r="F250" s="15"/>
      <c r="G250" s="15" t="s">
        <v>61</v>
      </c>
      <c r="H250" s="15"/>
      <c r="J250" s="22"/>
    </row>
    <row r="251" spans="2:10" ht="15.75" x14ac:dyDescent="0.25">
      <c r="D251" s="77" t="s">
        <v>37</v>
      </c>
      <c r="E251" s="31">
        <f>ROUND((E246+E247)/E248*(E249/100)/E250,2)</f>
        <v>4.76</v>
      </c>
      <c r="F251" s="20"/>
      <c r="G251" s="20" t="s">
        <v>46</v>
      </c>
      <c r="H251" s="20"/>
      <c r="J251" s="22"/>
    </row>
    <row r="252" spans="2:10" ht="15.75" x14ac:dyDescent="0.25">
      <c r="B252" s="20" t="s">
        <v>77</v>
      </c>
    </row>
    <row r="253" spans="2:10" x14ac:dyDescent="0.2">
      <c r="E253" s="61">
        <f>Input!E132</f>
        <v>3</v>
      </c>
      <c r="G253" s="19" t="s">
        <v>78</v>
      </c>
      <c r="J253" s="22"/>
    </row>
    <row r="254" spans="2:10" x14ac:dyDescent="0.2">
      <c r="D254" s="82" t="s">
        <v>44</v>
      </c>
      <c r="E254" s="75">
        <f>Input!E133</f>
        <v>26</v>
      </c>
      <c r="F254" s="15"/>
      <c r="G254" s="15" t="s">
        <v>79</v>
      </c>
      <c r="H254" s="15"/>
      <c r="J254" s="22"/>
    </row>
    <row r="255" spans="2:10" ht="15.75" x14ac:dyDescent="0.25">
      <c r="D255" s="77" t="s">
        <v>37</v>
      </c>
      <c r="E255" s="31">
        <f>ROUND(E253*E254,2)</f>
        <v>78</v>
      </c>
      <c r="F255" s="20"/>
      <c r="G255" s="20" t="s">
        <v>46</v>
      </c>
      <c r="H255" s="20"/>
      <c r="J255" s="22"/>
    </row>
  </sheetData>
  <sheetProtection password="C6A6" sheet="1"/>
  <mergeCells count="13">
    <mergeCell ref="E234:J234"/>
    <mergeCell ref="E235:I235"/>
    <mergeCell ref="A1:J1"/>
    <mergeCell ref="A2:J2"/>
    <mergeCell ref="B11:J11"/>
    <mergeCell ref="B16:J16"/>
    <mergeCell ref="B18:J18"/>
    <mergeCell ref="B13:J14"/>
    <mergeCell ref="B5:J7"/>
    <mergeCell ref="B9:J9"/>
    <mergeCell ref="B187:J187"/>
    <mergeCell ref="E210:H210"/>
    <mergeCell ref="E211:H211"/>
  </mergeCells>
  <phoneticPr fontId="0" type="noConversion"/>
  <printOptions horizontalCentered="1"/>
  <pageMargins left="0.74803149606299213" right="0.74803149606299213" top="0.98425196850393704" bottom="0.98425196850393704" header="0.51181102362204722" footer="0.51181102362204722"/>
  <pageSetup scale="99" firstPageNumber="7" fitToHeight="6" orientation="portrait" useFirstPageNumber="1" r:id="rId1"/>
  <headerFooter scaleWithDoc="0">
    <oddHeader>&amp;L&amp;10Guidelines: Bison Bull Backgrounding Costs&amp;R&amp;10&amp;P</oddHeader>
  </headerFooter>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8"/>
  <sheetViews>
    <sheetView showGridLines="0" zoomScaleNormal="100" workbookViewId="0">
      <selection sqref="A1:J1"/>
    </sheetView>
  </sheetViews>
  <sheetFormatPr defaultRowHeight="15" x14ac:dyDescent="0.2"/>
  <cols>
    <col min="1" max="4" width="8.88671875" style="146"/>
    <col min="5" max="5" width="3.109375" style="146" customWidth="1"/>
    <col min="6" max="6" width="9.6640625" style="146" customWidth="1"/>
    <col min="7" max="7" width="1.77734375" style="146" customWidth="1"/>
    <col min="8" max="16384" width="8.88671875" style="146"/>
  </cols>
  <sheetData>
    <row r="1" spans="1:10" ht="18" x14ac:dyDescent="0.25">
      <c r="A1" s="371" t="s">
        <v>232</v>
      </c>
      <c r="B1" s="371"/>
      <c r="C1" s="371"/>
      <c r="D1" s="371"/>
      <c r="E1" s="371"/>
      <c r="F1" s="371"/>
      <c r="G1" s="371"/>
      <c r="H1" s="371"/>
      <c r="I1" s="371"/>
      <c r="J1" s="371"/>
    </row>
    <row r="3" spans="1:10" ht="15.75" x14ac:dyDescent="0.25">
      <c r="A3" s="147" t="s">
        <v>233</v>
      </c>
    </row>
    <row r="4" spans="1:10" ht="15.75" x14ac:dyDescent="0.25">
      <c r="A4" s="147"/>
      <c r="B4" s="147" t="s">
        <v>35</v>
      </c>
      <c r="F4" s="148">
        <f>Summary!C6+Summary!C7+Summary!C8</f>
        <v>160.64400000000001</v>
      </c>
      <c r="H4" s="146" t="s">
        <v>234</v>
      </c>
      <c r="J4" s="149"/>
    </row>
    <row r="5" spans="1:10" x14ac:dyDescent="0.2">
      <c r="E5" s="150" t="s">
        <v>36</v>
      </c>
      <c r="F5" s="151">
        <f>Input!E26</f>
        <v>288</v>
      </c>
      <c r="G5" s="152"/>
      <c r="H5" s="153" t="s">
        <v>235</v>
      </c>
      <c r="J5" s="149"/>
    </row>
    <row r="6" spans="1:10" ht="15.75" x14ac:dyDescent="0.25">
      <c r="E6" s="154" t="s">
        <v>37</v>
      </c>
      <c r="F6" s="155">
        <f>F4/F5</f>
        <v>0.55779166666666669</v>
      </c>
      <c r="G6" s="156"/>
      <c r="H6" s="147" t="s">
        <v>236</v>
      </c>
      <c r="I6" s="147"/>
      <c r="J6" s="149"/>
    </row>
    <row r="7" spans="1:10" x14ac:dyDescent="0.2">
      <c r="F7" s="157"/>
      <c r="G7" s="157"/>
    </row>
    <row r="8" spans="1:10" ht="15.75" x14ac:dyDescent="0.25">
      <c r="B8" s="147" t="s">
        <v>39</v>
      </c>
      <c r="F8" s="158">
        <f>Summary!C24</f>
        <v>1456.6269920230875</v>
      </c>
      <c r="G8" s="159"/>
      <c r="H8" s="146" t="s">
        <v>237</v>
      </c>
      <c r="J8" s="149"/>
    </row>
    <row r="9" spans="1:10" x14ac:dyDescent="0.2">
      <c r="E9" s="160" t="s">
        <v>40</v>
      </c>
      <c r="F9" s="158">
        <f>Summary!C11</f>
        <v>996.35294117647061</v>
      </c>
      <c r="G9" s="159"/>
      <c r="H9" s="146" t="s">
        <v>41</v>
      </c>
      <c r="J9" s="149"/>
    </row>
    <row r="10" spans="1:10" x14ac:dyDescent="0.2">
      <c r="E10" s="150" t="s">
        <v>36</v>
      </c>
      <c r="F10" s="151">
        <f>Input!E26</f>
        <v>288</v>
      </c>
      <c r="G10" s="159"/>
      <c r="H10" s="153" t="s">
        <v>235</v>
      </c>
      <c r="J10" s="149"/>
    </row>
    <row r="11" spans="1:10" ht="15.75" x14ac:dyDescent="0.25">
      <c r="E11" s="154" t="s">
        <v>37</v>
      </c>
      <c r="F11" s="155">
        <f>(F8-F9)/F10</f>
        <v>1.5981737876618642</v>
      </c>
      <c r="G11" s="159"/>
      <c r="H11" s="147" t="s">
        <v>236</v>
      </c>
      <c r="J11" s="149"/>
    </row>
    <row r="12" spans="1:10" x14ac:dyDescent="0.2">
      <c r="F12" s="159"/>
      <c r="G12" s="159"/>
    </row>
    <row r="13" spans="1:10" ht="15.75" x14ac:dyDescent="0.25">
      <c r="B13" s="147" t="s">
        <v>238</v>
      </c>
      <c r="F13" s="159">
        <f>Summary!C24+Summary!C37</f>
        <v>1534.6269920230875</v>
      </c>
      <c r="G13" s="159"/>
      <c r="H13" s="146" t="s">
        <v>237</v>
      </c>
      <c r="J13" s="149"/>
    </row>
    <row r="14" spans="1:10" x14ac:dyDescent="0.2">
      <c r="E14" s="160" t="s">
        <v>40</v>
      </c>
      <c r="F14" s="158">
        <f>Summary!C11</f>
        <v>996.35294117647061</v>
      </c>
      <c r="G14" s="159"/>
      <c r="H14" s="146" t="s">
        <v>41</v>
      </c>
      <c r="J14" s="149"/>
    </row>
    <row r="15" spans="1:10" x14ac:dyDescent="0.2">
      <c r="E15" s="150" t="s">
        <v>36</v>
      </c>
      <c r="F15" s="151">
        <f>Input!E26</f>
        <v>288</v>
      </c>
      <c r="G15" s="159"/>
      <c r="H15" s="153" t="s">
        <v>235</v>
      </c>
      <c r="J15" s="149"/>
    </row>
    <row r="16" spans="1:10" ht="15.75" x14ac:dyDescent="0.25">
      <c r="E16" s="154" t="s">
        <v>37</v>
      </c>
      <c r="F16" s="155">
        <f>(F13-F14)/F15</f>
        <v>1.8690071209951975</v>
      </c>
      <c r="G16" s="159"/>
      <c r="H16" s="147" t="s">
        <v>236</v>
      </c>
      <c r="J16" s="149"/>
    </row>
    <row r="17" spans="1:10" x14ac:dyDescent="0.2">
      <c r="F17" s="159"/>
      <c r="G17" s="159"/>
    </row>
    <row r="18" spans="1:10" ht="15.75" x14ac:dyDescent="0.25">
      <c r="B18" s="147" t="s">
        <v>34</v>
      </c>
      <c r="F18" s="158">
        <f>Summary!C35</f>
        <v>1495.1269920230875</v>
      </c>
      <c r="G18" s="159"/>
      <c r="H18" s="146" t="s">
        <v>239</v>
      </c>
      <c r="J18" s="149"/>
    </row>
    <row r="19" spans="1:10" ht="15.75" x14ac:dyDescent="0.25">
      <c r="B19" s="147"/>
      <c r="E19" s="160" t="s">
        <v>40</v>
      </c>
      <c r="F19" s="158">
        <f>Summary!C11</f>
        <v>996.35294117647061</v>
      </c>
      <c r="G19" s="159"/>
      <c r="H19" s="146" t="s">
        <v>41</v>
      </c>
      <c r="J19" s="149"/>
    </row>
    <row r="20" spans="1:10" ht="15.75" x14ac:dyDescent="0.25">
      <c r="B20" s="147"/>
      <c r="E20" s="150" t="s">
        <v>36</v>
      </c>
      <c r="F20" s="151">
        <f>Input!E26</f>
        <v>288</v>
      </c>
      <c r="G20" s="159"/>
      <c r="H20" s="153" t="s">
        <v>235</v>
      </c>
      <c r="J20" s="149"/>
    </row>
    <row r="21" spans="1:10" ht="15.75" x14ac:dyDescent="0.25">
      <c r="B21" s="147"/>
      <c r="E21" s="154" t="s">
        <v>37</v>
      </c>
      <c r="F21" s="155">
        <f>(F18-F19)/F20</f>
        <v>1.7318543432174198</v>
      </c>
      <c r="G21" s="159"/>
      <c r="H21" s="147" t="s">
        <v>236</v>
      </c>
      <c r="J21" s="149"/>
    </row>
    <row r="22" spans="1:10" ht="15.75" x14ac:dyDescent="0.25">
      <c r="B22" s="147"/>
      <c r="F22" s="159"/>
      <c r="G22" s="159"/>
    </row>
    <row r="23" spans="1:10" ht="15.75" x14ac:dyDescent="0.25">
      <c r="B23" s="147" t="s">
        <v>43</v>
      </c>
      <c r="F23" s="158">
        <f>Summary!C39</f>
        <v>1573.1269920230875</v>
      </c>
      <c r="G23" s="159"/>
      <c r="H23" s="146" t="s">
        <v>240</v>
      </c>
      <c r="J23" s="149"/>
    </row>
    <row r="24" spans="1:10" ht="15.75" x14ac:dyDescent="0.25">
      <c r="B24" s="147"/>
      <c r="E24" s="160" t="s">
        <v>40</v>
      </c>
      <c r="F24" s="158">
        <f>Summary!C11</f>
        <v>996.35294117647061</v>
      </c>
      <c r="G24" s="159"/>
      <c r="H24" s="146" t="s">
        <v>41</v>
      </c>
      <c r="J24" s="149"/>
    </row>
    <row r="25" spans="1:10" ht="15.75" x14ac:dyDescent="0.25">
      <c r="B25" s="147"/>
      <c r="E25" s="150" t="s">
        <v>36</v>
      </c>
      <c r="F25" s="151">
        <f>Input!E26</f>
        <v>288</v>
      </c>
      <c r="G25" s="159"/>
      <c r="H25" s="153" t="s">
        <v>235</v>
      </c>
      <c r="J25" s="149"/>
    </row>
    <row r="26" spans="1:10" ht="15.75" x14ac:dyDescent="0.25">
      <c r="B26" s="147"/>
      <c r="E26" s="154" t="s">
        <v>37</v>
      </c>
      <c r="F26" s="155">
        <f>(F23-F24)/F25</f>
        <v>2.0026876765507531</v>
      </c>
      <c r="G26" s="159"/>
      <c r="H26" s="147" t="s">
        <v>236</v>
      </c>
      <c r="J26" s="149"/>
    </row>
    <row r="27" spans="1:10" ht="15.75" x14ac:dyDescent="0.25">
      <c r="A27" s="147" t="s">
        <v>241</v>
      </c>
    </row>
    <row r="28" spans="1:10" ht="15.75" x14ac:dyDescent="0.25">
      <c r="B28" s="147" t="s">
        <v>39</v>
      </c>
      <c r="F28" s="158">
        <f>Summary!C24</f>
        <v>1456.6269920230875</v>
      </c>
      <c r="G28" s="159"/>
      <c r="H28" s="146" t="s">
        <v>237</v>
      </c>
      <c r="J28" s="149"/>
    </row>
    <row r="29" spans="1:10" x14ac:dyDescent="0.2">
      <c r="E29" s="150" t="s">
        <v>36</v>
      </c>
      <c r="F29" s="151">
        <f>Input!E9-(Input!E9*(Input!E12/100))</f>
        <v>768</v>
      </c>
      <c r="G29" s="161"/>
      <c r="H29" s="153" t="s">
        <v>242</v>
      </c>
      <c r="I29" s="153"/>
      <c r="J29" s="149"/>
    </row>
    <row r="30" spans="1:10" ht="15.75" x14ac:dyDescent="0.25">
      <c r="E30" s="154" t="s">
        <v>37</v>
      </c>
      <c r="F30" s="155">
        <f>F28/F29</f>
        <v>1.8966497291967286</v>
      </c>
      <c r="G30" s="159"/>
      <c r="H30" s="147" t="s">
        <v>243</v>
      </c>
      <c r="J30" s="149"/>
    </row>
    <row r="32" spans="1:10" ht="15.75" x14ac:dyDescent="0.25">
      <c r="B32" s="147" t="s">
        <v>238</v>
      </c>
      <c r="F32" s="159">
        <f>Summary!C24+Summary!C37</f>
        <v>1534.6269920230875</v>
      </c>
      <c r="H32" s="146" t="s">
        <v>244</v>
      </c>
      <c r="J32" s="149"/>
    </row>
    <row r="33" spans="1:10" x14ac:dyDescent="0.2">
      <c r="E33" s="150" t="s">
        <v>36</v>
      </c>
      <c r="F33" s="151">
        <f>Input!E9-(Input!E9*(Input!E12/100))</f>
        <v>768</v>
      </c>
      <c r="H33" s="153" t="s">
        <v>242</v>
      </c>
      <c r="J33" s="149"/>
    </row>
    <row r="34" spans="1:10" ht="15.75" x14ac:dyDescent="0.25">
      <c r="E34" s="154" t="s">
        <v>37</v>
      </c>
      <c r="F34" s="162">
        <f>F32/F33</f>
        <v>1.9982122291967286</v>
      </c>
      <c r="H34" s="147" t="s">
        <v>243</v>
      </c>
      <c r="J34" s="149"/>
    </row>
    <row r="36" spans="1:10" ht="15.75" x14ac:dyDescent="0.25">
      <c r="B36" s="147" t="s">
        <v>34</v>
      </c>
      <c r="F36" s="158">
        <f>Summary!C35</f>
        <v>1495.1269920230875</v>
      </c>
      <c r="H36" s="150" t="s">
        <v>245</v>
      </c>
      <c r="J36" s="149"/>
    </row>
    <row r="37" spans="1:10" x14ac:dyDescent="0.2">
      <c r="E37" s="150" t="s">
        <v>36</v>
      </c>
      <c r="F37" s="151">
        <f>Input!E9-(Input!E9*(Input!E12/100))</f>
        <v>768</v>
      </c>
      <c r="H37" s="153" t="s">
        <v>242</v>
      </c>
      <c r="J37" s="149"/>
    </row>
    <row r="38" spans="1:10" ht="15.75" x14ac:dyDescent="0.25">
      <c r="E38" s="154" t="s">
        <v>37</v>
      </c>
      <c r="F38" s="155">
        <f>F36/F37</f>
        <v>1.9467799375300618</v>
      </c>
      <c r="H38" s="147" t="s">
        <v>243</v>
      </c>
      <c r="J38" s="149"/>
    </row>
    <row r="40" spans="1:10" ht="15.75" x14ac:dyDescent="0.25">
      <c r="B40" s="147" t="s">
        <v>43</v>
      </c>
      <c r="F40" s="158">
        <f>Summary!C39</f>
        <v>1573.1269920230875</v>
      </c>
      <c r="H40" s="146" t="s">
        <v>240</v>
      </c>
      <c r="J40" s="149"/>
    </row>
    <row r="41" spans="1:10" x14ac:dyDescent="0.2">
      <c r="E41" s="150" t="s">
        <v>36</v>
      </c>
      <c r="F41" s="151">
        <f>Input!E9-(Input!E9*(Input!E12/100))</f>
        <v>768</v>
      </c>
      <c r="H41" s="153" t="s">
        <v>242</v>
      </c>
      <c r="J41" s="149"/>
    </row>
    <row r="42" spans="1:10" ht="15.75" x14ac:dyDescent="0.25">
      <c r="E42" s="154" t="s">
        <v>37</v>
      </c>
      <c r="F42" s="155">
        <f>F40/F41</f>
        <v>2.0483424375300618</v>
      </c>
      <c r="H42" s="147" t="s">
        <v>243</v>
      </c>
      <c r="J42" s="149"/>
    </row>
    <row r="43" spans="1:10" ht="15.75" x14ac:dyDescent="0.25">
      <c r="E43" s="154"/>
      <c r="F43" s="155"/>
      <c r="H43" s="147"/>
    </row>
    <row r="44" spans="1:10" ht="15.75" x14ac:dyDescent="0.25">
      <c r="A44" s="147" t="s">
        <v>246</v>
      </c>
      <c r="E44" s="154"/>
      <c r="F44" s="155"/>
      <c r="H44" s="147"/>
    </row>
    <row r="45" spans="1:10" ht="15.75" x14ac:dyDescent="0.25">
      <c r="A45" s="147"/>
      <c r="B45" s="147" t="s">
        <v>39</v>
      </c>
      <c r="E45" s="154"/>
      <c r="F45" s="163">
        <f>Input!E9-(Input!E9*(Input!E12/100))</f>
        <v>768</v>
      </c>
      <c r="H45" s="150" t="s">
        <v>242</v>
      </c>
      <c r="J45" s="149"/>
    </row>
    <row r="46" spans="1:10" ht="15.75" x14ac:dyDescent="0.25">
      <c r="A46" s="147"/>
      <c r="E46" s="164" t="s">
        <v>44</v>
      </c>
      <c r="F46" s="165">
        <f>Input!E10</f>
        <v>180</v>
      </c>
      <c r="H46" s="150" t="s">
        <v>247</v>
      </c>
      <c r="J46" s="149"/>
    </row>
    <row r="47" spans="1:10" x14ac:dyDescent="0.2">
      <c r="E47" s="164" t="s">
        <v>37</v>
      </c>
      <c r="F47" s="148">
        <f>F45*F46/100</f>
        <v>1382.4</v>
      </c>
      <c r="H47" s="150" t="s">
        <v>248</v>
      </c>
      <c r="J47" s="149"/>
    </row>
    <row r="48" spans="1:10" x14ac:dyDescent="0.2">
      <c r="E48" s="164" t="s">
        <v>40</v>
      </c>
      <c r="F48" s="166">
        <f>Summary!C24-Summary!C11</f>
        <v>460.27405084661689</v>
      </c>
      <c r="H48" s="146" t="s">
        <v>249</v>
      </c>
      <c r="J48" s="149"/>
    </row>
    <row r="49" spans="2:10" x14ac:dyDescent="0.2">
      <c r="E49" s="167" t="s">
        <v>36</v>
      </c>
      <c r="F49" s="168">
        <f>Input!E7</f>
        <v>480</v>
      </c>
      <c r="G49" s="153"/>
      <c r="H49" s="153" t="s">
        <v>250</v>
      </c>
      <c r="I49" s="153"/>
      <c r="J49" s="149"/>
    </row>
    <row r="50" spans="2:10" ht="15.75" x14ac:dyDescent="0.25">
      <c r="E50" s="164" t="s">
        <v>37</v>
      </c>
      <c r="F50" s="155">
        <f>(F47-F48)/F49</f>
        <v>1.9210957274028817</v>
      </c>
      <c r="H50" s="147" t="s">
        <v>243</v>
      </c>
      <c r="J50" s="149"/>
    </row>
    <row r="51" spans="2:10" ht="15.75" x14ac:dyDescent="0.25">
      <c r="E51" s="164"/>
      <c r="F51" s="148"/>
      <c r="H51" s="147"/>
    </row>
    <row r="52" spans="2:10" ht="15.75" x14ac:dyDescent="0.25">
      <c r="B52" s="147" t="s">
        <v>238</v>
      </c>
      <c r="E52" s="164"/>
      <c r="F52" s="169">
        <f>F45</f>
        <v>768</v>
      </c>
      <c r="H52" s="150" t="s">
        <v>242</v>
      </c>
      <c r="J52" s="149"/>
    </row>
    <row r="53" spans="2:10" x14ac:dyDescent="0.2">
      <c r="E53" s="164" t="s">
        <v>44</v>
      </c>
      <c r="F53" s="148">
        <f>F46</f>
        <v>180</v>
      </c>
      <c r="H53" s="150" t="s">
        <v>247</v>
      </c>
      <c r="J53" s="149"/>
    </row>
    <row r="54" spans="2:10" x14ac:dyDescent="0.2">
      <c r="E54" s="164" t="s">
        <v>37</v>
      </c>
      <c r="F54" s="148">
        <f>F47</f>
        <v>1382.4</v>
      </c>
      <c r="H54" s="150" t="s">
        <v>248</v>
      </c>
      <c r="J54" s="149"/>
    </row>
    <row r="55" spans="2:10" x14ac:dyDescent="0.2">
      <c r="E55" s="164" t="s">
        <v>40</v>
      </c>
      <c r="F55" s="148">
        <f>Summary!C24+Summary!C37-Summary!C11</f>
        <v>538.27405084661689</v>
      </c>
      <c r="H55" s="146" t="s">
        <v>249</v>
      </c>
      <c r="J55" s="149"/>
    </row>
    <row r="56" spans="2:10" x14ac:dyDescent="0.2">
      <c r="E56" s="167" t="s">
        <v>36</v>
      </c>
      <c r="F56" s="170">
        <f>F49</f>
        <v>480</v>
      </c>
      <c r="H56" s="153" t="s">
        <v>250</v>
      </c>
      <c r="J56" s="149"/>
    </row>
    <row r="57" spans="2:10" ht="15.75" x14ac:dyDescent="0.25">
      <c r="E57" s="164" t="s">
        <v>37</v>
      </c>
      <c r="F57" s="155">
        <f>(F54-F55)/F56</f>
        <v>1.7585957274028816</v>
      </c>
      <c r="H57" s="147" t="s">
        <v>243</v>
      </c>
      <c r="J57" s="149"/>
    </row>
    <row r="58" spans="2:10" ht="15.75" x14ac:dyDescent="0.25">
      <c r="E58" s="164"/>
      <c r="F58" s="148"/>
      <c r="H58" s="147"/>
    </row>
    <row r="59" spans="2:10" ht="15.75" x14ac:dyDescent="0.25">
      <c r="B59" s="147" t="s">
        <v>34</v>
      </c>
      <c r="E59" s="154"/>
      <c r="F59" s="163">
        <f>F45</f>
        <v>768</v>
      </c>
      <c r="H59" s="150" t="s">
        <v>242</v>
      </c>
      <c r="J59" s="149"/>
    </row>
    <row r="60" spans="2:10" x14ac:dyDescent="0.2">
      <c r="E60" s="164" t="s">
        <v>44</v>
      </c>
      <c r="F60" s="165">
        <f>F46</f>
        <v>180</v>
      </c>
      <c r="H60" s="150" t="s">
        <v>247</v>
      </c>
      <c r="J60" s="149"/>
    </row>
    <row r="61" spans="2:10" x14ac:dyDescent="0.2">
      <c r="E61" s="164" t="s">
        <v>37</v>
      </c>
      <c r="F61" s="148">
        <f>F59*F60/100</f>
        <v>1382.4</v>
      </c>
      <c r="H61" s="150" t="s">
        <v>248</v>
      </c>
      <c r="J61" s="149"/>
    </row>
    <row r="62" spans="2:10" x14ac:dyDescent="0.2">
      <c r="E62" s="164" t="s">
        <v>40</v>
      </c>
      <c r="F62" s="166">
        <f>Summary!C35-Summary!C11</f>
        <v>498.77405084661689</v>
      </c>
      <c r="H62" s="150" t="s">
        <v>251</v>
      </c>
      <c r="J62" s="149"/>
    </row>
    <row r="63" spans="2:10" x14ac:dyDescent="0.2">
      <c r="E63" s="167" t="s">
        <v>36</v>
      </c>
      <c r="F63" s="168">
        <f>F49</f>
        <v>480</v>
      </c>
      <c r="H63" s="153" t="s">
        <v>250</v>
      </c>
      <c r="J63" s="149"/>
    </row>
    <row r="64" spans="2:10" ht="15.75" x14ac:dyDescent="0.25">
      <c r="E64" s="164" t="s">
        <v>37</v>
      </c>
      <c r="F64" s="155">
        <f>(F61-F62)/F63</f>
        <v>1.8408873940695483</v>
      </c>
      <c r="H64" s="147" t="s">
        <v>243</v>
      </c>
      <c r="J64" s="149"/>
    </row>
    <row r="65" spans="1:17" ht="15.75" x14ac:dyDescent="0.25">
      <c r="E65" s="164"/>
      <c r="F65" s="155"/>
      <c r="H65" s="147"/>
    </row>
    <row r="66" spans="1:17" ht="15.75" x14ac:dyDescent="0.25">
      <c r="B66" s="147" t="s">
        <v>43</v>
      </c>
      <c r="E66" s="154"/>
      <c r="F66" s="163">
        <f>F45</f>
        <v>768</v>
      </c>
      <c r="H66" s="150" t="s">
        <v>242</v>
      </c>
      <c r="J66" s="149"/>
    </row>
    <row r="67" spans="1:17" x14ac:dyDescent="0.2">
      <c r="E67" s="164" t="s">
        <v>44</v>
      </c>
      <c r="F67" s="165">
        <f>F46</f>
        <v>180</v>
      </c>
      <c r="H67" s="150" t="s">
        <v>247</v>
      </c>
      <c r="J67" s="149"/>
    </row>
    <row r="68" spans="1:17" x14ac:dyDescent="0.2">
      <c r="E68" s="164" t="s">
        <v>37</v>
      </c>
      <c r="F68" s="148">
        <f>F66*F67/100</f>
        <v>1382.4</v>
      </c>
      <c r="H68" s="150" t="s">
        <v>248</v>
      </c>
      <c r="J68" s="149"/>
    </row>
    <row r="69" spans="1:17" x14ac:dyDescent="0.2">
      <c r="E69" s="164" t="s">
        <v>40</v>
      </c>
      <c r="F69" s="166">
        <f>Summary!C39-Summary!C11</f>
        <v>576.77405084661689</v>
      </c>
      <c r="H69" s="150" t="s">
        <v>252</v>
      </c>
      <c r="J69" s="149"/>
    </row>
    <row r="70" spans="1:17" x14ac:dyDescent="0.2">
      <c r="E70" s="167" t="s">
        <v>36</v>
      </c>
      <c r="F70" s="168">
        <f>F49</f>
        <v>480</v>
      </c>
      <c r="H70" s="153" t="s">
        <v>250</v>
      </c>
      <c r="J70" s="149"/>
    </row>
    <row r="71" spans="1:17" ht="15.75" x14ac:dyDescent="0.25">
      <c r="E71" s="164" t="s">
        <v>37</v>
      </c>
      <c r="F71" s="155">
        <f>(F68-F69)/F70</f>
        <v>1.6783873940695484</v>
      </c>
      <c r="H71" s="147" t="s">
        <v>243</v>
      </c>
      <c r="J71" s="149"/>
    </row>
    <row r="72" spans="1:17" ht="15.75" x14ac:dyDescent="0.25">
      <c r="E72" s="154"/>
      <c r="F72" s="155"/>
      <c r="H72" s="147"/>
    </row>
    <row r="73" spans="1:17" s="175" customFormat="1" ht="15" customHeight="1" x14ac:dyDescent="0.25">
      <c r="A73" s="171"/>
      <c r="B73" s="172"/>
      <c r="C73" s="172"/>
      <c r="D73" s="172"/>
      <c r="E73" s="173"/>
      <c r="F73" s="155"/>
      <c r="G73" s="173"/>
      <c r="H73" s="173"/>
      <c r="I73" s="172"/>
      <c r="J73" s="174"/>
    </row>
    <row r="74" spans="1:17" s="181" customFormat="1" ht="18" customHeight="1" x14ac:dyDescent="0.25">
      <c r="A74" s="176"/>
      <c r="B74" s="176"/>
      <c r="C74" s="176"/>
      <c r="D74" s="176"/>
      <c r="E74" s="177"/>
      <c r="F74" s="178"/>
      <c r="G74" s="178"/>
      <c r="H74" s="178"/>
      <c r="I74" s="178"/>
      <c r="J74" s="179" t="s">
        <v>339</v>
      </c>
      <c r="K74" s="180"/>
      <c r="O74" s="182"/>
      <c r="P74" s="148"/>
      <c r="Q74" s="148"/>
    </row>
    <row r="75" spans="1:17" s="181" customFormat="1" ht="21" customHeight="1" x14ac:dyDescent="0.2">
      <c r="A75" s="183"/>
      <c r="B75" s="184"/>
      <c r="C75" s="185"/>
      <c r="D75" s="185"/>
      <c r="E75" s="185"/>
      <c r="F75" s="186"/>
      <c r="O75" s="182"/>
      <c r="P75" s="148"/>
      <c r="Q75" s="148"/>
    </row>
    <row r="76" spans="1:17" s="188" customFormat="1" x14ac:dyDescent="0.25">
      <c r="A76" s="187"/>
      <c r="D76" s="189"/>
      <c r="H76" s="189"/>
    </row>
    <row r="77" spans="1:17" s="191" customFormat="1" ht="14.25" x14ac:dyDescent="0.2">
      <c r="A77" s="190"/>
      <c r="D77" s="190"/>
      <c r="H77" s="190"/>
    </row>
    <row r="78" spans="1:17" s="191" customFormat="1" ht="8.1" customHeight="1" x14ac:dyDescent="0.2">
      <c r="E78" s="192"/>
    </row>
  </sheetData>
  <sheetProtection password="C6A6" sheet="1"/>
  <mergeCells count="1">
    <mergeCell ref="A1:J1"/>
  </mergeCells>
  <printOptions horizontalCentered="1"/>
  <pageMargins left="0.74803149606299213" right="0.74803149606299213" top="0.98425196850393704" bottom="0.98425196850393704" header="0.51181102362204722" footer="0.51181102362204722"/>
  <pageSetup scale="87" firstPageNumber="13" orientation="portrait" useFirstPageNumber="1" horizontalDpi="180" r:id="rId1"/>
  <headerFooter scaleWithDoc="0">
    <oddHeader>&amp;L&amp;10Guidelines: Bison Bull Backgrounding Costs&amp;R&amp;10&amp;P</oddHeader>
  </headerFooter>
  <rowBreaks count="1" manualBreakCount="1">
    <brk id="4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923AD4-DEE4-4B28-8D65-ACB9E125A05E}">
  <ds:schemaRefs>
    <ds:schemaRef ds:uri="http://schemas.microsoft.com/sharepoint/v3/contenttype/forms"/>
  </ds:schemaRefs>
</ds:datastoreItem>
</file>

<file path=customXml/itemProps2.xml><?xml version="1.0" encoding="utf-8"?>
<ds:datastoreItem xmlns:ds="http://schemas.openxmlformats.org/officeDocument/2006/customXml" ds:itemID="{27B5B563-D574-4896-8327-A900AC5B5C19}">
  <ds:schemaRefs>
    <ds:schemaRef ds:uri="http://schemas.microsoft.com/office/2006/metadata/longProperties"/>
  </ds:schemaRefs>
</ds:datastoreItem>
</file>

<file path=customXml/itemProps3.xml><?xml version="1.0" encoding="utf-8"?>
<ds:datastoreItem xmlns:ds="http://schemas.openxmlformats.org/officeDocument/2006/customXml" ds:itemID="{B4A1EFA1-1C25-4737-8022-6A99FD236D59}">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D487E3DD-502F-4ABD-9B9B-9B534E4D5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Summary</vt:lpstr>
      <vt:lpstr>Risk Analysis</vt:lpstr>
      <vt:lpstr>Input</vt:lpstr>
      <vt:lpstr>Details</vt:lpstr>
      <vt:lpstr>Breakeven</vt:lpstr>
      <vt:lpstr>Input!Print_Area</vt:lpstr>
      <vt:lpstr>Introduction!Print_Area</vt:lpstr>
      <vt:lpstr>Details!Print_Titles</vt:lpstr>
    </vt:vector>
  </TitlesOfParts>
  <Manager>Peter Blawat, P.Ag.</Manager>
  <Company>Manitoba Agriculture and Food (MAF)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Bison Bull Backgrounding</dc:title>
  <dc:subject>Bison Cost of Production</dc:subject>
  <dc:creator>MAF Staff (MAF)</dc:creator>
  <cp:keywords>Bison, Cost of Production, Economics</cp:keywords>
  <dc:description>A worksheet for calculating on-farm production costs for individual farms.</dc:description>
  <cp:lastModifiedBy>Arnott, Roy (ARD)</cp:lastModifiedBy>
  <cp:lastPrinted>2022-10-18T19:05:04Z</cp:lastPrinted>
  <dcterms:created xsi:type="dcterms:W3CDTF">2000-07-13T20:53:55Z</dcterms:created>
  <dcterms:modified xsi:type="dcterms:W3CDTF">2022-10-18T19:19:02Z</dcterms:modified>
  <cp:category>Bison Cost of Production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TemplateUrl">
    <vt:lpwstr/>
  </property>
  <property fmtid="{D5CDD505-2E9C-101B-9397-08002B2CF9AE}" pid="5" name="xd_ProgID">
    <vt:lpwstr/>
  </property>
  <property fmtid="{D5CDD505-2E9C-101B-9397-08002B2CF9AE}" pid="6" name="ContentTypeId">
    <vt:lpwstr>0x010100ACAADE3355E29C4E95B09CD45679A285</vt:lpwstr>
  </property>
  <property fmtid="{D5CDD505-2E9C-101B-9397-08002B2CF9AE}" pid="7" name="_SourceUrl">
    <vt:lpwstr/>
  </property>
  <property fmtid="{D5CDD505-2E9C-101B-9397-08002B2CF9AE}" pid="8" name="_SharedFileIndex">
    <vt:lpwstr/>
  </property>
</Properties>
</file>