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govmb-my.sharepoint.com/personal/steven_schwartz_gov_mb_ca/Documents/SSchwartz U drive/Families Web Work/CLDS/July 8 2026 - 2/July 9 2026/"/>
    </mc:Choice>
  </mc:AlternateContent>
  <xr:revisionPtr revIDLastSave="0" documentId="8_{C0ECA988-2F86-4E81-8D07-0D333EAEA359}" xr6:coauthVersionLast="47" xr6:coauthVersionMax="47" xr10:uidLastSave="{00000000-0000-0000-0000-000000000000}"/>
  <bookViews>
    <workbookView xWindow="87915" yWindow="3300" windowWidth="27030" windowHeight="13575" xr2:uid="{00000000-000D-0000-FFFF-FFFF00000000}"/>
  </bookViews>
  <sheets>
    <sheet name="ESIL Model" sheetId="7" r:id="rId1"/>
    <sheet name="KEY" sheetId="9" state="hidden" r:id="rId2"/>
  </sheets>
  <definedNames>
    <definedName name="CoreStaffingExceptionList">IF(AND('ESIL Model'!$D$9="Besoins complexes",OR('ESIL Model'!$D$11=3,'ESIL Model'!$D$11=4)),ExceptionEligible,ExceptionNotEligible)</definedName>
    <definedName name="CoreStaffingExceptionsList">IF(AND('ESIL Model'!$D$9="Besoins complexes",OR('ESIL Model'!$D$11=3,'ESIL Model'!$D$11=4)),ExceptionEligible,ExceptionNotEligible)</definedName>
    <definedName name="ExceptionEligible">KEY!$M$3:$M$4</definedName>
    <definedName name="ExceptionNotEligible">KEY!$M$5</definedName>
    <definedName name="_xlnm.Print_Area" localSheetId="0">'ESIL Model'!$B$1:$O$45</definedName>
    <definedName name="Yes_No" localSheetId="0">'ESIL Model'!$J$49:$J$50</definedName>
    <definedName name="Yes_No">#REF!</definedName>
    <definedName name="YesNo" localSheetId="0">'ESIL Model'!$J$49:$J$50</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7" l="1"/>
  <c r="C14" i="7"/>
  <c r="N9" i="7" s="1"/>
  <c r="G9" i="7" l="1"/>
  <c r="M9" i="7"/>
  <c r="L9" i="7"/>
  <c r="K9" i="7"/>
  <c r="J9" i="7"/>
  <c r="I9" i="7"/>
  <c r="H9" i="7"/>
  <c r="G15" i="7" l="1"/>
  <c r="H15" i="7"/>
  <c r="I15" i="7"/>
  <c r="J15" i="7"/>
  <c r="K15" i="7"/>
  <c r="L15" i="7"/>
  <c r="M15" i="7"/>
  <c r="G14" i="7"/>
  <c r="H14" i="7"/>
  <c r="I14" i="7"/>
  <c r="J14" i="7"/>
  <c r="K14" i="7"/>
  <c r="L14" i="7"/>
  <c r="M14" i="7"/>
  <c r="G13" i="7"/>
  <c r="H13" i="7"/>
  <c r="I13" i="7"/>
  <c r="J13" i="7"/>
  <c r="K13" i="7"/>
  <c r="L13" i="7"/>
  <c r="M13" i="7"/>
  <c r="G32" i="7"/>
  <c r="H32" i="7"/>
  <c r="I32" i="7"/>
  <c r="J32" i="7"/>
  <c r="K32" i="7"/>
  <c r="L32" i="7"/>
  <c r="M32" i="7"/>
  <c r="N32" i="7"/>
  <c r="G31" i="7"/>
  <c r="H31" i="7"/>
  <c r="I31" i="7"/>
  <c r="J31" i="7"/>
  <c r="K31" i="7"/>
  <c r="L31" i="7"/>
  <c r="M31" i="7"/>
  <c r="N31" i="7"/>
  <c r="G24" i="7"/>
  <c r="H24" i="7"/>
  <c r="I24" i="7"/>
  <c r="J24" i="7"/>
  <c r="K24" i="7"/>
  <c r="L24" i="7"/>
  <c r="M24" i="7"/>
  <c r="N24" i="7"/>
  <c r="G23" i="7"/>
  <c r="H23" i="7"/>
  <c r="I23" i="7"/>
  <c r="J23" i="7"/>
  <c r="K23" i="7"/>
  <c r="L23" i="7"/>
  <c r="M23" i="7"/>
  <c r="N23" i="7"/>
  <c r="G20" i="7"/>
  <c r="H20" i="7"/>
  <c r="I20" i="7"/>
  <c r="J20" i="7"/>
  <c r="K20" i="7"/>
  <c r="L20" i="7"/>
  <c r="M20" i="7"/>
  <c r="N20" i="7"/>
  <c r="G19" i="7"/>
  <c r="H19" i="7"/>
  <c r="I19" i="7"/>
  <c r="J19" i="7"/>
  <c r="K19" i="7"/>
  <c r="L19" i="7"/>
  <c r="M19" i="7"/>
  <c r="N19" i="7"/>
  <c r="D32" i="7" a="1"/>
  <c r="D32" i="7" s="1"/>
  <c r="D37" i="7" s="1"/>
  <c r="N18" i="7" l="1"/>
  <c r="M18" i="7"/>
  <c r="L18" i="7"/>
  <c r="K18" i="7"/>
  <c r="J18" i="7"/>
  <c r="I18" i="7"/>
  <c r="H18" i="7"/>
  <c r="G18" i="7"/>
  <c r="N26" i="7"/>
  <c r="M38" i="7" l="1"/>
  <c r="L38" i="7"/>
  <c r="K38" i="7"/>
  <c r="J38" i="7"/>
  <c r="I38" i="7"/>
  <c r="H38" i="7"/>
  <c r="G38" i="7"/>
  <c r="R11" i="7" l="1"/>
  <c r="N22" i="7"/>
  <c r="H22" i="7"/>
  <c r="I22" i="7"/>
  <c r="J22" i="7"/>
  <c r="K22" i="7"/>
  <c r="L22" i="7"/>
  <c r="M22" i="7"/>
  <c r="G22" i="7"/>
  <c r="N21" i="7"/>
  <c r="H21" i="7"/>
  <c r="I21" i="7"/>
  <c r="J21" i="7"/>
  <c r="K21" i="7"/>
  <c r="L21" i="7"/>
  <c r="M21" i="7"/>
  <c r="G21" i="7"/>
  <c r="D22" i="7" l="1"/>
  <c r="N25" i="7"/>
  <c r="N27" i="7"/>
  <c r="H26" i="7" l="1"/>
  <c r="I26" i="7"/>
  <c r="J26" i="7"/>
  <c r="K26" i="7"/>
  <c r="L26" i="7"/>
  <c r="M26" i="7"/>
  <c r="H27" i="7"/>
  <c r="I27" i="7"/>
  <c r="J27" i="7"/>
  <c r="K27" i="7"/>
  <c r="L27" i="7"/>
  <c r="M27" i="7"/>
  <c r="G27" i="7"/>
  <c r="G26" i="7"/>
  <c r="I25" i="7"/>
  <c r="J25" i="7"/>
  <c r="K25" i="7"/>
  <c r="L25" i="7"/>
  <c r="M25" i="7"/>
  <c r="G25" i="7"/>
  <c r="K3" i="9" l="1" a="1"/>
  <c r="J3" i="9" a="1"/>
  <c r="J3" i="9" s="1"/>
  <c r="K3" i="9" l="1"/>
  <c r="R15" i="7" l="1"/>
  <c r="R14" i="7"/>
  <c r="R16" i="7"/>
  <c r="R13" i="7"/>
  <c r="R18" i="7" l="1"/>
  <c r="R19" i="7" s="1"/>
  <c r="R20" i="7" s="1"/>
  <c r="R21" i="7" l="1"/>
  <c r="N34" i="7" l="1"/>
  <c r="D23" i="7"/>
  <c r="D36" i="7"/>
  <c r="D38" i="7" s="1"/>
  <c r="L12" i="7"/>
  <c r="M12" i="7"/>
  <c r="H12" i="7"/>
  <c r="J12" i="7"/>
  <c r="G12" i="7"/>
  <c r="K12" i="7"/>
  <c r="I12" i="7"/>
  <c r="M34" i="7" l="1"/>
  <c r="J34" i="7"/>
  <c r="K34" i="7"/>
  <c r="I34" i="7"/>
  <c r="L34" i="7"/>
  <c r="H34" i="7"/>
  <c r="N42" i="7"/>
  <c r="N40" i="7"/>
  <c r="N36" i="7"/>
  <c r="G34" i="7"/>
  <c r="D33" i="7" s="1" a="1"/>
  <c r="D33" i="7" s="1"/>
  <c r="H40" i="7" l="1"/>
  <c r="L40" i="7"/>
  <c r="I36" i="7"/>
  <c r="K42" i="7"/>
  <c r="J40" i="7"/>
  <c r="M40" i="7"/>
  <c r="D39" i="7"/>
  <c r="D40" i="7" s="1"/>
  <c r="J36" i="7"/>
  <c r="J42" i="7"/>
  <c r="M36" i="7"/>
  <c r="M42" i="7"/>
  <c r="I40" i="7"/>
  <c r="I42" i="7"/>
  <c r="L36" i="7"/>
  <c r="L42" i="7"/>
  <c r="K36" i="7"/>
  <c r="K40" i="7"/>
  <c r="H36" i="7"/>
  <c r="H42" i="7"/>
  <c r="G42" i="7"/>
  <c r="G40" i="7"/>
  <c r="G3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 de Weetering, Jantje</author>
  </authors>
  <commentList>
    <comment ref="D9" authorId="0" shapeId="0" xr:uid="{363152DD-2907-45E0-B36E-6E912363FE74}">
      <text>
        <r>
          <rPr>
            <b/>
            <sz val="9"/>
            <color indexed="81"/>
            <rFont val="Tahoma"/>
            <family val="2"/>
          </rPr>
          <t>Volet des besoins usuels de l’aide accrue à la vie autonome</t>
        </r>
        <r>
          <rPr>
            <sz val="9"/>
            <color indexed="81"/>
            <rFont val="Tahoma"/>
            <family val="2"/>
          </rPr>
          <t xml:space="preserve"> : Destiné aux personnes qui, autrement, seraient aiguillées vers des services d’aide à la vie autonome, mais qui ont besoin d’un soutien supplémentaire pour maintenir leur autonomie actuelle ou faire la transition vers une plus grande autonomie dans la collectivité.  Il peut s’agir de personnes en transition depuis le système de services à l’enfant et à la famille ou les soins en établissement, ainsi que de personnes qui connaissent un déclin de leurs capacités fonctionnelles lié à l’âge ou à un handicap augmentant leurs besoins en matière de soutien.
</t>
        </r>
        <r>
          <rPr>
            <b/>
            <sz val="9"/>
            <color indexed="81"/>
            <rFont val="Tahoma"/>
            <family val="2"/>
          </rPr>
          <t>Volet des besoins complexes de l’aide accrue à la vie autonome</t>
        </r>
        <r>
          <rPr>
            <sz val="9"/>
            <color indexed="81"/>
            <rFont val="Tahoma"/>
            <family val="2"/>
          </rPr>
          <t xml:space="preserve"> : Destiné aux personnes dont la sécurité, le niveau de risque ou la vulnérabilité ne peuvent pas être pris en charge efficacement par le volet des besoins usuels de l’aide accrue à la vie autonome.  Cela peut comprendre des personnes pour lesquelles il existe des préoccupations en matière de sécurité, qui ont des démêlés avec la justice ou qui présentent un risque accru d’exploitation.
Veuillez également vous référer à la définition des services d’aide accrue à la vie autonome du Programme des services d’intégration communautaire des personnes handicapées. </t>
        </r>
        <r>
          <rPr>
            <b/>
            <sz val="9"/>
            <color indexed="81"/>
            <rFont val="Tahoma"/>
            <family val="2"/>
          </rPr>
          <t xml:space="preserve">
</t>
        </r>
      </text>
    </comment>
    <comment ref="D31" authorId="0" shapeId="0" xr:uid="{E9592502-56EC-45EF-90A7-BDCA044726CC}">
      <text>
        <r>
          <rPr>
            <b/>
            <sz val="9"/>
            <color indexed="81"/>
            <rFont val="Tahoma"/>
            <family val="2"/>
          </rPr>
          <t xml:space="preserve">Remarque : </t>
        </r>
        <r>
          <rPr>
            <sz val="9"/>
            <color indexed="81"/>
            <rFont val="Tahoma"/>
            <family val="2"/>
          </rPr>
          <t xml:space="preserve">Si vous choisissez « Pas connu », le niveau de soutien personnel par défaut sera de 1. Si une personne ne s’est pas vue assigner un niveau de soutien personnel, mais reçoit actuellement un soutien au-dessus du niveau 1, veuillez indiquer le niveau de soutien qui correspond à ce qu’elle reçoit.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<sst xmlns="http://schemas.openxmlformats.org/spreadsheetml/2006/main" count="622" uniqueCount="223">
  <si>
    <t>Services d’intégration communautaire des personnes handicapées – MODÈLE DE FINANCEMENT DES SERVICES D’AIDE ACCRUE À LA VIE AUTONOME</t>
  </si>
  <si>
    <t>Nom de l’organisme :</t>
  </si>
  <si>
    <t>Emplacement ou adresse :</t>
  </si>
  <si>
    <t>Exercice :</t>
  </si>
  <si>
    <t>Détails</t>
  </si>
  <si>
    <t>Taux individuel selon le niveau de soutien personnel</t>
  </si>
  <si>
    <t>Niveau 1</t>
  </si>
  <si>
    <t>Niveau 2</t>
  </si>
  <si>
    <t>Niveau 3</t>
  </si>
  <si>
    <t>Niveau 4</t>
  </si>
  <si>
    <t>Niveau 5</t>
  </si>
  <si>
    <t>Niveau 6</t>
  </si>
  <si>
    <t>Niveau 7</t>
  </si>
  <si>
    <t>Lit vacant</t>
  </si>
  <si>
    <t>Ressources de financement</t>
  </si>
  <si>
    <t>Volet de l’aide accrue à la vie autonome</t>
  </si>
  <si>
    <t>Soutien à la dotation en personnel de base</t>
  </si>
  <si>
    <t>Coûts du soutien</t>
  </si>
  <si>
    <t>Salaire horaire des travailleurs de soutien de première ligne – Volet des besoins usuels</t>
  </si>
  <si>
    <r>
      <t>N</t>
    </r>
    <r>
      <rPr>
        <b/>
        <vertAlign val="superscript"/>
        <sz val="11"/>
        <color rgb="FF1F1F1F"/>
        <rFont val="Calibri"/>
        <family val="2"/>
        <scheme val="minor"/>
      </rPr>
      <t>bre</t>
    </r>
    <r>
      <rPr>
        <b/>
        <sz val="11"/>
        <color rgb="FF1F1F1F"/>
        <rFont val="Calibri"/>
        <family val="2"/>
        <scheme val="minor"/>
      </rPr>
      <t xml:space="preserve"> de lits</t>
    </r>
  </si>
  <si>
    <t>Heures de soutien individualisé par semaine</t>
  </si>
  <si>
    <t>Avantages sociaux (charges sociales obligatoires de l’employeur)</t>
  </si>
  <si>
    <t xml:space="preserve">Coûts du soutien individualisé </t>
  </si>
  <si>
    <t>Modèle de dotation en personnel de base</t>
  </si>
  <si>
    <t>Kilométrage – Milieu urbain</t>
  </si>
  <si>
    <t>Congés (l’équivalent de 3 semaines)</t>
  </si>
  <si>
    <t>Kilométrage – Milieu rural</t>
  </si>
  <si>
    <t>Congés de maladie (6 jours par année)</t>
  </si>
  <si>
    <t>Kilométrage – Nord</t>
  </si>
  <si>
    <t>Formation annuelle (3 jours)</t>
  </si>
  <si>
    <t>Jours fériés – (13 jours x 1,5)</t>
  </si>
  <si>
    <t>Région</t>
  </si>
  <si>
    <t>Milieu urbain</t>
  </si>
  <si>
    <t>Coûts d’exploitation</t>
  </si>
  <si>
    <t>Unité du personnel – Loyer et services publics</t>
  </si>
  <si>
    <t>Congés (personnel de remplacement)</t>
  </si>
  <si>
    <t>Unité de personnel sur place?</t>
  </si>
  <si>
    <t>Oui</t>
  </si>
  <si>
    <t>Entretien et réparation – Volet des besoins usuels</t>
  </si>
  <si>
    <t>Avantages sociaux du personnel de remplacement (charges sociales obligatoires de l’employeur)</t>
  </si>
  <si>
    <t>Entretien et réparation – Volet des besoins complexes</t>
  </si>
  <si>
    <t>Total des avantages sociaux</t>
  </si>
  <si>
    <t>LIT VACANT</t>
  </si>
  <si>
    <t>Téléphone et Internet pour le personnel (3-4 lits)</t>
  </si>
  <si>
    <t>Coût par heure de soutien</t>
  </si>
  <si>
    <t>Par jour</t>
  </si>
  <si>
    <t>Téléphone et Internet pour le personnel (5 lits et plus)</t>
  </si>
  <si>
    <t>Financement sous 30 jours</t>
  </si>
  <si>
    <t>Sécurité/Surveillance –Volet des besoins usuels</t>
  </si>
  <si>
    <t>Le financement des places vacantes pour l’aide accrue à la vie autonome ne peut être accordé que pour une période maximale de 30 jours ou jusqu’à ce que la place soit comblée, selon la première éventualité.</t>
  </si>
  <si>
    <t>Sécurité/Surveillance – Volet des besoins complexes</t>
  </si>
  <si>
    <t xml:space="preserve">Produits de nettoyage </t>
  </si>
  <si>
    <t>Indemnité journalière</t>
  </si>
  <si>
    <t>Repas du personnel</t>
  </si>
  <si>
    <t>Unité de personnel – Loyer et services publics</t>
  </si>
  <si>
    <t>Emplacement</t>
  </si>
  <si>
    <t>DEMANDES DE DÉROGATION</t>
  </si>
  <si>
    <t>Activités du programme</t>
  </si>
  <si>
    <t>Lit</t>
  </si>
  <si>
    <t>Dérogation relative aux effectifs de base sur 24 heures</t>
  </si>
  <si>
    <t>Non</t>
  </si>
  <si>
    <t>Admin.</t>
  </si>
  <si>
    <t xml:space="preserve"> Heures de soutien individualisé</t>
  </si>
  <si>
    <t>Niveau de soutien personnel</t>
  </si>
  <si>
    <t>Soutien pour l’aide accrue à la vie autonome - Volet des besoins usuels</t>
  </si>
  <si>
    <t>Heures de soutien actuelles</t>
  </si>
  <si>
    <t>Soutien pour l’aide accrue à la vie autonome - Volet des besoins complexes</t>
  </si>
  <si>
    <t xml:space="preserve">Directive sur les indemnités journalières </t>
  </si>
  <si>
    <t>Total – Indemnité quotidienne</t>
  </si>
  <si>
    <r>
      <t>N</t>
    </r>
    <r>
      <rPr>
        <vertAlign val="superscript"/>
        <sz val="11"/>
        <color rgb="FF1F1F1F"/>
        <rFont val="Calibri"/>
        <family val="2"/>
        <scheme val="minor"/>
      </rPr>
      <t>bre</t>
    </r>
    <r>
      <rPr>
        <sz val="11"/>
        <color rgb="FF1F1F1F"/>
        <rFont val="Calibri"/>
        <family val="2"/>
        <scheme val="minor"/>
      </rPr>
      <t xml:space="preserve"> d’heures supplémentaires demandées</t>
    </r>
  </si>
  <si>
    <t>Coûts de dotation en personnel supplémentaires</t>
  </si>
  <si>
    <t>Dépenses annuelles des Services d’intégration communautaire des personnes handicapées</t>
  </si>
  <si>
    <t>Kilométrage supplémentaire</t>
  </si>
  <si>
    <t>Total des indemnités journalières supplémentaires</t>
  </si>
  <si>
    <t>Plus : Tarif du loyer privé du Programme manitobain de soutien pour personne handicapée (780 $/mois)</t>
  </si>
  <si>
    <t>Total des NOUVELLES indemnités journalières</t>
  </si>
  <si>
    <t>Coûts kilométriques</t>
  </si>
  <si>
    <t>Coût total annualisé</t>
  </si>
  <si>
    <t>Taux d’indemnité quotidienne nette</t>
  </si>
  <si>
    <t>Les demandes de dérogation se limitent aux heures de soutien individualisé et aux demandes de personnel de base présent 24 heures sur 24 pour le volet des besoins complexes de l’aide accrue à la vie autonome dans les logements de 3 et 4 lits uniquement. Toutes les demandes de dérogation doivent être approuvées par le Comité d’examen des dérogations.</t>
  </si>
  <si>
    <t>par quart de travail</t>
  </si>
  <si>
    <t>Revenus annuels des fournisseurs de services</t>
  </si>
  <si>
    <t>Milieu rural</t>
  </si>
  <si>
    <t>km par quart de travail</t>
  </si>
  <si>
    <t>par km</t>
  </si>
  <si>
    <t>Nord</t>
  </si>
  <si>
    <t>Rajustement</t>
  </si>
  <si>
    <t>24 hr exceptions</t>
  </si>
  <si>
    <t>esil1</t>
  </si>
  <si>
    <t>Agency List - Delivering Residential Services</t>
  </si>
  <si>
    <t>ESILSTREAM</t>
  </si>
  <si>
    <t>UnitSize</t>
  </si>
  <si>
    <t>CoreStaffing</t>
  </si>
  <si>
    <t>Staffing costs</t>
  </si>
  <si>
    <t>ESIL Stream</t>
  </si>
  <si>
    <t>Unit Size</t>
  </si>
  <si>
    <t>Core Staffing</t>
  </si>
  <si>
    <t>PROGRAM SUPPORT - Per Diem</t>
  </si>
  <si>
    <t>Fiscal Year</t>
  </si>
  <si>
    <t>ARCANE HORIZON INC.</t>
  </si>
  <si>
    <t>SBL</t>
  </si>
  <si>
    <t>VB</t>
  </si>
  <si>
    <t>2024/25</t>
  </si>
  <si>
    <t>ASPEN WINDS - VENTS DE TREMBLE</t>
  </si>
  <si>
    <t>2025/26</t>
  </si>
  <si>
    <t>ASSOCIATION FOR COMMUNITY LIVING (ACL) - BEAUSEJOUR</t>
  </si>
  <si>
    <t>2026/27</t>
  </si>
  <si>
    <t>ASSOCIATION FOR COMMUNITY LIVING (ACL) - INTERLAKE</t>
  </si>
  <si>
    <t>2027/28</t>
  </si>
  <si>
    <t>ASSOCIATION FOR COMMUNITY LIVING (ACL) - PORTAGE LA PRAIRIE</t>
  </si>
  <si>
    <t>Rural</t>
  </si>
  <si>
    <t>2028/29</t>
  </si>
  <si>
    <t>ASSOCIATION FOR COMMUNITY LIVING (ACL) - STEINBACH</t>
  </si>
  <si>
    <t>2029/30</t>
  </si>
  <si>
    <t>ASSOCIATION FOR COMMUNITY LIVING (ACL) - SWAN RIVER</t>
  </si>
  <si>
    <t>2030/31</t>
  </si>
  <si>
    <t>ASSOCIATION FOR COMMUNITY LIVING (ACL) - VIRDEN</t>
  </si>
  <si>
    <t>2031/32</t>
  </si>
  <si>
    <t>BLUE SKY OPPORTUNITIES INC.</t>
  </si>
  <si>
    <t>2032/33</t>
  </si>
  <si>
    <t>BRANDON COMMUNITY OPTIONS INC. (BCO)</t>
  </si>
  <si>
    <t>2033/34</t>
  </si>
  <si>
    <t>BRANDON SUPPORT SERVICES</t>
  </si>
  <si>
    <t>COMMUNITY BRIDGES GIMLI</t>
  </si>
  <si>
    <t>COMMUNITY VENTURE</t>
  </si>
  <si>
    <t>CORNERSTONE CHRISTIAN CARE SOCIETY INC.</t>
  </si>
  <si>
    <t>D A S C H INC.</t>
  </si>
  <si>
    <t>DOVE HOMES</t>
  </si>
  <si>
    <t>Total Annual Hours</t>
  </si>
  <si>
    <t>EL'DAD RANCH MCC (MAN)/ INITIATIVES FOR JUST COMMUNITIES</t>
  </si>
  <si>
    <t>FTEs</t>
  </si>
  <si>
    <t>EPIC DE ST. MALO INC./SMILE OF ST. MALO INC.</t>
  </si>
  <si>
    <t>Staffing schedule e.g.</t>
  </si>
  <si>
    <t>0,1,1</t>
  </si>
  <si>
    <t>1,1,1</t>
  </si>
  <si>
    <t>1,2,1</t>
  </si>
  <si>
    <t>2,2,1</t>
  </si>
  <si>
    <t>2,2,2</t>
  </si>
  <si>
    <t>2,3,2</t>
  </si>
  <si>
    <t>3,3,2</t>
  </si>
  <si>
    <t>3,3,3</t>
  </si>
  <si>
    <t>3,4,3</t>
  </si>
  <si>
    <t>4,4,3</t>
  </si>
  <si>
    <t>4,4,4</t>
  </si>
  <si>
    <t>EPIC OPPORTUNITIES</t>
  </si>
  <si>
    <t>ESSENTIAL LIVING ASSISTANCE SERVICES INC.</t>
  </si>
  <si>
    <t>FAIRFAX COMMUNITY RESOURCES INC.</t>
  </si>
  <si>
    <t>FAMILY VISIONS INC.</t>
  </si>
  <si>
    <t>FRONTIER TRADING COMPANY INC.</t>
  </si>
  <si>
    <t>GAINING RESOURCES OUR WAY (GROW)</t>
  </si>
  <si>
    <t>GATEWAY RESOURCES INC.</t>
  </si>
  <si>
    <t>GRANDVIEW GATEWAYS INC.</t>
  </si>
  <si>
    <t>HEARTHSTONE COMMUNITY GROUP</t>
  </si>
  <si>
    <t>INAADIZIWIN COMMUNITY CONNECTIONS INC.</t>
  </si>
  <si>
    <t>INCLUSION SELKIRK</t>
  </si>
  <si>
    <t>INDEPENDENT LIVING RESOURCE CENTRE INC. (ILRC)</t>
  </si>
  <si>
    <t>INNOVATIVE LIFE OPTIONS INC.</t>
  </si>
  <si>
    <t>JUNIPER CENTRE INC.</t>
  </si>
  <si>
    <t>KIN GLEN GROUP HOME</t>
  </si>
  <si>
    <t>L'ARCH WINNIPEG INC.</t>
  </si>
  <si>
    <t>L'AVENIR CO-OPERATIVE INC.</t>
  </si>
  <si>
    <t>LIFE'S JOURNEY INC.</t>
  </si>
  <si>
    <t>LINK YOUTH AND FAMILY SUPPORTS</t>
  </si>
  <si>
    <t>M B S - MAITLAND B. STEINKOPF RESIDENCE INC.</t>
  </si>
  <si>
    <t>MARYMOUND INC.</t>
  </si>
  <si>
    <t>NEW DIRECTIONS FOR CHILDREN YOUTH ADULTS AND FAMILIES INC.</t>
  </si>
  <si>
    <t>NORMAN COMMUNITY SERVICES INC.</t>
  </si>
  <si>
    <t>NORSHEL RESIDENTIAL INC.</t>
  </si>
  <si>
    <t>OPPORTUNITIES FOR INDEPENDENCE INC.</t>
  </si>
  <si>
    <t>OSHKI-GIIZHIG INC.</t>
  </si>
  <si>
    <t>PARKLAND REGIONAL COMMUNITY LINC. INC.</t>
  </si>
  <si>
    <t>PARKLAND RESIDENTIAL &amp; VOCATIONAL SERVICES INC. (PRVSI)</t>
  </si>
  <si>
    <t>PRAIRIE PARTNERS INC.</t>
  </si>
  <si>
    <t>PRAIRIE PLACES INC.</t>
  </si>
  <si>
    <t>PULFORD COMMUNITY LIVING SERVICES INC.</t>
  </si>
  <si>
    <t>REGIONAL OCCUPATIONAL SERVICE ENTERPRISES INC. (ROSE)</t>
  </si>
  <si>
    <t>RIVERDALE PLACE HOMES INC.</t>
  </si>
  <si>
    <t>RIVERSIDE COMMUNITY RESIDENCE INC.</t>
  </si>
  <si>
    <t>ROLLING DALE ENTERPRISES INC.</t>
  </si>
  <si>
    <t>S P I K E INC.</t>
  </si>
  <si>
    <t>SAMTAK CO-OP INC.</t>
  </si>
  <si>
    <t>SHALOM RESIDENCES INC.</t>
  </si>
  <si>
    <t>SIMARIL INC.</t>
  </si>
  <si>
    <t>SOMERSET VILLA INC.</t>
  </si>
  <si>
    <t>SOUTHWEST COMMUITY OPTIONS INC.</t>
  </si>
  <si>
    <t>ST.AMANT CENTRE INC.</t>
  </si>
  <si>
    <t>TOUCHWOOD PARK ASSOCIATION INC.</t>
  </si>
  <si>
    <t>TRAILBLAZERS LIFE CHOICES INC.</t>
  </si>
  <si>
    <t>TRANSCONA SPRINGFIELD EMPLOYMENT NETWORK (TSEN)</t>
  </si>
  <si>
    <t>TURNING LEAF COMMUNITY SUPPORT SERVICES INC.</t>
  </si>
  <si>
    <t>VISIONS OF INDEPENDENCE INC. (VOI)</t>
  </si>
  <si>
    <t>W A S O INC.</t>
  </si>
  <si>
    <t>WINGS OF POWER INC.</t>
  </si>
  <si>
    <t>WINNIPEGOSIS &amp; DISTRICT RESIDENTIAL SERVICES INC.</t>
  </si>
  <si>
    <t>WINNSERV INC.</t>
  </si>
  <si>
    <t>16 heures</t>
  </si>
  <si>
    <t>24 heures</t>
  </si>
  <si>
    <t>32 heures</t>
  </si>
  <si>
    <t>16heures</t>
  </si>
  <si>
    <t>24heures</t>
  </si>
  <si>
    <t>32heures</t>
  </si>
  <si>
    <t>40heures</t>
  </si>
  <si>
    <t>48heures</t>
  </si>
  <si>
    <t>56heures</t>
  </si>
  <si>
    <t>64heures</t>
  </si>
  <si>
    <t>72heures</t>
  </si>
  <si>
    <t>80heures</t>
  </si>
  <si>
    <t>88heures</t>
  </si>
  <si>
    <t>96heures</t>
  </si>
  <si>
    <t>40 heures</t>
  </si>
  <si>
    <t>48 heures</t>
  </si>
  <si>
    <t>56 heures</t>
  </si>
  <si>
    <t>64 heures</t>
  </si>
  <si>
    <t>72 heures</t>
  </si>
  <si>
    <t>80 heures</t>
  </si>
  <si>
    <t>88 heures</t>
  </si>
  <si>
    <t>96 heures</t>
  </si>
  <si>
    <t>Pas connu</t>
  </si>
  <si>
    <t>Besoins complexes</t>
  </si>
  <si>
    <t>Besoins usuels</t>
  </si>
  <si>
    <t>Besoins usuels ESIL</t>
  </si>
  <si>
    <t>Besoins complexes ESIL</t>
  </si>
  <si>
    <t>Urbain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</si>
</sst>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0.0000"/>
    <numFmt numFmtId="166" formatCode="_(* #,##0.00_);_(* \(#,##0.00\);_(* &quot;-&quot;??_);_(@_)"/>
    <numFmt numFmtId="167" formatCode="#,##0.00\ [$-C0C]&quot;$&quot;"/>
  </numFmts>
  <fonts count="17"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sz val="11"/>
      <color rgb="FF1F1F1F"/>
      <name val="Calibri"/>
      <family val="2"/>
      <scheme val="minor"/>
    </font>
    <font>
      <b/>
      <u/>
      <sz val="11"/>
      <color rgb="FF1F1F1F"/>
      <name val="Calibri"/>
      <family val="2"/>
      <scheme val="minor"/>
    </font>
    <font>
      <b/>
      <sz val="14"/>
      <color rgb="FF1F1F1F"/>
      <name val="Calibri"/>
      <family val="2"/>
      <scheme val="minor"/>
    </font>
    <font>
      <sz val="11"/>
      <color rgb="FF1F1F1F"/>
      <name val="Calibri"/>
      <family val="2"/>
      <scheme val="minor"/>
    </font>
    <font>
      <b/>
      <sz val="11"/>
      <color rgb="FF0066CC"/>
      <name val="Calibri"/>
      <family val="2"/>
      <scheme val="minor"/>
    </font>
    <font>
      <sz val="9"/>
      <color indexed="81"/>
      <name val="Tahoma"/>
      <family val="2"/>
    </font>
    <font>
      <b/>
      <sz val="9"/>
      <color indexed="81"/>
      <name val="Tahoma"/>
      <family val="2"/>
    </font>
    <font>
      <sz val="8"/>
      <name val="Calibri"/>
      <family val="2"/>
      <scheme val="minor"/>
    </font>
    <font>
      <sz val="11"/>
      <color rgb="FF000000"/>
      <name val="Calibri"/>
      <family val="2"/>
      <scheme val="minor"/>
    </font>
    <font>
      <b/>
      <sz val="11"/>
      <color rgb="FF000000"/>
      <name val="Calibri"/>
      <family val="2"/>
      <scheme val="minor"/>
    </font>
    <font>
      <b/>
      <vertAlign val="superscript"/>
      <sz val="11"/>
      <color rgb="FF1F1F1F"/>
      <name val="Calibri"/>
      <family val="2"/>
      <scheme val="minor"/>
    </font>
    <font>
      <vertAlign val="superscript"/>
      <sz val="11"/>
      <color rgb="FF1F1F1F"/>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rgb="FFE2EFDA"/>
        <bgColor indexed="64"/>
      </patternFill>
    </fill>
    <fill>
      <patternFill patternType="solid">
        <fgColor rgb="FFBDD7EE"/>
        <bgColor indexed="64"/>
      </patternFill>
    </fill>
    <fill>
      <patternFill patternType="solid">
        <fgColor theme="0" tint="-4.9989318521683403E-2"/>
        <bgColor indexed="64"/>
      </patternFill>
    </fill>
    <fill>
      <patternFill patternType="solid">
        <fgColor rgb="FFFFE6CD"/>
        <bgColor indexed="64"/>
      </patternFill>
    </fill>
    <fill>
      <patternFill patternType="solid">
        <fgColor rgb="FF92D050"/>
        <bgColor indexed="64"/>
      </patternFill>
    </fill>
    <fill>
      <patternFill patternType="solid">
        <fgColor rgb="FFFDE9D9"/>
        <bgColor indexed="64"/>
      </patternFill>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rgb="FFD9D9D9"/>
      </right>
      <top style="thin">
        <color indexed="64"/>
      </top>
      <bottom style="thin">
        <color indexed="64"/>
      </bottom>
      <diagonal/>
    </border>
    <border>
      <left style="thin">
        <color rgb="FFD9D9D9"/>
      </left>
      <right style="thin">
        <color rgb="FFD9D9D9"/>
      </right>
      <top style="thin">
        <color indexed="64"/>
      </top>
      <bottom style="thin">
        <color indexed="64"/>
      </bottom>
      <diagonal/>
    </border>
    <border>
      <left style="thin">
        <color rgb="FFD9D9D9"/>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8">
    <xf numFmtId="0" fontId="0" fillId="0" borderId="0" xfId="0"/>
    <xf numFmtId="165" fontId="0" fillId="0" borderId="0" xfId="0" applyNumberFormat="1"/>
    <xf numFmtId="0" fontId="0" fillId="0" borderId="3" xfId="2" applyNumberFormat="1" applyFont="1" applyBorder="1" applyAlignment="1">
      <alignment horizontal="center"/>
    </xf>
    <xf numFmtId="0" fontId="0" fillId="0" borderId="0" xfId="0" applyAlignment="1">
      <alignment wrapText="1"/>
    </xf>
    <xf numFmtId="0" fontId="5" fillId="2" borderId="1" xfId="1" applyNumberFormat="1" applyFont="1" applyFill="1" applyBorder="1" applyAlignment="1" applyProtection="1">
      <alignment horizontal="center" wrapText="1"/>
      <protection locked="0"/>
    </xf>
    <xf numFmtId="10" fontId="0" fillId="9" borderId="0" xfId="0" applyNumberFormat="1" applyFill="1" applyAlignment="1">
      <alignment wrapText="1"/>
    </xf>
    <xf numFmtId="2" fontId="5" fillId="2" borderId="26" xfId="2" applyNumberFormat="1" applyFont="1" applyFill="1" applyBorder="1" applyAlignment="1" applyProtection="1">
      <alignment horizontal="center" wrapText="1"/>
      <protection locked="0"/>
    </xf>
    <xf numFmtId="9" fontId="0" fillId="9" borderId="0" xfId="0" applyNumberFormat="1" applyFill="1" applyAlignment="1">
      <alignment wrapText="1"/>
    </xf>
    <xf numFmtId="10" fontId="5" fillId="2" borderId="1" xfId="2" applyNumberFormat="1" applyFont="1" applyFill="1" applyBorder="1" applyAlignment="1" applyProtection="1">
      <alignment wrapText="1"/>
      <protection locked="0"/>
    </xf>
    <xf numFmtId="10" fontId="4" fillId="9" borderId="0" xfId="0" applyNumberFormat="1" applyFont="1" applyFill="1" applyAlignment="1">
      <alignment wrapText="1"/>
    </xf>
    <xf numFmtId="164" fontId="2" fillId="9" borderId="18" xfId="3" applyNumberFormat="1" applyFont="1" applyFill="1" applyBorder="1" applyAlignment="1">
      <alignment wrapText="1"/>
    </xf>
    <xf numFmtId="44" fontId="0" fillId="0" borderId="0" xfId="0" applyNumberFormat="1" applyAlignment="1">
      <alignment wrapText="1"/>
    </xf>
    <xf numFmtId="0" fontId="5" fillId="6" borderId="18" xfId="0" applyFont="1" applyFill="1" applyBorder="1" applyAlignment="1">
      <alignment horizontal="center" wrapText="1"/>
    </xf>
    <xf numFmtId="0" fontId="5" fillId="6" borderId="5" xfId="0" applyFont="1" applyFill="1" applyBorder="1" applyAlignment="1">
      <alignment horizontal="center" wrapText="1"/>
    </xf>
    <xf numFmtId="0" fontId="5" fillId="6" borderId="10" xfId="0" applyFont="1" applyFill="1" applyBorder="1" applyAlignment="1">
      <alignment horizontal="center" wrapText="1"/>
    </xf>
    <xf numFmtId="0" fontId="2" fillId="0" borderId="4" xfId="0" applyFont="1" applyBorder="1" applyAlignment="1">
      <alignment wrapText="1"/>
    </xf>
    <xf numFmtId="0" fontId="2" fillId="0" borderId="0" xfId="0" applyFont="1" applyAlignment="1">
      <alignment horizontal="center" wrapText="1"/>
    </xf>
    <xf numFmtId="0" fontId="6" fillId="6" borderId="15" xfId="0" applyFont="1" applyFill="1" applyBorder="1" applyAlignment="1">
      <alignment horizontal="left" vertical="center" wrapText="1"/>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3" fillId="7" borderId="8" xfId="0" applyFont="1" applyFill="1" applyBorder="1" applyAlignment="1">
      <alignment wrapText="1"/>
    </xf>
    <xf numFmtId="0" fontId="3" fillId="7" borderId="0" xfId="0" applyFont="1" applyFill="1" applyAlignment="1">
      <alignment horizontal="center" wrapText="1"/>
    </xf>
    <xf numFmtId="0" fontId="3" fillId="4" borderId="5" xfId="0" applyFont="1" applyFill="1" applyBorder="1" applyAlignment="1">
      <alignment horizontal="center" wrapText="1"/>
    </xf>
    <xf numFmtId="0" fontId="5" fillId="0" borderId="0" xfId="0" applyFont="1" applyAlignment="1">
      <alignment wrapText="1"/>
    </xf>
    <xf numFmtId="0" fontId="9" fillId="0" borderId="0" xfId="0" applyFont="1" applyAlignment="1">
      <alignment horizontal="center" wrapText="1"/>
    </xf>
    <xf numFmtId="0" fontId="0" fillId="7" borderId="8" xfId="0" applyFill="1" applyBorder="1" applyAlignment="1">
      <alignment wrapText="1"/>
    </xf>
    <xf numFmtId="0" fontId="2" fillId="0" borderId="0" xfId="0" applyFont="1" applyAlignment="1">
      <alignment wrapText="1"/>
    </xf>
    <xf numFmtId="0" fontId="0" fillId="7" borderId="0" xfId="0" applyFill="1" applyAlignment="1">
      <alignment wrapText="1"/>
    </xf>
    <xf numFmtId="0" fontId="0" fillId="4" borderId="5" xfId="0" applyFill="1" applyBorder="1" applyAlignment="1">
      <alignment wrapText="1"/>
    </xf>
    <xf numFmtId="0" fontId="0" fillId="9" borderId="8" xfId="0" applyFill="1" applyBorder="1" applyAlignment="1">
      <alignment wrapText="1"/>
    </xf>
    <xf numFmtId="0" fontId="0" fillId="9" borderId="0" xfId="0" applyFill="1" applyAlignment="1">
      <alignment wrapText="1"/>
    </xf>
    <xf numFmtId="0" fontId="2" fillId="7" borderId="8" xfId="0" applyFont="1" applyFill="1" applyBorder="1" applyAlignment="1">
      <alignment wrapText="1"/>
    </xf>
    <xf numFmtId="166" fontId="0" fillId="6" borderId="12" xfId="3" applyNumberFormat="1" applyFont="1" applyFill="1" applyBorder="1" applyAlignment="1">
      <alignment wrapText="1"/>
    </xf>
    <xf numFmtId="166" fontId="0" fillId="6" borderId="19" xfId="3" applyNumberFormat="1" applyFont="1" applyFill="1" applyBorder="1" applyAlignment="1">
      <alignment wrapText="1"/>
    </xf>
    <xf numFmtId="166" fontId="0" fillId="4" borderId="5" xfId="3" applyNumberFormat="1" applyFont="1" applyFill="1" applyBorder="1" applyAlignment="1">
      <alignment wrapText="1"/>
    </xf>
    <xf numFmtId="0" fontId="0" fillId="9" borderId="9" xfId="0" applyFill="1" applyBorder="1" applyAlignment="1">
      <alignment wrapText="1"/>
    </xf>
    <xf numFmtId="0" fontId="4" fillId="9" borderId="8" xfId="0" applyFont="1" applyFill="1" applyBorder="1" applyAlignment="1">
      <alignment wrapText="1"/>
    </xf>
    <xf numFmtId="0" fontId="2" fillId="9" borderId="14" xfId="0" applyFont="1" applyFill="1" applyBorder="1" applyAlignment="1">
      <alignment wrapText="1"/>
    </xf>
    <xf numFmtId="0" fontId="0" fillId="9" borderId="4" xfId="0" applyFill="1" applyBorder="1" applyAlignment="1">
      <alignment wrapText="1"/>
    </xf>
    <xf numFmtId="0" fontId="8" fillId="14" borderId="34" xfId="0" applyFont="1" applyFill="1" applyBorder="1" applyAlignment="1">
      <alignment wrapText="1"/>
    </xf>
    <xf numFmtId="0" fontId="3" fillId="9" borderId="8" xfId="0" applyFont="1" applyFill="1" applyBorder="1" applyAlignment="1">
      <alignment horizontal="center" vertical="center" wrapText="1"/>
    </xf>
    <xf numFmtId="0" fontId="0" fillId="9" borderId="0" xfId="0" applyFill="1" applyAlignment="1">
      <alignment horizontal="center" vertical="center" wrapText="1"/>
    </xf>
    <xf numFmtId="0" fontId="0" fillId="9" borderId="9" xfId="0" applyFill="1" applyBorder="1" applyAlignment="1">
      <alignment horizontal="center" vertical="center" wrapText="1"/>
    </xf>
    <xf numFmtId="0" fontId="8" fillId="16" borderId="28" xfId="0" applyFont="1" applyFill="1" applyBorder="1" applyAlignment="1">
      <alignment wrapText="1"/>
    </xf>
    <xf numFmtId="0" fontId="0" fillId="0" borderId="30" xfId="0" applyBorder="1" applyAlignment="1">
      <alignment wrapText="1"/>
    </xf>
    <xf numFmtId="0" fontId="0" fillId="0" borderId="31" xfId="0" applyBorder="1" applyAlignment="1">
      <alignment wrapText="1"/>
    </xf>
    <xf numFmtId="0" fontId="8" fillId="4" borderId="34" xfId="0" applyFont="1" applyFill="1" applyBorder="1" applyAlignment="1">
      <alignment wrapText="1"/>
    </xf>
    <xf numFmtId="0" fontId="8" fillId="2" borderId="35" xfId="0" applyFont="1" applyFill="1" applyBorder="1" applyAlignment="1" applyProtection="1">
      <alignment wrapText="1"/>
      <protection locked="0"/>
    </xf>
    <xf numFmtId="0" fontId="8" fillId="4" borderId="35" xfId="0" applyFont="1" applyFill="1" applyBorder="1" applyAlignment="1">
      <alignment wrapText="1"/>
    </xf>
    <xf numFmtId="0" fontId="8" fillId="17" borderId="28" xfId="0" applyFont="1" applyFill="1" applyBorder="1" applyAlignment="1">
      <alignment wrapText="1"/>
    </xf>
    <xf numFmtId="0" fontId="5" fillId="11" borderId="24" xfId="0" applyFont="1" applyFill="1" applyBorder="1" applyAlignment="1">
      <alignment wrapText="1"/>
    </xf>
    <xf numFmtId="0" fontId="8" fillId="4" borderId="28" xfId="0" applyFont="1" applyFill="1" applyBorder="1" applyAlignment="1">
      <alignment wrapText="1"/>
    </xf>
    <xf numFmtId="0" fontId="8" fillId="2" borderId="26" xfId="0" applyFont="1" applyFill="1" applyBorder="1" applyAlignment="1" applyProtection="1">
      <alignment wrapText="1"/>
      <protection locked="0"/>
    </xf>
    <xf numFmtId="0" fontId="2" fillId="7" borderId="6" xfId="0" applyFont="1" applyFill="1" applyBorder="1" applyAlignment="1">
      <alignment wrapText="1"/>
    </xf>
    <xf numFmtId="0" fontId="2" fillId="7" borderId="22" xfId="0" applyFont="1" applyFill="1" applyBorder="1" applyAlignment="1">
      <alignment wrapText="1"/>
    </xf>
    <xf numFmtId="0" fontId="2" fillId="7" borderId="7" xfId="0" applyFont="1" applyFill="1" applyBorder="1" applyAlignment="1">
      <alignment wrapText="1"/>
    </xf>
    <xf numFmtId="0" fontId="0" fillId="4" borderId="35" xfId="0" applyFill="1" applyBorder="1" applyAlignment="1">
      <alignment wrapText="1"/>
    </xf>
    <xf numFmtId="0" fontId="5" fillId="5" borderId="34" xfId="0" applyFont="1" applyFill="1" applyBorder="1" applyAlignment="1">
      <alignment wrapText="1"/>
    </xf>
    <xf numFmtId="0" fontId="5" fillId="13" borderId="14" xfId="0" applyFont="1" applyFill="1" applyBorder="1" applyAlignment="1">
      <alignment wrapText="1"/>
    </xf>
    <xf numFmtId="0" fontId="0" fillId="13" borderId="8" xfId="0" applyFill="1" applyBorder="1" applyAlignment="1">
      <alignment wrapText="1"/>
    </xf>
    <xf numFmtId="9" fontId="2" fillId="9" borderId="3" xfId="2" applyFont="1" applyFill="1" applyBorder="1" applyAlignment="1">
      <alignment wrapText="1"/>
    </xf>
    <xf numFmtId="0" fontId="2" fillId="6" borderId="18" xfId="0" applyFont="1" applyFill="1" applyBorder="1" applyAlignment="1">
      <alignment horizontal="center" vertical="center"/>
    </xf>
    <xf numFmtId="0" fontId="0" fillId="10" borderId="3" xfId="0" applyFill="1" applyBorder="1" applyAlignment="1">
      <alignment horizontal="center" vertical="center" wrapText="1"/>
    </xf>
    <xf numFmtId="0" fontId="2" fillId="6" borderId="0" xfId="0" applyFont="1" applyFill="1"/>
    <xf numFmtId="0" fontId="0" fillId="0" borderId="18" xfId="0" applyBorder="1"/>
    <xf numFmtId="0" fontId="2" fillId="6" borderId="0" xfId="0" applyFont="1" applyFill="1" applyAlignment="1">
      <alignment horizontal="left" vertical="center" wrapText="1"/>
    </xf>
    <xf numFmtId="0" fontId="2" fillId="15" borderId="3" xfId="0" applyFont="1" applyFill="1" applyBorder="1" applyAlignment="1">
      <alignment horizontal="center" vertical="center" wrapText="1"/>
    </xf>
    <xf numFmtId="0" fontId="2" fillId="15" borderId="3" xfId="0" applyFont="1" applyFill="1" applyBorder="1" applyAlignment="1">
      <alignment horizontal="center"/>
    </xf>
    <xf numFmtId="0" fontId="2" fillId="15" borderId="3" xfId="0" applyFont="1" applyFill="1" applyBorder="1"/>
    <xf numFmtId="0" fontId="0" fillId="0" borderId="5" xfId="0" applyBorder="1" applyAlignment="1">
      <alignment horizontal="center"/>
    </xf>
    <xf numFmtId="0" fontId="0" fillId="0" borderId="5" xfId="0" applyBorder="1"/>
    <xf numFmtId="0" fontId="0" fillId="0" borderId="3" xfId="0" applyBorder="1"/>
    <xf numFmtId="0" fontId="0" fillId="3" borderId="0" xfId="0" applyFill="1"/>
    <xf numFmtId="0" fontId="0" fillId="0" borderId="0" xfId="0" applyAlignment="1">
      <alignment horizontal="left"/>
    </xf>
    <xf numFmtId="0" fontId="0" fillId="0" borderId="13" xfId="0" applyBorder="1" applyAlignment="1">
      <alignment horizontal="center"/>
    </xf>
    <xf numFmtId="0" fontId="2" fillId="4"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xf>
    <xf numFmtId="0" fontId="13" fillId="0" borderId="5" xfId="0" applyFont="1" applyBorder="1" applyAlignment="1">
      <alignment horizontal="left" vertical="center" wrapText="1"/>
    </xf>
    <xf numFmtId="0" fontId="0" fillId="0" borderId="13" xfId="0" applyBorder="1"/>
    <xf numFmtId="167" fontId="5" fillId="2" borderId="1" xfId="1" applyNumberFormat="1" applyFont="1" applyFill="1" applyBorder="1" applyAlignment="1" applyProtection="1">
      <alignment wrapText="1"/>
      <protection locked="0"/>
    </xf>
    <xf numFmtId="167" fontId="2" fillId="7" borderId="0" xfId="0" applyNumberFormat="1" applyFont="1" applyFill="1" applyAlignment="1">
      <alignment wrapText="1"/>
    </xf>
    <xf numFmtId="167" fontId="2" fillId="4" borderId="5" xfId="0" applyNumberFormat="1" applyFont="1" applyFill="1" applyBorder="1" applyAlignment="1">
      <alignment wrapText="1"/>
    </xf>
    <xf numFmtId="167" fontId="2" fillId="0" borderId="0" xfId="1" applyNumberFormat="1" applyFont="1" applyAlignment="1">
      <alignment wrapText="1"/>
    </xf>
    <xf numFmtId="167" fontId="0" fillId="9" borderId="9" xfId="1" applyNumberFormat="1" applyFont="1" applyFill="1" applyBorder="1" applyAlignment="1">
      <alignment wrapText="1"/>
    </xf>
    <xf numFmtId="167" fontId="0" fillId="7" borderId="0" xfId="0" applyNumberFormat="1" applyFill="1" applyAlignment="1">
      <alignment wrapText="1"/>
    </xf>
    <xf numFmtId="167" fontId="0" fillId="4" borderId="5" xfId="0" applyNumberFormat="1" applyFill="1" applyBorder="1" applyAlignment="1">
      <alignment wrapText="1"/>
    </xf>
    <xf numFmtId="167" fontId="0" fillId="7" borderId="0" xfId="1" applyNumberFormat="1" applyFont="1" applyFill="1" applyBorder="1" applyAlignment="1">
      <alignment wrapText="1"/>
    </xf>
    <xf numFmtId="167" fontId="0" fillId="4" borderId="5" xfId="1" applyNumberFormat="1" applyFont="1" applyFill="1" applyBorder="1" applyAlignment="1">
      <alignment wrapText="1"/>
    </xf>
    <xf numFmtId="167" fontId="0" fillId="9" borderId="9" xfId="0" applyNumberFormat="1" applyFill="1" applyBorder="1" applyAlignment="1">
      <alignment wrapText="1"/>
    </xf>
    <xf numFmtId="167" fontId="4" fillId="9" borderId="9" xfId="0" applyNumberFormat="1" applyFont="1" applyFill="1" applyBorder="1" applyAlignment="1">
      <alignment wrapText="1"/>
    </xf>
    <xf numFmtId="167" fontId="2" fillId="9" borderId="21" xfId="1" applyNumberFormat="1" applyFont="1" applyFill="1" applyBorder="1" applyAlignment="1">
      <alignment wrapText="1"/>
    </xf>
    <xf numFmtId="167" fontId="0" fillId="14" borderId="35" xfId="0" applyNumberFormat="1" applyFill="1" applyBorder="1" applyAlignment="1">
      <alignment wrapText="1"/>
    </xf>
    <xf numFmtId="167" fontId="0" fillId="9" borderId="8" xfId="1" applyNumberFormat="1" applyFont="1" applyFill="1" applyBorder="1" applyAlignment="1">
      <alignment wrapText="1"/>
    </xf>
    <xf numFmtId="167" fontId="0" fillId="9" borderId="0" xfId="1" applyNumberFormat="1" applyFont="1" applyFill="1" applyBorder="1" applyAlignment="1">
      <alignment wrapText="1"/>
    </xf>
    <xf numFmtId="167" fontId="0" fillId="9" borderId="9" xfId="1" applyNumberFormat="1" applyFont="1" applyFill="1" applyBorder="1" applyAlignment="1">
      <alignment horizontal="center" wrapText="1"/>
    </xf>
    <xf numFmtId="167" fontId="0" fillId="9" borderId="0" xfId="1" applyNumberFormat="1" applyFont="1" applyFill="1" applyBorder="1" applyAlignment="1">
      <alignment horizontal="left" wrapText="1"/>
    </xf>
    <xf numFmtId="167" fontId="14" fillId="2" borderId="29" xfId="1" applyNumberFormat="1" applyFont="1" applyFill="1" applyBorder="1" applyAlignment="1" applyProtection="1">
      <alignment horizontal="center" wrapText="1"/>
      <protection locked="0"/>
    </xf>
    <xf numFmtId="167" fontId="0" fillId="4" borderId="35" xfId="1" applyNumberFormat="1" applyFont="1" applyFill="1" applyBorder="1" applyAlignment="1">
      <alignment wrapText="1"/>
    </xf>
    <xf numFmtId="167" fontId="0" fillId="17" borderId="36" xfId="1" applyNumberFormat="1" applyFont="1" applyFill="1" applyBorder="1" applyAlignment="1">
      <alignment wrapText="1"/>
    </xf>
    <xf numFmtId="167" fontId="5" fillId="11" borderId="25" xfId="0" applyNumberFormat="1" applyFont="1" applyFill="1" applyBorder="1" applyAlignment="1">
      <alignment wrapText="1"/>
    </xf>
    <xf numFmtId="167" fontId="5" fillId="4" borderId="23" xfId="0" applyNumberFormat="1" applyFont="1" applyFill="1" applyBorder="1" applyAlignment="1">
      <alignment wrapText="1"/>
    </xf>
    <xf numFmtId="167" fontId="5" fillId="4" borderId="0" xfId="0" applyNumberFormat="1" applyFont="1" applyFill="1" applyAlignment="1">
      <alignment wrapText="1"/>
    </xf>
    <xf numFmtId="167" fontId="8" fillId="4" borderId="35" xfId="0" applyNumberFormat="1" applyFont="1" applyFill="1" applyBorder="1" applyAlignment="1">
      <alignment wrapText="1"/>
    </xf>
    <xf numFmtId="167" fontId="2" fillId="7" borderId="9" xfId="0" applyNumberFormat="1" applyFont="1" applyFill="1" applyBorder="1" applyAlignment="1">
      <alignment wrapText="1"/>
    </xf>
    <xf numFmtId="167" fontId="2" fillId="4" borderId="9" xfId="0" applyNumberFormat="1" applyFont="1" applyFill="1" applyBorder="1" applyAlignment="1">
      <alignment wrapText="1"/>
    </xf>
    <xf numFmtId="167" fontId="0" fillId="9" borderId="10" xfId="1" applyNumberFormat="1" applyFont="1" applyFill="1" applyBorder="1" applyAlignment="1">
      <alignment wrapText="1"/>
    </xf>
    <xf numFmtId="167" fontId="0" fillId="9" borderId="4" xfId="1" applyNumberFormat="1" applyFont="1" applyFill="1" applyBorder="1" applyAlignment="1">
      <alignment horizontal="left" wrapText="1"/>
    </xf>
    <xf numFmtId="167" fontId="0" fillId="9" borderId="11" xfId="1" applyNumberFormat="1" applyFont="1" applyFill="1" applyBorder="1" applyAlignment="1">
      <alignment wrapText="1"/>
    </xf>
    <xf numFmtId="167" fontId="0" fillId="4" borderId="35" xfId="0" applyNumberFormat="1" applyFill="1" applyBorder="1" applyAlignment="1">
      <alignment wrapText="1"/>
    </xf>
    <xf numFmtId="167" fontId="0" fillId="7" borderId="0" xfId="0" applyNumberFormat="1" applyFill="1" applyAlignment="1">
      <alignment horizontal="center" wrapText="1"/>
    </xf>
    <xf numFmtId="167" fontId="0" fillId="7" borderId="9" xfId="0" applyNumberFormat="1" applyFill="1" applyBorder="1" applyAlignment="1">
      <alignment horizontal="center" wrapText="1"/>
    </xf>
    <xf numFmtId="167" fontId="0" fillId="4" borderId="9" xfId="0" applyNumberFormat="1" applyFill="1" applyBorder="1" applyAlignment="1">
      <alignment horizontal="center" wrapText="1"/>
    </xf>
    <xf numFmtId="167" fontId="2" fillId="5" borderId="35" xfId="0" applyNumberFormat="1" applyFont="1" applyFill="1" applyBorder="1" applyAlignment="1">
      <alignment wrapText="1"/>
    </xf>
    <xf numFmtId="167" fontId="5" fillId="13" borderId="2" xfId="0" applyNumberFormat="1" applyFont="1" applyFill="1" applyBorder="1" applyAlignment="1">
      <alignment wrapText="1"/>
    </xf>
    <xf numFmtId="167" fontId="5" fillId="13" borderId="3" xfId="0" applyNumberFormat="1" applyFont="1" applyFill="1" applyBorder="1" applyAlignment="1">
      <alignment wrapText="1"/>
    </xf>
    <xf numFmtId="167" fontId="0" fillId="13" borderId="0" xfId="0" applyNumberFormat="1" applyFill="1" applyAlignment="1">
      <alignment wrapText="1"/>
    </xf>
    <xf numFmtId="167" fontId="0" fillId="13" borderId="5" xfId="0" applyNumberFormat="1" applyFill="1" applyBorder="1" applyAlignment="1">
      <alignment wrapText="1"/>
    </xf>
    <xf numFmtId="167" fontId="2" fillId="9" borderId="8" xfId="1" applyNumberFormat="1" applyFont="1" applyFill="1" applyBorder="1" applyAlignment="1">
      <alignment wrapText="1"/>
    </xf>
    <xf numFmtId="167" fontId="2" fillId="9" borderId="3" xfId="1" applyNumberFormat="1" applyFont="1" applyFill="1" applyBorder="1" applyAlignment="1">
      <alignment wrapText="1"/>
    </xf>
    <xf numFmtId="167" fontId="2" fillId="9" borderId="13" xfId="1" applyNumberFormat="1" applyFont="1" applyFill="1" applyBorder="1" applyAlignment="1">
      <alignment wrapText="1"/>
    </xf>
    <xf numFmtId="167" fontId="0" fillId="0" borderId="0" xfId="0" applyNumberFormat="1" applyAlignment="1">
      <alignment wrapText="1"/>
    </xf>
    <xf numFmtId="167" fontId="2" fillId="9" borderId="10" xfId="1" applyNumberFormat="1" applyFont="1" applyFill="1" applyBorder="1" applyAlignment="1">
      <alignment wrapText="1"/>
    </xf>
    <xf numFmtId="167" fontId="0" fillId="0" borderId="0" xfId="1" applyNumberFormat="1" applyFont="1"/>
    <xf numFmtId="167" fontId="2" fillId="3" borderId="0" xfId="1" applyNumberFormat="1" applyFont="1" applyFill="1"/>
    <xf numFmtId="167" fontId="0" fillId="0" borderId="3" xfId="1" applyNumberFormat="1" applyFont="1" applyBorder="1"/>
    <xf numFmtId="167" fontId="0" fillId="0" borderId="3" xfId="1" applyNumberFormat="1" applyFont="1" applyFill="1" applyBorder="1"/>
    <xf numFmtId="167" fontId="0" fillId="0" borderId="0" xfId="0" applyNumberFormat="1"/>
    <xf numFmtId="167" fontId="8" fillId="4" borderId="29" xfId="1" applyNumberFormat="1" applyFont="1" applyFill="1" applyBorder="1" applyAlignment="1">
      <alignment wrapText="1"/>
    </xf>
    <xf numFmtId="0" fontId="8" fillId="2" borderId="1" xfId="0" applyFont="1" applyFill="1" applyBorder="1" applyAlignment="1" applyProtection="1">
      <alignment horizontal="left" wrapText="1"/>
      <protection locked="0"/>
    </xf>
    <xf numFmtId="0" fontId="6" fillId="12" borderId="14"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2" borderId="2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5" fillId="12" borderId="22"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14" fillId="13" borderId="6" xfId="0" applyFont="1" applyFill="1" applyBorder="1" applyAlignment="1">
      <alignment horizontal="center" wrapText="1"/>
    </xf>
    <xf numFmtId="0" fontId="14" fillId="13" borderId="7" xfId="0" applyFont="1" applyFill="1" applyBorder="1" applyAlignment="1">
      <alignment horizontal="center" wrapText="1"/>
    </xf>
    <xf numFmtId="0" fontId="14" fillId="13" borderId="10" xfId="0" applyFont="1" applyFill="1" applyBorder="1" applyAlignment="1">
      <alignment horizontal="center" wrapText="1"/>
    </xf>
    <xf numFmtId="0" fontId="14" fillId="13" borderId="11" xfId="0" applyFont="1" applyFill="1" applyBorder="1" applyAlignment="1">
      <alignment horizontal="center" wrapText="1"/>
    </xf>
    <xf numFmtId="0" fontId="6" fillId="12" borderId="22" xfId="0" applyFont="1" applyFill="1" applyBorder="1" applyAlignment="1">
      <alignment horizontal="center" vertical="center" wrapText="1"/>
    </xf>
    <xf numFmtId="0" fontId="6" fillId="12" borderId="7" xfId="0" applyFont="1" applyFill="1" applyBorder="1" applyAlignment="1">
      <alignment horizontal="center" vertical="center" wrapText="1"/>
    </xf>
    <xf numFmtId="0" fontId="2" fillId="8" borderId="41" xfId="0" applyFont="1" applyFill="1" applyBorder="1" applyAlignment="1">
      <alignment horizontal="center" wrapText="1"/>
    </xf>
    <xf numFmtId="0" fontId="2" fillId="8" borderId="42" xfId="0" applyFont="1" applyFill="1" applyBorder="1" applyAlignment="1">
      <alignment horizontal="center" wrapText="1"/>
    </xf>
    <xf numFmtId="0" fontId="5" fillId="8" borderId="24" xfId="0" applyFont="1" applyFill="1" applyBorder="1" applyAlignment="1">
      <alignment horizontal="center" wrapText="1"/>
    </xf>
    <xf numFmtId="0" fontId="5" fillId="8" borderId="27" xfId="0" applyFont="1" applyFill="1" applyBorder="1" applyAlignment="1">
      <alignment horizontal="center" wrapText="1"/>
    </xf>
    <xf numFmtId="0" fontId="5" fillId="8" borderId="32" xfId="0" applyFont="1" applyFill="1" applyBorder="1" applyAlignment="1">
      <alignment horizontal="center" wrapText="1"/>
    </xf>
    <xf numFmtId="0" fontId="5" fillId="8" borderId="33" xfId="0" applyFont="1" applyFill="1" applyBorder="1" applyAlignment="1">
      <alignment horizontal="center" wrapText="1"/>
    </xf>
    <xf numFmtId="0" fontId="2" fillId="13" borderId="28" xfId="0" applyFont="1" applyFill="1" applyBorder="1" applyAlignment="1">
      <alignment horizontal="left" vertical="center" wrapText="1"/>
    </xf>
    <xf numFmtId="0" fontId="2" fillId="13" borderId="37" xfId="0" applyFont="1" applyFill="1" applyBorder="1" applyAlignment="1">
      <alignment horizontal="left" vertical="center" wrapText="1"/>
    </xf>
    <xf numFmtId="0" fontId="2" fillId="13" borderId="39" xfId="0" applyFont="1" applyFill="1" applyBorder="1" applyAlignment="1">
      <alignment horizontal="left" vertical="center" wrapText="1"/>
    </xf>
    <xf numFmtId="0" fontId="2" fillId="13" borderId="40" xfId="0" applyFont="1" applyFill="1" applyBorder="1" applyAlignment="1">
      <alignment horizontal="left" vertical="center" wrapText="1"/>
    </xf>
    <xf numFmtId="0" fontId="7" fillId="0" borderId="0" xfId="0" applyFont="1" applyAlignment="1">
      <alignment horizontal="center" vertical="center" wrapText="1"/>
    </xf>
    <xf numFmtId="0" fontId="8" fillId="2" borderId="19" xfId="0" applyFont="1" applyFill="1" applyBorder="1" applyAlignment="1" applyProtection="1">
      <alignment horizontal="left" wrapText="1"/>
      <protection locked="0"/>
    </xf>
    <xf numFmtId="0" fontId="8" fillId="2" borderId="20" xfId="0" applyFont="1" applyFill="1" applyBorder="1" applyAlignment="1" applyProtection="1">
      <alignment horizontal="left" wrapText="1"/>
      <protection locked="0"/>
    </xf>
    <xf numFmtId="0" fontId="2" fillId="13" borderId="24" xfId="0" applyFont="1" applyFill="1" applyBorder="1" applyAlignment="1">
      <alignment horizontal="left" vertical="top" wrapText="1"/>
    </xf>
    <xf numFmtId="0" fontId="2" fillId="13" borderId="27" xfId="0" applyFont="1" applyFill="1" applyBorder="1" applyAlignment="1">
      <alignment horizontal="left" vertical="top" wrapText="1"/>
    </xf>
    <xf numFmtId="0" fontId="2" fillId="13" borderId="38" xfId="0" applyFont="1" applyFill="1" applyBorder="1" applyAlignment="1">
      <alignment horizontal="left" vertical="top" wrapText="1"/>
    </xf>
    <xf numFmtId="0" fontId="2" fillId="13" borderId="36" xfId="0" applyFont="1" applyFill="1" applyBorder="1" applyAlignment="1">
      <alignment horizontal="left" vertical="top" wrapText="1"/>
    </xf>
    <xf numFmtId="0" fontId="2" fillId="13" borderId="39" xfId="0" applyFont="1" applyFill="1" applyBorder="1" applyAlignment="1">
      <alignment horizontal="left" vertical="top" wrapText="1"/>
    </xf>
    <xf numFmtId="0" fontId="2" fillId="13" borderId="40" xfId="0" applyFont="1" applyFill="1" applyBorder="1" applyAlignment="1">
      <alignment horizontal="left" vertical="top" wrapText="1"/>
    </xf>
    <xf numFmtId="0" fontId="2" fillId="15" borderId="10" xfId="0" applyFont="1" applyFill="1" applyBorder="1" applyAlignment="1">
      <alignment horizontal="center"/>
    </xf>
    <xf numFmtId="0" fontId="2" fillId="15" borderId="4" xfId="0" applyFont="1" applyFill="1" applyBorder="1" applyAlignment="1">
      <alignment horizontal="center"/>
    </xf>
    <xf numFmtId="0" fontId="0" fillId="0" borderId="0" xfId="0" applyAlignment="1">
      <alignment horizontal="center"/>
    </xf>
  </cellXfs>
  <cellStyles count="4">
    <cellStyle name="Comma" xfId="3" builtinId="3"/>
    <cellStyle name="Currency" xfId="1" builtinId="4"/>
    <cellStyle name="Normal" xfId="0" builtinId="0"/>
    <cellStyle name="Percent" xfId="2" builtinId="5"/>
  </cellStyles>
  <dxfs count="7">
    <dxf>
      <font>
        <color rgb="FF000000"/>
      </font>
      <fill>
        <patternFill>
          <bgColor rgb="FFFF0000"/>
        </patternFill>
      </fill>
    </dxf>
    <dxf>
      <font>
        <color rgb="FFA6A6A6"/>
      </font>
      <fill>
        <patternFill patternType="solid">
          <fgColor indexed="64"/>
          <bgColor rgb="FFD9D9D9"/>
        </patternFill>
      </fill>
    </dxf>
    <dxf>
      <font>
        <b/>
        <i val="0"/>
        <color rgb="FF000000"/>
      </font>
      <fill>
        <patternFill patternType="solid">
          <fgColor indexed="64"/>
          <bgColor theme="5" tint="0.79998168889431442"/>
        </patternFill>
      </fill>
    </dxf>
    <dxf>
      <font>
        <color auto="1"/>
      </font>
      <fill>
        <patternFill>
          <bgColor theme="5" tint="0.79998168889431442"/>
        </patternFill>
      </fill>
    </dxf>
    <dxf>
      <font>
        <color auto="1"/>
      </font>
      <fill>
        <patternFill>
          <bgColor theme="5" tint="0.79998168889431442"/>
        </patternFill>
      </fill>
    </dxf>
    <dxf>
      <fill>
        <patternFill patternType="solid">
          <fgColor indexed="64"/>
          <bgColor rgb="FFF2DCDB"/>
        </patternFill>
      </fill>
    </dxf>
    <dxf>
      <alignment horizontal="left" textRotation="0" indent="0" justifyLastLine="0" shrinkToFit="0" readingOrder="0"/>
    </dxf>
  </dxfs>
  <tableStyles count="0" defaultTableStyle="TableStyleMedium9" defaultPivotStyle="PivotStyleLight16"/>
  <colors>
    <mruColors>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EE1C95-DABD-402C-91A7-905A8A580EAD}" name="tblCore" displayName="tblCore" ref="D2:G194" totalsRowShown="0">
  <autoFilter ref="D2:G194" xr:uid="{B8EE1C95-DABD-402C-91A7-905A8A580EAD}"/>
  <tableColumns count="4">
    <tableColumn id="1" xr3:uid="{0D4AE898-B797-414B-9917-97621B1316CE}" name="ESILSTREAM"/>
    <tableColumn id="2" xr3:uid="{575E359E-45DA-48F4-BB13-D71A28ECE4CE}" name="UnitSize"/>
    <tableColumn id="3" xr3:uid="{075EB041-0257-42AF-BC83-5C65B8EB08C3}" name="CoreStaffing" dataDxfId="6"/>
    <tableColumn id="4" xr3:uid="{CFFA3182-7C86-41A7-98D4-E2D049C35C27}" name="Staffing costs"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46"/>
  <sheetViews>
    <sheetView tabSelected="1" topLeftCell="F2" zoomScaleNormal="100" zoomScaleSheetLayoutView="100" workbookViewId="0">
      <selection activeCell="T47" sqref="T47"/>
    </sheetView>
  </sheetViews>
  <sheetFormatPr defaultColWidth="8.83984375" defaultRowHeight="14.4" x14ac:dyDescent="0.55000000000000004"/>
  <cols>
    <col min="1" max="2" width="8.83984375" style="3"/>
    <col min="3" max="3" width="39.15625" style="3" customWidth="1"/>
    <col min="4" max="4" width="18.41796875" style="3" customWidth="1"/>
    <col min="5" max="5" width="5.26171875" style="3" customWidth="1"/>
    <col min="6" max="6" width="50.26171875" style="3" customWidth="1"/>
    <col min="7" max="13" width="13.41796875" style="3" customWidth="1"/>
    <col min="14" max="14" width="10.26171875" style="3" customWidth="1"/>
    <col min="15" max="15" width="9.578125" style="3" customWidth="1"/>
    <col min="16" max="16" width="57.26171875" style="3" customWidth="1"/>
    <col min="17" max="17" width="15" style="3" customWidth="1"/>
    <col min="18" max="18" width="22.578125" style="3" customWidth="1"/>
    <col min="19" max="16384" width="8.83984375" style="3"/>
  </cols>
  <sheetData>
    <row r="1" spans="3:18" ht="30" customHeight="1" x14ac:dyDescent="0.55000000000000004">
      <c r="C1" s="156" t="s">
        <v>0</v>
      </c>
      <c r="D1" s="156"/>
      <c r="E1" s="156"/>
      <c r="F1" s="156"/>
      <c r="G1" s="156"/>
      <c r="H1" s="156"/>
      <c r="I1" s="156"/>
      <c r="J1" s="156"/>
      <c r="K1" s="156"/>
      <c r="L1" s="156"/>
      <c r="M1" s="156"/>
      <c r="N1" s="156"/>
    </row>
    <row r="2" spans="3:18" ht="16.5" customHeight="1" thickBot="1" x14ac:dyDescent="0.6"/>
    <row r="3" spans="3:18" ht="14.7" thickBot="1" x14ac:dyDescent="0.6">
      <c r="C3" s="12" t="s">
        <v>1</v>
      </c>
      <c r="D3" s="157"/>
      <c r="E3" s="157"/>
      <c r="F3" s="157"/>
      <c r="G3" s="157"/>
      <c r="H3" s="158"/>
    </row>
    <row r="4" spans="3:18" ht="14.7" thickBot="1" x14ac:dyDescent="0.6">
      <c r="C4" s="13" t="s">
        <v>2</v>
      </c>
      <c r="D4" s="157"/>
      <c r="E4" s="157"/>
      <c r="F4" s="157"/>
      <c r="G4" s="157"/>
      <c r="H4" s="158"/>
    </row>
    <row r="5" spans="3:18" ht="14.7" thickBot="1" x14ac:dyDescent="0.6">
      <c r="C5" s="14" t="s">
        <v>3</v>
      </c>
      <c r="D5" s="131"/>
    </row>
    <row r="6" spans="3:18" x14ac:dyDescent="0.55000000000000004">
      <c r="F6" s="15"/>
      <c r="G6" s="15"/>
      <c r="H6" s="15"/>
      <c r="I6" s="15"/>
      <c r="J6" s="15"/>
      <c r="K6" s="15"/>
      <c r="L6" s="15"/>
      <c r="M6" s="15"/>
      <c r="N6" s="16"/>
    </row>
    <row r="7" spans="3:18" x14ac:dyDescent="0.55000000000000004">
      <c r="C7" s="135" t="s">
        <v>4</v>
      </c>
      <c r="D7" s="136"/>
      <c r="F7" s="17" t="s">
        <v>5</v>
      </c>
      <c r="G7" s="18" t="s">
        <v>6</v>
      </c>
      <c r="H7" s="18" t="s">
        <v>7</v>
      </c>
      <c r="I7" s="18" t="s">
        <v>8</v>
      </c>
      <c r="J7" s="18" t="s">
        <v>9</v>
      </c>
      <c r="K7" s="18" t="s">
        <v>10</v>
      </c>
      <c r="L7" s="18" t="s">
        <v>11</v>
      </c>
      <c r="M7" s="19" t="s">
        <v>12</v>
      </c>
      <c r="N7" s="20" t="s">
        <v>13</v>
      </c>
      <c r="P7" s="132" t="s">
        <v>14</v>
      </c>
      <c r="Q7" s="133"/>
      <c r="R7" s="134"/>
    </row>
    <row r="8" spans="3:18" ht="14.7" thickBot="1" x14ac:dyDescent="0.6">
      <c r="F8" s="21"/>
      <c r="G8" s="22"/>
      <c r="H8" s="22"/>
      <c r="I8" s="22"/>
      <c r="J8" s="22"/>
      <c r="K8" s="22"/>
      <c r="L8" s="22"/>
      <c r="M8" s="22"/>
      <c r="N8" s="23"/>
    </row>
    <row r="9" spans="3:18" ht="21.75" customHeight="1" thickBot="1" x14ac:dyDescent="0.6">
      <c r="C9" s="24" t="s">
        <v>15</v>
      </c>
      <c r="D9" s="82" t="s">
        <v>219</v>
      </c>
      <c r="E9" s="25"/>
      <c r="F9" s="26" t="s">
        <v>16</v>
      </c>
      <c r="G9" s="83">
        <f>IF($C$14="⚠️ Veuillez sélectionner de nouveau le modèle de dotation en personnel de base.","",IF($C$14="Demande de dérogation pour du personnel de base présent 24 heures sur 24. L'approbation du Comité d'examen des dérogations est requise.",24*$R$21/$D$11,(VALUE(SUBSTITUTE($D$13," heures",""))*$R$21/$D$11)))</f>
        <v>55.939449826742859</v>
      </c>
      <c r="H9" s="83">
        <f t="shared" ref="H9:N9" si="0">IF($C$14="⚠️ Veuillez sélectionner de nouveau le modèle de dotation en personnel de base.","",IF($C$14="Demande de dérogation pour du personnel de base présent 24 heures sur 24. L'approbation du Comité d'examen des dérogations est requise.",24*$R$21/$D$11,(VALUE(SUBSTITUTE($D$13," heures",""))*$R$21/$D$11)))</f>
        <v>55.939449826742859</v>
      </c>
      <c r="I9" s="83">
        <f t="shared" si="0"/>
        <v>55.939449826742859</v>
      </c>
      <c r="J9" s="83">
        <f t="shared" si="0"/>
        <v>55.939449826742859</v>
      </c>
      <c r="K9" s="83">
        <f t="shared" si="0"/>
        <v>55.939449826742859</v>
      </c>
      <c r="L9" s="83">
        <f t="shared" si="0"/>
        <v>55.939449826742859</v>
      </c>
      <c r="M9" s="83">
        <f t="shared" si="0"/>
        <v>55.939449826742859</v>
      </c>
      <c r="N9" s="84">
        <f t="shared" si="0"/>
        <v>55.939449826742859</v>
      </c>
      <c r="P9" s="137" t="s">
        <v>17</v>
      </c>
      <c r="Q9" s="138"/>
      <c r="R9" s="139"/>
    </row>
    <row r="10" spans="3:18" ht="29.1" thickBot="1" x14ac:dyDescent="0.6">
      <c r="C10" s="27"/>
      <c r="D10" s="85"/>
      <c r="F10" s="26"/>
      <c r="G10" s="28"/>
      <c r="H10" s="28"/>
      <c r="I10" s="28"/>
      <c r="J10" s="28"/>
      <c r="K10" s="28"/>
      <c r="L10" s="28"/>
      <c r="M10" s="28"/>
      <c r="N10" s="29"/>
      <c r="P10" s="30" t="s">
        <v>18</v>
      </c>
      <c r="Q10" s="31"/>
      <c r="R10" s="86">
        <v>19</v>
      </c>
    </row>
    <row r="11" spans="3:18" ht="16.8" thickBot="1" x14ac:dyDescent="0.6">
      <c r="C11" s="24" t="s">
        <v>19</v>
      </c>
      <c r="D11" s="4">
        <v>7</v>
      </c>
      <c r="F11" s="32" t="s">
        <v>20</v>
      </c>
      <c r="G11" s="33">
        <v>6</v>
      </c>
      <c r="H11" s="34">
        <v>10</v>
      </c>
      <c r="I11" s="34">
        <v>15</v>
      </c>
      <c r="J11" s="34">
        <v>18</v>
      </c>
      <c r="K11" s="34">
        <v>18</v>
      </c>
      <c r="L11" s="34">
        <v>18</v>
      </c>
      <c r="M11" s="34">
        <v>20</v>
      </c>
      <c r="N11" s="35"/>
      <c r="P11" s="30" t="s">
        <v>21</v>
      </c>
      <c r="Q11" s="5">
        <v>9.1800000000000007E-2</v>
      </c>
      <c r="R11" s="86">
        <f>R10*$Q$11</f>
        <v>1.7442000000000002</v>
      </c>
    </row>
    <row r="12" spans="3:18" ht="14.7" thickBot="1" x14ac:dyDescent="0.6">
      <c r="F12" s="26" t="s">
        <v>22</v>
      </c>
      <c r="G12" s="87">
        <f>ROUND(G11*$R$21/7,2)</f>
        <v>20.98</v>
      </c>
      <c r="H12" s="87">
        <f>ROUND(H11*$R$21/7,2)</f>
        <v>34.96</v>
      </c>
      <c r="I12" s="87">
        <f t="shared" ref="I12:M12" si="1">ROUND(I11*$R$21/7,2)</f>
        <v>52.44</v>
      </c>
      <c r="J12" s="87">
        <f t="shared" si="1"/>
        <v>62.93</v>
      </c>
      <c r="K12" s="87">
        <f t="shared" si="1"/>
        <v>62.93</v>
      </c>
      <c r="L12" s="87">
        <f t="shared" si="1"/>
        <v>62.93</v>
      </c>
      <c r="M12" s="87">
        <f t="shared" si="1"/>
        <v>69.92</v>
      </c>
      <c r="N12" s="88"/>
      <c r="P12" s="30"/>
      <c r="Q12" s="31"/>
      <c r="R12" s="86"/>
    </row>
    <row r="13" spans="3:18" x14ac:dyDescent="0.55000000000000004">
      <c r="C13" s="24" t="s">
        <v>23</v>
      </c>
      <c r="D13" s="6" t="s">
        <v>195</v>
      </c>
      <c r="F13" s="26" t="s">
        <v>24</v>
      </c>
      <c r="G13" s="87" t="str">
        <f t="shared" ref="G13:M13" si="2">IF($D$17="Urbain",ROUND(ROUND(G11/4,0)*$Q$41/7,2),"")</f>
        <v/>
      </c>
      <c r="H13" s="87" t="str">
        <f t="shared" si="2"/>
        <v/>
      </c>
      <c r="I13" s="87" t="str">
        <f t="shared" si="2"/>
        <v/>
      </c>
      <c r="J13" s="87" t="str">
        <f t="shared" si="2"/>
        <v/>
      </c>
      <c r="K13" s="87" t="str">
        <f t="shared" si="2"/>
        <v/>
      </c>
      <c r="L13" s="87" t="str">
        <f t="shared" si="2"/>
        <v/>
      </c>
      <c r="M13" s="87" t="str">
        <f t="shared" si="2"/>
        <v/>
      </c>
      <c r="N13" s="88"/>
      <c r="P13" s="30" t="s">
        <v>25</v>
      </c>
      <c r="Q13" s="7">
        <v>0.06</v>
      </c>
      <c r="R13" s="86">
        <f>R10*Q13</f>
        <v>1.1399999999999999</v>
      </c>
    </row>
    <row r="14" spans="3:18" ht="24" customHeight="1" x14ac:dyDescent="0.55000000000000004">
      <c r="C14" s="140" t="str">
        <f>IF(D13="","",IF(AND(TRIM(D9)="Besoins complexes",OR(D11=3,D11=4),D13="16 heures",D28="Oui"),"Demande de dérogation pour du personnel de base présent 24 heures sur 24. L'approbation du Comité d'examen des dérogations est requise.",IF(COUNTIFS(KEY!D:D,TRIM(D9),KEY!E:E,D11,KEY!F:F,D13)=0,"⚠️ Veuillez sélectionner de nouveau le modèle de dotation en personnel de base.","")))</f>
        <v/>
      </c>
      <c r="D14" s="141"/>
      <c r="F14" s="26" t="s">
        <v>26</v>
      </c>
      <c r="G14" s="87" t="str">
        <f t="shared" ref="G14:M14" si="3">IF($D$17="Rural",ROUND(ROUND(G11/4,0)*$Q$42*$Q$43/7,2),"")</f>
        <v/>
      </c>
      <c r="H14" s="87" t="str">
        <f t="shared" si="3"/>
        <v/>
      </c>
      <c r="I14" s="87" t="str">
        <f t="shared" si="3"/>
        <v/>
      </c>
      <c r="J14" s="87" t="str">
        <f t="shared" si="3"/>
        <v/>
      </c>
      <c r="K14" s="87" t="str">
        <f t="shared" si="3"/>
        <v/>
      </c>
      <c r="L14" s="87" t="str">
        <f t="shared" si="3"/>
        <v/>
      </c>
      <c r="M14" s="87" t="str">
        <f t="shared" si="3"/>
        <v/>
      </c>
      <c r="N14" s="88"/>
      <c r="P14" s="30" t="s">
        <v>27</v>
      </c>
      <c r="Q14" s="5">
        <v>2.3099999999999999E-2</v>
      </c>
      <c r="R14" s="86">
        <f>R10*Q14</f>
        <v>0.43889999999999996</v>
      </c>
    </row>
    <row r="15" spans="3:18" ht="24.75" customHeight="1" x14ac:dyDescent="0.55000000000000004">
      <c r="C15" s="142"/>
      <c r="D15" s="143"/>
      <c r="F15" s="26" t="s">
        <v>28</v>
      </c>
      <c r="G15" s="87">
        <f t="shared" ref="G15:M15" si="4">IF($D$17="Nord",ROUND(ROUND(G11/4,0)*$Q$42*$Q$43/7*$Q$44,2),"")</f>
        <v>3.87</v>
      </c>
      <c r="H15" s="87">
        <f t="shared" si="4"/>
        <v>5.81</v>
      </c>
      <c r="I15" s="87">
        <f t="shared" si="4"/>
        <v>7.74</v>
      </c>
      <c r="J15" s="87">
        <f t="shared" si="4"/>
        <v>9.68</v>
      </c>
      <c r="K15" s="87">
        <f t="shared" si="4"/>
        <v>9.68</v>
      </c>
      <c r="L15" s="87">
        <f t="shared" si="4"/>
        <v>9.68</v>
      </c>
      <c r="M15" s="87">
        <f t="shared" si="4"/>
        <v>9.68</v>
      </c>
      <c r="N15" s="88"/>
      <c r="P15" s="30" t="s">
        <v>29</v>
      </c>
      <c r="Q15" s="5">
        <v>1.15E-2</v>
      </c>
      <c r="R15" s="86">
        <f>R10*Q15</f>
        <v>0.2185</v>
      </c>
    </row>
    <row r="16" spans="3:18" ht="14.7" thickBot="1" x14ac:dyDescent="0.6">
      <c r="F16" s="26"/>
      <c r="G16" s="87"/>
      <c r="H16" s="87"/>
      <c r="I16" s="87"/>
      <c r="J16" s="87"/>
      <c r="K16" s="87"/>
      <c r="L16" s="87"/>
      <c r="M16" s="87"/>
      <c r="N16" s="88"/>
      <c r="P16" s="30" t="s">
        <v>30</v>
      </c>
      <c r="Q16" s="7">
        <v>0.05</v>
      </c>
      <c r="R16" s="86">
        <f>R10*Q16*1.5</f>
        <v>1.425</v>
      </c>
    </row>
    <row r="17" spans="3:18" ht="14.7" thickBot="1" x14ac:dyDescent="0.6">
      <c r="C17" s="24" t="s">
        <v>31</v>
      </c>
      <c r="D17" s="8" t="s">
        <v>85</v>
      </c>
      <c r="F17" s="32" t="s">
        <v>33</v>
      </c>
      <c r="G17" s="89"/>
      <c r="H17" s="89"/>
      <c r="I17" s="89"/>
      <c r="J17" s="89"/>
      <c r="K17" s="89"/>
      <c r="L17" s="89"/>
      <c r="M17" s="89"/>
      <c r="N17" s="90"/>
      <c r="P17" s="30"/>
      <c r="Q17" s="31"/>
      <c r="R17" s="36"/>
    </row>
    <row r="18" spans="3:18" ht="14.7" thickBot="1" x14ac:dyDescent="0.6">
      <c r="C18" s="27"/>
      <c r="D18" s="85"/>
      <c r="F18" s="26" t="s">
        <v>34</v>
      </c>
      <c r="G18" s="89">
        <f t="shared" ref="G18:N18" si="5">IF($D$19="No","",ROUND($R$26/$D$11,2))</f>
        <v>5.64</v>
      </c>
      <c r="H18" s="89">
        <f t="shared" si="5"/>
        <v>5.64</v>
      </c>
      <c r="I18" s="89">
        <f t="shared" si="5"/>
        <v>5.64</v>
      </c>
      <c r="J18" s="89">
        <f t="shared" si="5"/>
        <v>5.64</v>
      </c>
      <c r="K18" s="89">
        <f t="shared" si="5"/>
        <v>5.64</v>
      </c>
      <c r="L18" s="89">
        <f t="shared" si="5"/>
        <v>5.64</v>
      </c>
      <c r="M18" s="89">
        <f t="shared" si="5"/>
        <v>5.64</v>
      </c>
      <c r="N18" s="90">
        <f t="shared" si="5"/>
        <v>5.64</v>
      </c>
      <c r="P18" s="30" t="s">
        <v>35</v>
      </c>
      <c r="Q18" s="7">
        <v>0.06</v>
      </c>
      <c r="R18" s="86">
        <f>SUM(R13:R16)*Q18</f>
        <v>0.19334399999999999</v>
      </c>
    </row>
    <row r="19" spans="3:18" ht="29.1" thickBot="1" x14ac:dyDescent="0.6">
      <c r="C19" s="24" t="s">
        <v>36</v>
      </c>
      <c r="D19" s="8" t="s">
        <v>37</v>
      </c>
      <c r="F19" s="26" t="s">
        <v>38</v>
      </c>
      <c r="G19" s="89">
        <f t="shared" ref="G19:N19" si="6">IF($D$9="Besoins usuels",$R$27,"")</f>
        <v>2.74</v>
      </c>
      <c r="H19" s="89">
        <f t="shared" si="6"/>
        <v>2.74</v>
      </c>
      <c r="I19" s="89">
        <f t="shared" si="6"/>
        <v>2.74</v>
      </c>
      <c r="J19" s="89">
        <f t="shared" si="6"/>
        <v>2.74</v>
      </c>
      <c r="K19" s="89">
        <f t="shared" si="6"/>
        <v>2.74</v>
      </c>
      <c r="L19" s="89">
        <f t="shared" si="6"/>
        <v>2.74</v>
      </c>
      <c r="M19" s="89">
        <f t="shared" si="6"/>
        <v>2.74</v>
      </c>
      <c r="N19" s="90">
        <f t="shared" si="6"/>
        <v>2.74</v>
      </c>
      <c r="P19" s="30" t="s">
        <v>39</v>
      </c>
      <c r="Q19" s="5">
        <v>9.1800000000000007E-2</v>
      </c>
      <c r="R19" s="91">
        <f>SUM(R13:R18)*Q19</f>
        <v>0.31356529920000004</v>
      </c>
    </row>
    <row r="20" spans="3:18" ht="14.7" thickBot="1" x14ac:dyDescent="0.6">
      <c r="F20" s="26" t="s">
        <v>40</v>
      </c>
      <c r="G20" s="89" t="str">
        <f t="shared" ref="G20:N20" si="7">IF($D$9="Besoins usuels", "",$R$28)</f>
        <v/>
      </c>
      <c r="H20" s="89" t="str">
        <f t="shared" si="7"/>
        <v/>
      </c>
      <c r="I20" s="89" t="str">
        <f t="shared" si="7"/>
        <v/>
      </c>
      <c r="J20" s="89" t="str">
        <f t="shared" si="7"/>
        <v/>
      </c>
      <c r="K20" s="89" t="str">
        <f t="shared" si="7"/>
        <v/>
      </c>
      <c r="L20" s="89" t="str">
        <f t="shared" si="7"/>
        <v/>
      </c>
      <c r="M20" s="89" t="str">
        <f t="shared" si="7"/>
        <v/>
      </c>
      <c r="N20" s="90" t="str">
        <f t="shared" si="7"/>
        <v/>
      </c>
      <c r="P20" s="37" t="s">
        <v>41</v>
      </c>
      <c r="Q20" s="9"/>
      <c r="R20" s="92">
        <f>R11+R19</f>
        <v>2.0577652992000002</v>
      </c>
    </row>
    <row r="21" spans="3:18" ht="15" customHeight="1" x14ac:dyDescent="0.55000000000000004">
      <c r="C21" s="146" t="s">
        <v>42</v>
      </c>
      <c r="D21" s="147"/>
      <c r="F21" s="26" t="s">
        <v>43</v>
      </c>
      <c r="G21" s="89" t="str">
        <f t="shared" ref="G21:N21" si="8">IF($D$11&lt;5,ROUND($R$29/$D$11,2),"")</f>
        <v/>
      </c>
      <c r="H21" s="89" t="str">
        <f t="shared" si="8"/>
        <v/>
      </c>
      <c r="I21" s="89" t="str">
        <f t="shared" si="8"/>
        <v/>
      </c>
      <c r="J21" s="89" t="str">
        <f t="shared" si="8"/>
        <v/>
      </c>
      <c r="K21" s="89" t="str">
        <f t="shared" si="8"/>
        <v/>
      </c>
      <c r="L21" s="89" t="str">
        <f t="shared" si="8"/>
        <v/>
      </c>
      <c r="M21" s="89" t="str">
        <f t="shared" si="8"/>
        <v/>
      </c>
      <c r="N21" s="90" t="str">
        <f t="shared" si="8"/>
        <v/>
      </c>
      <c r="P21" s="38" t="s">
        <v>44</v>
      </c>
      <c r="Q21" s="39"/>
      <c r="R21" s="93">
        <f>SUM(R10:R19)</f>
        <v>24.4735092992</v>
      </c>
    </row>
    <row r="22" spans="3:18" x14ac:dyDescent="0.55000000000000004">
      <c r="C22" s="40" t="s">
        <v>45</v>
      </c>
      <c r="D22" s="94">
        <f>IFERROR(IF($D$9="Besoins usuels",ROUND(G9+SUM(G18:G29)+5.41,2),ROUND(G9+SUM(G18:G29)+14.6,2)),"")</f>
        <v>90.23</v>
      </c>
      <c r="F22" s="26" t="s">
        <v>46</v>
      </c>
      <c r="G22" s="89">
        <f t="shared" ref="G22:N22" si="9">IF($D$11&gt;4,ROUND($R$30/$D$11,2),"")</f>
        <v>0.7</v>
      </c>
      <c r="H22" s="89">
        <f t="shared" si="9"/>
        <v>0.7</v>
      </c>
      <c r="I22" s="89">
        <f t="shared" si="9"/>
        <v>0.7</v>
      </c>
      <c r="J22" s="89">
        <f t="shared" si="9"/>
        <v>0.7</v>
      </c>
      <c r="K22" s="89">
        <f t="shared" si="9"/>
        <v>0.7</v>
      </c>
      <c r="L22" s="89">
        <f t="shared" si="9"/>
        <v>0.7</v>
      </c>
      <c r="M22" s="89">
        <f t="shared" si="9"/>
        <v>0.7</v>
      </c>
      <c r="N22" s="90">
        <f t="shared" si="9"/>
        <v>0.7</v>
      </c>
    </row>
    <row r="23" spans="3:18" ht="15" customHeight="1" x14ac:dyDescent="0.55000000000000004">
      <c r="C23" s="40" t="s">
        <v>47</v>
      </c>
      <c r="D23" s="94">
        <f>IFERROR(D22*30,"")</f>
        <v>2706.9</v>
      </c>
      <c r="F23" s="26" t="s">
        <v>48</v>
      </c>
      <c r="G23" s="89">
        <f t="shared" ref="G23:N23" si="10">IF($D$9="Besoins usuels",$R$31,"")</f>
        <v>0.25</v>
      </c>
      <c r="H23" s="89">
        <f t="shared" si="10"/>
        <v>0.25</v>
      </c>
      <c r="I23" s="89">
        <f t="shared" si="10"/>
        <v>0.25</v>
      </c>
      <c r="J23" s="89">
        <f t="shared" si="10"/>
        <v>0.25</v>
      </c>
      <c r="K23" s="89">
        <f t="shared" si="10"/>
        <v>0.25</v>
      </c>
      <c r="L23" s="89">
        <f t="shared" si="10"/>
        <v>0.25</v>
      </c>
      <c r="M23" s="89">
        <f t="shared" si="10"/>
        <v>0.25</v>
      </c>
      <c r="N23" s="90">
        <f t="shared" si="10"/>
        <v>0.25</v>
      </c>
      <c r="P23" s="137" t="s">
        <v>33</v>
      </c>
      <c r="Q23" s="144"/>
      <c r="R23" s="145"/>
    </row>
    <row r="24" spans="3:18" x14ac:dyDescent="0.55000000000000004">
      <c r="C24" s="152" t="s">
        <v>49</v>
      </c>
      <c r="D24" s="153"/>
      <c r="F24" s="26" t="s">
        <v>50</v>
      </c>
      <c r="G24" s="89" t="str">
        <f t="shared" ref="G24:N24" si="11">IF($D$9="Besoins complexes",$R$32,"")</f>
        <v/>
      </c>
      <c r="H24" s="89" t="str">
        <f t="shared" si="11"/>
        <v/>
      </c>
      <c r="I24" s="89" t="str">
        <f t="shared" si="11"/>
        <v/>
      </c>
      <c r="J24" s="89" t="str">
        <f t="shared" si="11"/>
        <v/>
      </c>
      <c r="K24" s="89" t="str">
        <f t="shared" si="11"/>
        <v/>
      </c>
      <c r="L24" s="89" t="str">
        <f t="shared" si="11"/>
        <v/>
      </c>
      <c r="M24" s="89" t="str">
        <f t="shared" si="11"/>
        <v/>
      </c>
      <c r="N24" s="90" t="str">
        <f t="shared" si="11"/>
        <v/>
      </c>
      <c r="P24" s="41"/>
      <c r="Q24" s="42"/>
      <c r="R24" s="43"/>
    </row>
    <row r="25" spans="3:18" ht="48" customHeight="1" thickBot="1" x14ac:dyDescent="0.6">
      <c r="C25" s="154"/>
      <c r="D25" s="155"/>
      <c r="F25" s="26" t="s">
        <v>51</v>
      </c>
      <c r="G25" s="87">
        <f t="shared" ref="G25:N25" si="12">$R$33</f>
        <v>0.72</v>
      </c>
      <c r="H25" s="87">
        <f>H35</f>
        <v>0</v>
      </c>
      <c r="I25" s="87">
        <f t="shared" si="12"/>
        <v>0.72</v>
      </c>
      <c r="J25" s="87">
        <f t="shared" si="12"/>
        <v>0.72</v>
      </c>
      <c r="K25" s="87">
        <f t="shared" si="12"/>
        <v>0.72</v>
      </c>
      <c r="L25" s="87">
        <f t="shared" si="12"/>
        <v>0.72</v>
      </c>
      <c r="M25" s="87">
        <f t="shared" si="12"/>
        <v>0.72</v>
      </c>
      <c r="N25" s="88">
        <f t="shared" si="12"/>
        <v>0.72</v>
      </c>
      <c r="P25" s="95"/>
      <c r="Q25" s="96"/>
      <c r="R25" s="97" t="s">
        <v>52</v>
      </c>
    </row>
    <row r="26" spans="3:18" ht="14.7" thickBot="1" x14ac:dyDescent="0.6">
      <c r="F26" s="26" t="s">
        <v>53</v>
      </c>
      <c r="G26" s="87">
        <f t="shared" ref="G26:M26" si="13">$R$35</f>
        <v>2.33</v>
      </c>
      <c r="H26" s="87">
        <f t="shared" si="13"/>
        <v>2.33</v>
      </c>
      <c r="I26" s="87">
        <f t="shared" si="13"/>
        <v>2.33</v>
      </c>
      <c r="J26" s="87">
        <f t="shared" si="13"/>
        <v>2.33</v>
      </c>
      <c r="K26" s="87">
        <f t="shared" si="13"/>
        <v>2.33</v>
      </c>
      <c r="L26" s="87">
        <f t="shared" si="13"/>
        <v>2.33</v>
      </c>
      <c r="M26" s="87">
        <f t="shared" si="13"/>
        <v>2.33</v>
      </c>
      <c r="N26" s="88">
        <f>$R$35</f>
        <v>2.33</v>
      </c>
      <c r="P26" s="95" t="s">
        <v>54</v>
      </c>
      <c r="Q26" s="98" t="s">
        <v>55</v>
      </c>
      <c r="R26" s="86">
        <v>39.450000000000003</v>
      </c>
    </row>
    <row r="27" spans="3:18" x14ac:dyDescent="0.55000000000000004">
      <c r="C27" s="148" t="s">
        <v>56</v>
      </c>
      <c r="D27" s="149"/>
      <c r="F27" s="26" t="s">
        <v>57</v>
      </c>
      <c r="G27" s="89">
        <f t="shared" ref="G27:N27" si="14">$R$36</f>
        <v>2.21</v>
      </c>
      <c r="H27" s="89">
        <f t="shared" si="14"/>
        <v>2.21</v>
      </c>
      <c r="I27" s="89">
        <f t="shared" si="14"/>
        <v>2.21</v>
      </c>
      <c r="J27" s="89">
        <f t="shared" si="14"/>
        <v>2.21</v>
      </c>
      <c r="K27" s="89">
        <f t="shared" si="14"/>
        <v>2.21</v>
      </c>
      <c r="L27" s="89">
        <f t="shared" si="14"/>
        <v>2.21</v>
      </c>
      <c r="M27" s="89">
        <f t="shared" si="14"/>
        <v>2.21</v>
      </c>
      <c r="N27" s="90">
        <f t="shared" si="14"/>
        <v>2.21</v>
      </c>
      <c r="P27" s="95" t="s">
        <v>38</v>
      </c>
      <c r="Q27" s="98" t="s">
        <v>58</v>
      </c>
      <c r="R27" s="86">
        <v>2.74</v>
      </c>
    </row>
    <row r="28" spans="3:18" ht="28.8" x14ac:dyDescent="0.55000000000000004">
      <c r="C28" s="44" t="s">
        <v>59</v>
      </c>
      <c r="D28" s="99" t="s">
        <v>37</v>
      </c>
      <c r="F28" s="26"/>
      <c r="G28" s="89"/>
      <c r="H28" s="89"/>
      <c r="I28" s="89"/>
      <c r="J28" s="89"/>
      <c r="K28" s="89"/>
      <c r="L28" s="89"/>
      <c r="M28" s="89"/>
      <c r="N28" s="90"/>
      <c r="P28" s="95" t="s">
        <v>40</v>
      </c>
      <c r="Q28" s="98" t="s">
        <v>58</v>
      </c>
      <c r="R28" s="86">
        <v>4.6900000000000004</v>
      </c>
    </row>
    <row r="29" spans="3:18" x14ac:dyDescent="0.55000000000000004">
      <c r="C29" s="45"/>
      <c r="D29" s="46"/>
      <c r="F29" s="26" t="s">
        <v>61</v>
      </c>
      <c r="G29" s="89">
        <v>14.29</v>
      </c>
      <c r="H29" s="89">
        <v>14.29</v>
      </c>
      <c r="I29" s="89">
        <v>14.29</v>
      </c>
      <c r="J29" s="89">
        <v>14.29</v>
      </c>
      <c r="K29" s="89">
        <v>14.29</v>
      </c>
      <c r="L29" s="89">
        <v>14.29</v>
      </c>
      <c r="M29" s="89">
        <v>14.29</v>
      </c>
      <c r="N29" s="90">
        <v>14.29</v>
      </c>
      <c r="P29" s="95" t="s">
        <v>43</v>
      </c>
      <c r="Q29" s="98" t="s">
        <v>55</v>
      </c>
      <c r="R29" s="86">
        <v>4.5199999999999996</v>
      </c>
    </row>
    <row r="30" spans="3:18" x14ac:dyDescent="0.55000000000000004">
      <c r="C30" s="150" t="s">
        <v>62</v>
      </c>
      <c r="D30" s="151"/>
      <c r="F30" s="26"/>
      <c r="G30" s="89"/>
      <c r="H30" s="89"/>
      <c r="I30" s="89"/>
      <c r="J30" s="89"/>
      <c r="K30" s="89"/>
      <c r="L30" s="89"/>
      <c r="M30" s="89"/>
      <c r="N30" s="90"/>
      <c r="P30" s="95" t="s">
        <v>46</v>
      </c>
      <c r="Q30" s="98" t="s">
        <v>55</v>
      </c>
      <c r="R30" s="86">
        <v>4.93</v>
      </c>
    </row>
    <row r="31" spans="3:18" ht="28.8" x14ac:dyDescent="0.55000000000000004">
      <c r="C31" s="47" t="s">
        <v>63</v>
      </c>
      <c r="D31" s="48">
        <v>1</v>
      </c>
      <c r="F31" s="26" t="s">
        <v>64</v>
      </c>
      <c r="G31" s="89">
        <f>IF($D$9="Besoins usuels",KEY!U4,"")</f>
        <v>7.85</v>
      </c>
      <c r="H31" s="89">
        <f>IF($D$9="Besoins usuels",KEY!V4,"")</f>
        <v>9.4699999999999989</v>
      </c>
      <c r="I31" s="89">
        <f>IF($D$9="Besoins usuels",KEY!W4,"")</f>
        <v>11.51</v>
      </c>
      <c r="J31" s="89">
        <f>IF($D$9="Besoins usuels",KEY!X4,"")</f>
        <v>12.719999999999999</v>
      </c>
      <c r="K31" s="89">
        <f>IF($D$9="Besoins usuels",KEY!Y4,"")</f>
        <v>12.719999999999999</v>
      </c>
      <c r="L31" s="89">
        <f>IF($D$9="Besoins usuels",KEY!Z4,"")</f>
        <v>12.719999999999999</v>
      </c>
      <c r="M31" s="89">
        <f>IF($D$9="Besoins usuels",KEY!AA4,"")</f>
        <v>13.540000000000001</v>
      </c>
      <c r="N31" s="90">
        <f>IF($D$9="Besoins usuels",KEY!AB4,"")</f>
        <v>5.41</v>
      </c>
      <c r="P31" s="95" t="s">
        <v>48</v>
      </c>
      <c r="Q31" s="98" t="s">
        <v>58</v>
      </c>
      <c r="R31" s="86">
        <v>0.25</v>
      </c>
    </row>
    <row r="32" spans="3:18" ht="15.75" customHeight="1" x14ac:dyDescent="0.55000000000000004">
      <c r="C32" s="47" t="s">
        <v>65</v>
      </c>
      <c r="D32" s="49" cm="1">
        <f t="array" ref="D32">IF(D31="","",IF(D31="Pas connu",G11,INDEX($G$11:$M$11,1,D31)))</f>
        <v>6</v>
      </c>
      <c r="F32" s="26" t="s">
        <v>66</v>
      </c>
      <c r="G32" s="89" t="str">
        <f>IF($D$9="Besoins complexes",KEY!U5,"")</f>
        <v/>
      </c>
      <c r="H32" s="89" t="str">
        <f>IF($D$9="Besoins complexes",KEY!V5,"")</f>
        <v/>
      </c>
      <c r="I32" s="89" t="str">
        <f>IF($D$9="Besoins complexes",KEY!W5,"")</f>
        <v/>
      </c>
      <c r="J32" s="89" t="str">
        <f>IF($D$9="Besoins complexes",KEY!X5,"")</f>
        <v/>
      </c>
      <c r="K32" s="89" t="str">
        <f>IF($D$9="Besoins complexes",KEY!Y5,"")</f>
        <v/>
      </c>
      <c r="L32" s="89" t="str">
        <f>IF($D$9="Besoins complexes",KEY!Z5,"")</f>
        <v/>
      </c>
      <c r="M32" s="89" t="str">
        <f>IF($D$9="Besoins complexes",KEY!AA5,"")</f>
        <v/>
      </c>
      <c r="N32" s="90" t="str">
        <f>IF($D$9="Besoins complexes",KEY!AB5,"")</f>
        <v/>
      </c>
      <c r="P32" s="95" t="s">
        <v>50</v>
      </c>
      <c r="Q32" s="98" t="s">
        <v>58</v>
      </c>
      <c r="R32" s="86">
        <v>0.35</v>
      </c>
    </row>
    <row r="33" spans="3:18" ht="15.75" customHeight="1" thickBot="1" x14ac:dyDescent="0.6">
      <c r="C33" s="47" t="s">
        <v>67</v>
      </c>
      <c r="D33" s="100" cm="1">
        <f t="array" ref="D33">IF(D31="","",IF(D31="Pas connu",G34,INDEX($G$34:$M$34,1,D31)))</f>
        <v>117.52</v>
      </c>
      <c r="F33" s="26"/>
      <c r="G33" s="89"/>
      <c r="H33" s="89"/>
      <c r="I33" s="89"/>
      <c r="J33" s="89"/>
      <c r="K33" s="89"/>
      <c r="L33" s="89"/>
      <c r="M33" s="89"/>
      <c r="N33" s="90"/>
      <c r="P33" s="95" t="s">
        <v>51</v>
      </c>
      <c r="Q33" s="98" t="s">
        <v>58</v>
      </c>
      <c r="R33" s="86">
        <v>0.72</v>
      </c>
    </row>
    <row r="34" spans="3:18" ht="14.7" thickBot="1" x14ac:dyDescent="0.6">
      <c r="C34" s="50"/>
      <c r="D34" s="101"/>
      <c r="F34" s="51" t="s">
        <v>68</v>
      </c>
      <c r="G34" s="102">
        <f t="shared" ref="G34:N34" si="15">IFERROR(ROUND(G9+SUM(G12:G33),2),"")</f>
        <v>117.52</v>
      </c>
      <c r="H34" s="102">
        <f t="shared" si="15"/>
        <v>134.34</v>
      </c>
      <c r="I34" s="102">
        <f t="shared" si="15"/>
        <v>156.51</v>
      </c>
      <c r="J34" s="102">
        <f t="shared" si="15"/>
        <v>170.15</v>
      </c>
      <c r="K34" s="102">
        <f t="shared" si="15"/>
        <v>170.15</v>
      </c>
      <c r="L34" s="102">
        <f t="shared" si="15"/>
        <v>170.15</v>
      </c>
      <c r="M34" s="102">
        <f t="shared" si="15"/>
        <v>177.96</v>
      </c>
      <c r="N34" s="103">
        <f t="shared" si="15"/>
        <v>90.23</v>
      </c>
      <c r="P34" s="95"/>
      <c r="Q34" s="98"/>
      <c r="R34" s="86"/>
    </row>
    <row r="35" spans="3:18" ht="16.5" x14ac:dyDescent="0.55000000000000004">
      <c r="C35" s="52" t="s">
        <v>69</v>
      </c>
      <c r="D35" s="53">
        <v>10</v>
      </c>
      <c r="F35" s="54"/>
      <c r="G35" s="55"/>
      <c r="H35" s="55"/>
      <c r="I35" s="55"/>
      <c r="J35" s="55"/>
      <c r="K35" s="55"/>
      <c r="L35" s="55"/>
      <c r="M35" s="56"/>
      <c r="N35" s="104"/>
      <c r="P35" s="95" t="s">
        <v>53</v>
      </c>
      <c r="Q35" s="98" t="s">
        <v>58</v>
      </c>
      <c r="R35" s="86">
        <v>2.33</v>
      </c>
    </row>
    <row r="36" spans="3:18" ht="28.8" x14ac:dyDescent="0.55000000000000004">
      <c r="C36" s="47" t="s">
        <v>70</v>
      </c>
      <c r="D36" s="105">
        <f>IF(ROUND($D$35*$R$21/7,2)=0,"",ROUND($D$35*$R$21/7,2))</f>
        <v>34.96</v>
      </c>
      <c r="F36" s="32" t="s">
        <v>71</v>
      </c>
      <c r="G36" s="83">
        <f t="shared" ref="G36:M36" si="16">IFERROR(G34*365,"")</f>
        <v>42894.799999999996</v>
      </c>
      <c r="H36" s="83">
        <f t="shared" si="16"/>
        <v>49034.1</v>
      </c>
      <c r="I36" s="83">
        <f t="shared" si="16"/>
        <v>57126.149999999994</v>
      </c>
      <c r="J36" s="83">
        <f t="shared" si="16"/>
        <v>62104.75</v>
      </c>
      <c r="K36" s="83">
        <f t="shared" si="16"/>
        <v>62104.75</v>
      </c>
      <c r="L36" s="83">
        <f t="shared" si="16"/>
        <v>62104.75</v>
      </c>
      <c r="M36" s="106">
        <f t="shared" si="16"/>
        <v>64955.4</v>
      </c>
      <c r="N36" s="107">
        <f>IFERROR(N34*30,"")</f>
        <v>2706.9</v>
      </c>
      <c r="P36" s="108" t="s">
        <v>57</v>
      </c>
      <c r="Q36" s="109" t="s">
        <v>58</v>
      </c>
      <c r="R36" s="110">
        <v>2.21</v>
      </c>
    </row>
    <row r="37" spans="3:18" x14ac:dyDescent="0.55000000000000004">
      <c r="C37" s="47" t="s">
        <v>72</v>
      </c>
      <c r="D37" s="111">
        <f>IFERROR(IF(D35="","", IF($D$17="Urbain",ROUND(ROUND((D32+D35)/4,0)*$Q$41/7,2)-ROUND(ROUND(D32/4,0)*$Q$41/7,2), IF($D$17="Rural",ROUND(ROUND((D32+D35)/4,0)*$Q$42*$Q$43/7,2)-ROUND(ROUND(D32/4,0)*$Q$42*$Q$43/7*$Q$44,2),IF($D$17="Nord", ROUND(ROUND((D32+D35)/4,0)*$Q$42*$Q$43/7*$Q$44,2)-ROUND(ROUND(D32/4,0)*$Q$42*$Q$43/7*$Q$44,2),"")))),"")</f>
        <v>3.87</v>
      </c>
      <c r="F37" s="32"/>
      <c r="G37" s="83"/>
      <c r="H37" s="83"/>
      <c r="I37" s="83"/>
      <c r="J37" s="83"/>
      <c r="K37" s="83"/>
      <c r="L37" s="83"/>
      <c r="M37" s="106"/>
      <c r="N37" s="107"/>
    </row>
    <row r="38" spans="3:18" ht="28.8" x14ac:dyDescent="0.55000000000000004">
      <c r="C38" s="47" t="s">
        <v>73</v>
      </c>
      <c r="D38" s="57">
        <f>IFERROR(D36+IF(D37="","",D37),"")</f>
        <v>38.83</v>
      </c>
      <c r="F38" s="26" t="s">
        <v>74</v>
      </c>
      <c r="G38" s="112">
        <f t="shared" ref="G38:M38" si="17">IFERROR(780*12/365,"")</f>
        <v>25.643835616438356</v>
      </c>
      <c r="H38" s="112">
        <f t="shared" si="17"/>
        <v>25.643835616438356</v>
      </c>
      <c r="I38" s="112">
        <f t="shared" si="17"/>
        <v>25.643835616438356</v>
      </c>
      <c r="J38" s="112">
        <f t="shared" si="17"/>
        <v>25.643835616438356</v>
      </c>
      <c r="K38" s="112">
        <f t="shared" si="17"/>
        <v>25.643835616438356</v>
      </c>
      <c r="L38" s="112">
        <f t="shared" si="17"/>
        <v>25.643835616438356</v>
      </c>
      <c r="M38" s="113">
        <f t="shared" si="17"/>
        <v>25.643835616438356</v>
      </c>
      <c r="N38" s="114"/>
    </row>
    <row r="39" spans="3:18" x14ac:dyDescent="0.55000000000000004">
      <c r="C39" s="58" t="s">
        <v>75</v>
      </c>
      <c r="D39" s="115">
        <f>IFERROR(D33+D36+D37,"")</f>
        <v>156.35</v>
      </c>
      <c r="F39" s="26"/>
      <c r="G39" s="112"/>
      <c r="H39" s="112"/>
      <c r="I39" s="112"/>
      <c r="J39" s="112"/>
      <c r="K39" s="112"/>
      <c r="L39" s="112"/>
      <c r="M39" s="113"/>
      <c r="N39" s="114"/>
      <c r="P39" s="137" t="s">
        <v>76</v>
      </c>
      <c r="Q39" s="138"/>
      <c r="R39" s="139"/>
    </row>
    <row r="40" spans="3:18" ht="14.7" thickBot="1" x14ac:dyDescent="0.6">
      <c r="C40" s="52" t="s">
        <v>77</v>
      </c>
      <c r="D40" s="130">
        <f>IFERROR(D39*365,"")</f>
        <v>57067.75</v>
      </c>
      <c r="F40" s="59" t="s">
        <v>78</v>
      </c>
      <c r="G40" s="116">
        <f t="shared" ref="G40:N40" si="18">IFERROR(G34+G38,"")</f>
        <v>143.16383561643835</v>
      </c>
      <c r="H40" s="116">
        <f t="shared" si="18"/>
        <v>159.98383561643837</v>
      </c>
      <c r="I40" s="116">
        <f t="shared" si="18"/>
        <v>182.15383561643836</v>
      </c>
      <c r="J40" s="116">
        <f t="shared" si="18"/>
        <v>195.79383561643837</v>
      </c>
      <c r="K40" s="116">
        <f t="shared" si="18"/>
        <v>195.79383561643837</v>
      </c>
      <c r="L40" s="116">
        <f t="shared" si="18"/>
        <v>195.79383561643837</v>
      </c>
      <c r="M40" s="116">
        <f t="shared" si="18"/>
        <v>203.60383561643837</v>
      </c>
      <c r="N40" s="117">
        <f t="shared" si="18"/>
        <v>90.23</v>
      </c>
      <c r="P40" s="30"/>
      <c r="Q40" s="31"/>
      <c r="R40" s="36"/>
    </row>
    <row r="41" spans="3:18" ht="15" customHeight="1" x14ac:dyDescent="0.55000000000000004">
      <c r="C41" s="159" t="s">
        <v>79</v>
      </c>
      <c r="D41" s="160"/>
      <c r="F41" s="60"/>
      <c r="G41" s="118"/>
      <c r="H41" s="118"/>
      <c r="I41" s="118"/>
      <c r="J41" s="118"/>
      <c r="K41" s="118"/>
      <c r="L41" s="118"/>
      <c r="M41" s="118"/>
      <c r="N41" s="119"/>
      <c r="P41" s="120" t="s">
        <v>32</v>
      </c>
      <c r="Q41" s="121">
        <v>6</v>
      </c>
      <c r="R41" s="86" t="s">
        <v>80</v>
      </c>
    </row>
    <row r="42" spans="3:18" x14ac:dyDescent="0.55000000000000004">
      <c r="C42" s="161"/>
      <c r="D42" s="162"/>
      <c r="F42" s="59" t="s">
        <v>81</v>
      </c>
      <c r="G42" s="116">
        <f t="shared" ref="G42:M42" si="19">IFERROR((G34+G38)*365,"")</f>
        <v>52254.799999999996</v>
      </c>
      <c r="H42" s="116">
        <f t="shared" si="19"/>
        <v>58394.100000000006</v>
      </c>
      <c r="I42" s="116">
        <f t="shared" si="19"/>
        <v>66486.149999999994</v>
      </c>
      <c r="J42" s="116">
        <f t="shared" si="19"/>
        <v>71464.75</v>
      </c>
      <c r="K42" s="116">
        <f t="shared" si="19"/>
        <v>71464.75</v>
      </c>
      <c r="L42" s="116">
        <f t="shared" si="19"/>
        <v>71464.75</v>
      </c>
      <c r="M42" s="116">
        <f t="shared" si="19"/>
        <v>74315.400000000009</v>
      </c>
      <c r="N42" s="117">
        <f>IFERROR((N34+N38)*30,"")</f>
        <v>2706.9</v>
      </c>
      <c r="P42" s="120" t="s">
        <v>82</v>
      </c>
      <c r="Q42" s="10">
        <v>30</v>
      </c>
      <c r="R42" s="86" t="s">
        <v>83</v>
      </c>
    </row>
    <row r="43" spans="3:18" ht="15" customHeight="1" x14ac:dyDescent="0.55000000000000004">
      <c r="C43" s="161"/>
      <c r="D43" s="162"/>
      <c r="P43" s="30"/>
      <c r="Q43" s="122">
        <v>0.43</v>
      </c>
      <c r="R43" s="86" t="s">
        <v>84</v>
      </c>
    </row>
    <row r="44" spans="3:18" ht="34.9" customHeight="1" x14ac:dyDescent="0.55000000000000004">
      <c r="C44" s="161"/>
      <c r="D44" s="162"/>
      <c r="H44" s="123"/>
      <c r="I44" s="123"/>
      <c r="J44" s="123"/>
      <c r="K44" s="123"/>
      <c r="L44" s="123"/>
      <c r="M44" s="123"/>
      <c r="N44" s="123"/>
      <c r="P44" s="124" t="s">
        <v>85</v>
      </c>
      <c r="Q44" s="61">
        <v>1.05</v>
      </c>
      <c r="R44" s="110" t="s">
        <v>86</v>
      </c>
    </row>
    <row r="45" spans="3:18" x14ac:dyDescent="0.55000000000000004">
      <c r="C45" s="161"/>
      <c r="D45" s="162"/>
      <c r="H45" s="11"/>
      <c r="I45" s="11"/>
      <c r="J45" s="11"/>
      <c r="K45" s="11"/>
      <c r="L45" s="11"/>
      <c r="M45" s="11"/>
    </row>
    <row r="46" spans="3:18" ht="14.7" thickBot="1" x14ac:dyDescent="0.6">
      <c r="C46" s="163"/>
      <c r="D46" s="164"/>
      <c r="M46" s="11"/>
    </row>
  </sheetData>
  <mergeCells count="14">
    <mergeCell ref="C1:N1"/>
    <mergeCell ref="D3:H3"/>
    <mergeCell ref="D4:H4"/>
    <mergeCell ref="C41:D46"/>
    <mergeCell ref="P7:R7"/>
    <mergeCell ref="C7:D7"/>
    <mergeCell ref="P9:R9"/>
    <mergeCell ref="P39:R39"/>
    <mergeCell ref="C14:D15"/>
    <mergeCell ref="P23:R23"/>
    <mergeCell ref="C21:D21"/>
    <mergeCell ref="C27:D27"/>
    <mergeCell ref="C30:D30"/>
    <mergeCell ref="C24:D25"/>
  </mergeCells>
  <conditionalFormatting sqref="C14">
    <cfRule type="containsText" dxfId="5" priority="15" operator="containsText" text="24 heures">
      <formula>NOT(ISERROR(SEARCH("24 heures",C14)))</formula>
    </cfRule>
  </conditionalFormatting>
  <conditionalFormatting sqref="C24">
    <cfRule type="containsText" dxfId="4" priority="3" operator="containsText" text="re-select">
      <formula>NOT(ISERROR(SEARCH("re-select",C24)))</formula>
    </cfRule>
  </conditionalFormatting>
  <conditionalFormatting sqref="C41">
    <cfRule type="containsText" dxfId="3" priority="2" operator="containsText" text="re-select">
      <formula>NOT(ISERROR(SEARCH("re-select",C41)))</formula>
    </cfRule>
  </conditionalFormatting>
  <conditionalFormatting sqref="C14:D15">
    <cfRule type="containsText" dxfId="2" priority="14" operator="containsText" text="re-select">
      <formula>NOT(ISERROR(SEARCH("re-select",C14)))</formula>
    </cfRule>
  </conditionalFormatting>
  <conditionalFormatting sqref="C28:D28">
    <cfRule type="expression" dxfId="1" priority="11">
      <formula>NOT(AND($D$9="Besoins complexes",OR($D$11=3,$D$11=4)))</formula>
    </cfRule>
  </conditionalFormatting>
  <dataValidations count="1">
    <dataValidation type="list" allowBlank="1" showInputMessage="1" showErrorMessage="1" sqref="D28" xr:uid="{6B98D4F3-D923-496C-84FE-E50DF79D88CF}">
      <formula1>CoreStaffingExceptionList</formula1>
    </dataValidation>
  </dataValidations>
  <pageMargins left="0.70866141732283472" right="0.70866141732283472" top="0" bottom="0" header="0.31496062992125984" footer="0.31496062992125984"/>
  <pageSetup paperSize="5" scale="75" orientation="landscape" r:id="rId1"/>
  <headerFooter>
    <oddHeader xml:space="preserve">&amp;C
</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9" id="{B0C5EE22-F5B0-4280-A661-BD063ADBCF93}">
            <xm:f>AND(D13&lt;&gt;"",COUNTIFS(KEY!$D$3:$D$194,$D$9,KEY!$E$3:$E$194,$D$11,KEY!$F$3:$F$194,$D$13)=0)</xm:f>
            <x14:dxf>
              <font>
                <color rgb="FF000000"/>
              </font>
              <fill>
                <patternFill>
                  <bgColor rgb="FFFF0000"/>
                </patternFill>
              </fill>
            </x14:dxf>
          </x14:cfRule>
          <xm:sqref>D13</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FF1905A3-8D38-41EB-B4AD-46A070CDF4A4}">
          <x14:formula1>
            <xm:f>_xlfn.ANCHORARRAY(KEY!$J$3)</xm:f>
          </x14:formula1>
          <xm:sqref>D11</xm:sqref>
        </x14:dataValidation>
        <x14:dataValidation type="list" allowBlank="1" showInputMessage="1" showErrorMessage="1" xr:uid="{007A8A30-81AB-4F13-97DA-BC4ECFFBC944}">
          <x14:formula1>
            <xm:f>KEY!$Q$6:$Q$8</xm:f>
          </x14:formula1>
          <xm:sqref>D17</xm:sqref>
        </x14:dataValidation>
        <x14:dataValidation type="list" allowBlank="1" showInputMessage="1" showErrorMessage="1" xr:uid="{DD4EA134-7448-4062-AEA0-4E2ABE44221A}">
          <x14:formula1>
            <xm:f>KEY!$Q$3:$Q$4</xm:f>
          </x14:formula1>
          <xm:sqref>D19</xm:sqref>
        </x14:dataValidation>
        <x14:dataValidation type="list" allowBlank="1" showInputMessage="1" showErrorMessage="1" xr:uid="{11BADEC2-2846-4673-88A4-8DCF70D9CDB3}">
          <x14:formula1>
            <xm:f>_xlfn.ANCHORARRAY(KEY!$K$3)</xm:f>
          </x14:formula1>
          <xm:sqref>D13</xm:sqref>
        </x14:dataValidation>
        <x14:dataValidation type="list" allowBlank="1" showInputMessage="1" showErrorMessage="1" xr:uid="{D06EB28E-981A-432F-847F-98C402CAB560}">
          <x14:formula1>
            <xm:f>KEY!$I$3:$I$4</xm:f>
          </x14:formula1>
          <xm:sqref>D9</xm:sqref>
        </x14:dataValidation>
        <x14:dataValidation type="list" allowBlank="1" showInputMessage="1" showErrorMessage="1" xr:uid="{8ACD3C67-6E35-489E-AA07-3D496D1AE59E}">
          <x14:formula1>
            <xm:f>KEY!$T$3:$AA$3</xm:f>
          </x14:formula1>
          <xm:sqref>D31</xm:sqref>
        </x14:dataValidation>
        <x14:dataValidation type="list" allowBlank="1" showInputMessage="1" showErrorMessage="1" xr:uid="{36C21BA7-1A9E-42CB-8596-F752BF6710E4}">
          <x14:formula1>
            <xm:f>KEY!$AD$3:$AD$12</xm:f>
          </x14:formula1>
          <xm:sqref>D5</xm:sqref>
        </x14:dataValidation>
        <x14:dataValidation type="list" allowBlank="1" showInputMessage="1" showErrorMessage="1" xr:uid="{9133C3EB-A0AD-4B85-AE6E-E7908904B2BB}">
          <x14:formula1>
            <xm:f>KEY!$B$3:$B$72</xm:f>
          </x14:formula1>
          <xm:sqref>D3:H3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6A1AB-326C-49DB-BA75-FC7C78FB7DCB}">
  <dimension ref="B1:AZ194"/>
  <sheetViews>
    <sheetView workbookViewId="0">
      <selection activeCell="M4" sqref="M4"/>
    </sheetView>
  </sheetViews>
  <sheetFormatPr defaultRowHeight="14.4" x14ac:dyDescent="0.55000000000000004"/>
  <cols>
    <col min="2" max="2" width="61.83984375" bestFit="1" customWidth="1"/>
    <col min="4" max="4" width="15.68359375" customWidth="1"/>
    <col min="5" max="5" width="10.578125" customWidth="1"/>
    <col min="6" max="6" width="14.15625" customWidth="1"/>
    <col min="7" max="7" width="12.578125" bestFit="1" customWidth="1"/>
    <col min="9" max="9" width="20.26171875" bestFit="1" customWidth="1"/>
    <col min="10" max="10" width="11.578125" bestFit="1" customWidth="1"/>
    <col min="17" max="17" width="20.26171875" bestFit="1" customWidth="1"/>
    <col min="19" max="19" width="16.41796875" bestFit="1" customWidth="1"/>
    <col min="20" max="20" width="9.578125" customWidth="1"/>
    <col min="28" max="28" width="9.15625" customWidth="1"/>
    <col min="30" max="30" width="10.26171875" bestFit="1" customWidth="1"/>
  </cols>
  <sheetData>
    <row r="1" spans="2:52" x14ac:dyDescent="0.55000000000000004">
      <c r="M1" s="167" t="s">
        <v>87</v>
      </c>
      <c r="N1" s="167"/>
      <c r="AZ1" t="s">
        <v>88</v>
      </c>
    </row>
    <row r="2" spans="2:52" ht="28.8" x14ac:dyDescent="0.55000000000000004">
      <c r="B2" s="62" t="s">
        <v>89</v>
      </c>
      <c r="D2" t="s">
        <v>90</v>
      </c>
      <c r="E2" t="s">
        <v>91</v>
      </c>
      <c r="F2" t="s">
        <v>92</v>
      </c>
      <c r="G2" t="s">
        <v>93</v>
      </c>
      <c r="I2" s="63" t="s">
        <v>94</v>
      </c>
      <c r="J2" s="63" t="s">
        <v>95</v>
      </c>
      <c r="K2" s="63" t="s">
        <v>96</v>
      </c>
      <c r="S2" s="165" t="s">
        <v>97</v>
      </c>
      <c r="T2" s="166"/>
      <c r="U2" s="166"/>
      <c r="V2" s="166"/>
      <c r="W2" s="166"/>
      <c r="X2" s="166"/>
      <c r="Y2" s="166"/>
      <c r="Z2" s="166"/>
      <c r="AA2" s="166"/>
      <c r="AB2" s="166"/>
      <c r="AD2" s="64" t="s">
        <v>98</v>
      </c>
    </row>
    <row r="3" spans="2:52" x14ac:dyDescent="0.55000000000000004">
      <c r="B3" s="65" t="s">
        <v>99</v>
      </c>
      <c r="D3" t="s">
        <v>219</v>
      </c>
      <c r="E3">
        <v>3</v>
      </c>
      <c r="F3" s="66" t="s">
        <v>195</v>
      </c>
      <c r="G3" s="125">
        <v>142925.294307328</v>
      </c>
      <c r="I3" t="s">
        <v>218</v>
      </c>
      <c r="J3" cm="1">
        <f t="array" ref="J3:J20">_xlfn.LET(_xlpm.ct,'ESIL Model'!$D$9,IF(_xlpm.ct="","",_xlfn._xlws.SORT(_xlfn.UNIQUE(_xlfn._xlws.FILTER(tblCore[UnitSize],tblCore[ESILSTREAM]=_xlpm.ct)))))</f>
        <v>3</v>
      </c>
      <c r="K3" t="str" cm="1">
        <f t="array" ref="K3:K4">_xlfn.LET(_xlpm.ct,'ESIL Model'!$D$9,_xlpm.un,'ESIL Model'!$D$11,IF(OR(_xlpm.ct="",_xlpm.un=""),"",_xlfn._xlws.SORT(_xlfn.UNIQUE(_xlfn._xlws.FILTER(tblCore[CoreStaffing],(tblCore[ESILSTREAM]=_xlpm.ct)*(tblCore[UnitSize]=_xlpm.un))))))</f>
        <v>16 heures</v>
      </c>
      <c r="M3" t="s">
        <v>60</v>
      </c>
      <c r="Q3" s="126" t="s">
        <v>37</v>
      </c>
      <c r="S3" s="67" t="s">
        <v>100</v>
      </c>
      <c r="T3" s="67" t="s">
        <v>217</v>
      </c>
      <c r="U3" s="68">
        <v>1</v>
      </c>
      <c r="V3" s="68">
        <v>2</v>
      </c>
      <c r="W3" s="68">
        <v>3</v>
      </c>
      <c r="X3" s="68">
        <v>4</v>
      </c>
      <c r="Y3" s="68">
        <v>5</v>
      </c>
      <c r="Z3" s="68">
        <v>6</v>
      </c>
      <c r="AA3" s="68">
        <v>7</v>
      </c>
      <c r="AB3" s="69" t="s">
        <v>101</v>
      </c>
      <c r="AD3" s="70" t="s">
        <v>102</v>
      </c>
    </row>
    <row r="4" spans="2:52" x14ac:dyDescent="0.55000000000000004">
      <c r="B4" s="71" t="s">
        <v>103</v>
      </c>
      <c r="D4" t="s">
        <v>219</v>
      </c>
      <c r="E4">
        <v>4</v>
      </c>
      <c r="F4" s="66" t="s">
        <v>195</v>
      </c>
      <c r="G4" s="125">
        <v>142925.294307328</v>
      </c>
      <c r="I4" t="s">
        <v>219</v>
      </c>
      <c r="J4">
        <v>4</v>
      </c>
      <c r="K4" t="str">
        <v>24 heures</v>
      </c>
      <c r="M4" t="s">
        <v>37</v>
      </c>
      <c r="Q4" s="126" t="s">
        <v>60</v>
      </c>
      <c r="S4" s="72" t="s">
        <v>220</v>
      </c>
      <c r="T4" s="127">
        <v>7.85</v>
      </c>
      <c r="U4" s="127">
        <v>7.85</v>
      </c>
      <c r="V4" s="127">
        <v>9.4699999999999989</v>
      </c>
      <c r="W4" s="127">
        <v>11.51</v>
      </c>
      <c r="X4" s="127">
        <v>12.719999999999999</v>
      </c>
      <c r="Y4" s="127">
        <v>12.719999999999999</v>
      </c>
      <c r="Z4" s="127">
        <v>12.719999999999999</v>
      </c>
      <c r="AA4" s="127">
        <v>13.540000000000001</v>
      </c>
      <c r="AB4" s="128">
        <v>5.41</v>
      </c>
      <c r="AD4" s="70" t="s">
        <v>104</v>
      </c>
    </row>
    <row r="5" spans="2:52" x14ac:dyDescent="0.55000000000000004">
      <c r="B5" s="71" t="s">
        <v>105</v>
      </c>
      <c r="D5" t="s">
        <v>219</v>
      </c>
      <c r="E5">
        <v>5</v>
      </c>
      <c r="F5" s="66" t="s">
        <v>195</v>
      </c>
      <c r="G5" s="125">
        <v>142925.294307328</v>
      </c>
      <c r="J5">
        <v>5</v>
      </c>
      <c r="Q5" s="73"/>
      <c r="S5" s="72" t="s">
        <v>221</v>
      </c>
      <c r="T5" s="127">
        <v>17.04</v>
      </c>
      <c r="U5" s="127">
        <v>17.04</v>
      </c>
      <c r="V5" s="127">
        <v>18.66</v>
      </c>
      <c r="W5" s="127">
        <v>20.7</v>
      </c>
      <c r="X5" s="127">
        <v>21.91</v>
      </c>
      <c r="Y5" s="127">
        <v>21.91</v>
      </c>
      <c r="Z5" s="127">
        <v>21.91</v>
      </c>
      <c r="AA5" s="127">
        <v>22.73</v>
      </c>
      <c r="AB5" s="128">
        <v>14.6</v>
      </c>
      <c r="AD5" s="70" t="s">
        <v>106</v>
      </c>
    </row>
    <row r="6" spans="2:52" x14ac:dyDescent="0.55000000000000004">
      <c r="B6" s="71" t="s">
        <v>107</v>
      </c>
      <c r="D6" t="s">
        <v>219</v>
      </c>
      <c r="E6">
        <v>6</v>
      </c>
      <c r="F6" s="66" t="s">
        <v>195</v>
      </c>
      <c r="G6" s="125">
        <v>142925.294307328</v>
      </c>
      <c r="J6">
        <v>6</v>
      </c>
      <c r="Q6" s="126" t="s">
        <v>222</v>
      </c>
      <c r="U6" s="129"/>
      <c r="V6" s="129"/>
      <c r="W6" s="129"/>
      <c r="X6" s="129"/>
      <c r="Y6" s="129"/>
      <c r="Z6" s="129"/>
      <c r="AA6" s="129"/>
      <c r="AD6" s="70" t="s">
        <v>108</v>
      </c>
    </row>
    <row r="7" spans="2:52" x14ac:dyDescent="0.55000000000000004">
      <c r="B7" s="71" t="s">
        <v>109</v>
      </c>
      <c r="D7" t="s">
        <v>219</v>
      </c>
      <c r="E7">
        <v>6</v>
      </c>
      <c r="F7" s="74" t="s">
        <v>196</v>
      </c>
      <c r="G7" s="125">
        <v>214387.94146099201</v>
      </c>
      <c r="J7">
        <v>7</v>
      </c>
      <c r="Q7" s="126" t="s">
        <v>110</v>
      </c>
      <c r="AD7" s="70" t="s">
        <v>111</v>
      </c>
    </row>
    <row r="8" spans="2:52" x14ac:dyDescent="0.55000000000000004">
      <c r="B8" s="71" t="s">
        <v>112</v>
      </c>
      <c r="D8" t="s">
        <v>219</v>
      </c>
      <c r="E8">
        <v>7</v>
      </c>
      <c r="F8" s="66" t="s">
        <v>195</v>
      </c>
      <c r="G8" s="125">
        <v>142925.294307328</v>
      </c>
      <c r="J8">
        <v>8</v>
      </c>
      <c r="Q8" s="126" t="s">
        <v>85</v>
      </c>
      <c r="AD8" s="70" t="s">
        <v>113</v>
      </c>
    </row>
    <row r="9" spans="2:52" x14ac:dyDescent="0.55000000000000004">
      <c r="B9" s="71" t="s">
        <v>114</v>
      </c>
      <c r="D9" t="s">
        <v>219</v>
      </c>
      <c r="E9">
        <v>7</v>
      </c>
      <c r="F9" s="74" t="s">
        <v>196</v>
      </c>
      <c r="G9" s="125">
        <v>214387.94146099201</v>
      </c>
      <c r="J9">
        <v>9</v>
      </c>
      <c r="AD9" s="70" t="s">
        <v>115</v>
      </c>
    </row>
    <row r="10" spans="2:52" x14ac:dyDescent="0.55000000000000004">
      <c r="B10" s="71" t="s">
        <v>116</v>
      </c>
      <c r="D10" t="s">
        <v>219</v>
      </c>
      <c r="E10">
        <v>8</v>
      </c>
      <c r="F10" s="66" t="s">
        <v>195</v>
      </c>
      <c r="G10" s="125">
        <v>142925.294307328</v>
      </c>
      <c r="J10">
        <v>10</v>
      </c>
      <c r="AD10" s="70" t="s">
        <v>117</v>
      </c>
    </row>
    <row r="11" spans="2:52" x14ac:dyDescent="0.55000000000000004">
      <c r="B11" s="71" t="s">
        <v>118</v>
      </c>
      <c r="D11" t="s">
        <v>219</v>
      </c>
      <c r="E11">
        <v>8</v>
      </c>
      <c r="F11" s="74" t="s">
        <v>196</v>
      </c>
      <c r="G11" s="125">
        <v>214387.94146099201</v>
      </c>
      <c r="J11">
        <v>11</v>
      </c>
      <c r="AD11" s="70" t="s">
        <v>119</v>
      </c>
    </row>
    <row r="12" spans="2:52" x14ac:dyDescent="0.55000000000000004">
      <c r="B12" s="71" t="s">
        <v>120</v>
      </c>
      <c r="D12" t="s">
        <v>219</v>
      </c>
      <c r="E12">
        <v>8</v>
      </c>
      <c r="F12" s="74" t="s">
        <v>197</v>
      </c>
      <c r="G12" s="125">
        <v>285850.58861465601</v>
      </c>
      <c r="J12">
        <v>12</v>
      </c>
      <c r="AD12" s="75" t="s">
        <v>121</v>
      </c>
    </row>
    <row r="13" spans="2:52" x14ac:dyDescent="0.55000000000000004">
      <c r="B13" s="71" t="s">
        <v>122</v>
      </c>
      <c r="D13" t="s">
        <v>219</v>
      </c>
      <c r="E13">
        <v>9</v>
      </c>
      <c r="F13" s="66" t="s">
        <v>195</v>
      </c>
      <c r="G13" s="125">
        <v>142925.294307328</v>
      </c>
      <c r="J13">
        <v>13</v>
      </c>
    </row>
    <row r="14" spans="2:52" x14ac:dyDescent="0.55000000000000004">
      <c r="B14" s="71" t="s">
        <v>123</v>
      </c>
      <c r="D14" t="s">
        <v>219</v>
      </c>
      <c r="E14">
        <v>9</v>
      </c>
      <c r="F14" s="74" t="s">
        <v>196</v>
      </c>
      <c r="G14" s="125">
        <v>214387.94146099201</v>
      </c>
      <c r="J14">
        <v>14</v>
      </c>
    </row>
    <row r="15" spans="2:52" x14ac:dyDescent="0.55000000000000004">
      <c r="B15" s="71" t="s">
        <v>124</v>
      </c>
      <c r="D15" t="s">
        <v>219</v>
      </c>
      <c r="E15">
        <v>9</v>
      </c>
      <c r="F15" s="74" t="s">
        <v>197</v>
      </c>
      <c r="G15" s="125">
        <v>285850.58861465601</v>
      </c>
      <c r="J15">
        <v>15</v>
      </c>
    </row>
    <row r="16" spans="2:52" x14ac:dyDescent="0.55000000000000004">
      <c r="B16" s="71" t="s">
        <v>125</v>
      </c>
      <c r="D16" t="s">
        <v>219</v>
      </c>
      <c r="E16">
        <v>10</v>
      </c>
      <c r="F16" s="66" t="s">
        <v>195</v>
      </c>
      <c r="G16" s="125">
        <v>142925.294307328</v>
      </c>
      <c r="J16">
        <v>16</v>
      </c>
    </row>
    <row r="17" spans="2:30" x14ac:dyDescent="0.55000000000000004">
      <c r="B17" s="71" t="s">
        <v>126</v>
      </c>
      <c r="D17" t="s">
        <v>219</v>
      </c>
      <c r="E17">
        <v>10</v>
      </c>
      <c r="F17" s="74" t="s">
        <v>196</v>
      </c>
      <c r="G17" s="125">
        <v>214387.94146099201</v>
      </c>
      <c r="J17">
        <v>17</v>
      </c>
      <c r="S17" s="72"/>
      <c r="T17" s="76" t="s">
        <v>198</v>
      </c>
      <c r="U17" s="76" t="s">
        <v>199</v>
      </c>
      <c r="V17" s="76" t="s">
        <v>200</v>
      </c>
      <c r="W17" s="76" t="s">
        <v>201</v>
      </c>
      <c r="X17" s="76" t="s">
        <v>202</v>
      </c>
      <c r="Y17" s="76" t="s">
        <v>203</v>
      </c>
      <c r="Z17" s="76" t="s">
        <v>204</v>
      </c>
      <c r="AA17" s="76" t="s">
        <v>205</v>
      </c>
      <c r="AB17" s="76" t="s">
        <v>206</v>
      </c>
      <c r="AC17" s="76" t="s">
        <v>207</v>
      </c>
      <c r="AD17" s="76" t="s">
        <v>208</v>
      </c>
    </row>
    <row r="18" spans="2:30" x14ac:dyDescent="0.55000000000000004">
      <c r="B18" s="71" t="s">
        <v>127</v>
      </c>
      <c r="D18" t="s">
        <v>219</v>
      </c>
      <c r="E18">
        <v>10</v>
      </c>
      <c r="F18" s="74" t="s">
        <v>197</v>
      </c>
      <c r="G18" s="125">
        <v>285850.58861465601</v>
      </c>
      <c r="J18">
        <v>18</v>
      </c>
      <c r="S18" s="77" t="s">
        <v>128</v>
      </c>
      <c r="T18" s="78">
        <v>5840</v>
      </c>
      <c r="U18" s="78">
        <v>8760</v>
      </c>
      <c r="V18" s="78">
        <v>11680</v>
      </c>
      <c r="W18" s="78">
        <v>14600</v>
      </c>
      <c r="X18" s="78">
        <v>17520</v>
      </c>
      <c r="Y18" s="78">
        <v>20440</v>
      </c>
      <c r="Z18" s="78">
        <v>23360</v>
      </c>
      <c r="AA18" s="78">
        <v>26280</v>
      </c>
      <c r="AB18" s="78">
        <v>29200</v>
      </c>
      <c r="AC18" s="78">
        <v>32120</v>
      </c>
      <c r="AD18" s="78">
        <v>35040</v>
      </c>
    </row>
    <row r="19" spans="2:30" x14ac:dyDescent="0.55000000000000004">
      <c r="B19" s="71" t="s">
        <v>129</v>
      </c>
      <c r="D19" t="s">
        <v>219</v>
      </c>
      <c r="E19">
        <v>10</v>
      </c>
      <c r="F19" s="74" t="s">
        <v>209</v>
      </c>
      <c r="G19" s="125">
        <v>357313.23576831998</v>
      </c>
      <c r="J19">
        <v>19</v>
      </c>
      <c r="S19" s="72" t="s">
        <v>130</v>
      </c>
      <c r="T19" s="79">
        <v>2.8</v>
      </c>
      <c r="U19" s="79">
        <v>4.2</v>
      </c>
      <c r="V19" s="79">
        <v>5.6</v>
      </c>
      <c r="W19" s="79">
        <v>7</v>
      </c>
      <c r="X19" s="79">
        <v>8.4</v>
      </c>
      <c r="Y19" s="79">
        <v>9.8000000000000007</v>
      </c>
      <c r="Z19" s="79">
        <v>11.2</v>
      </c>
      <c r="AA19" s="79">
        <v>12.6</v>
      </c>
      <c r="AB19" s="79">
        <v>14</v>
      </c>
      <c r="AC19" s="79">
        <v>15.4</v>
      </c>
      <c r="AD19" s="79">
        <v>16.8</v>
      </c>
    </row>
    <row r="20" spans="2:30" x14ac:dyDescent="0.55000000000000004">
      <c r="B20" s="71" t="s">
        <v>131</v>
      </c>
      <c r="D20" t="s">
        <v>219</v>
      </c>
      <c r="E20">
        <v>11</v>
      </c>
      <c r="F20" s="66" t="s">
        <v>195</v>
      </c>
      <c r="G20" s="125">
        <v>142925.294307328</v>
      </c>
      <c r="J20">
        <v>20</v>
      </c>
      <c r="S20" s="72" t="s">
        <v>132</v>
      </c>
      <c r="T20" s="2" t="s">
        <v>133</v>
      </c>
      <c r="U20" s="79" t="s">
        <v>134</v>
      </c>
      <c r="V20" s="79" t="s">
        <v>135</v>
      </c>
      <c r="W20" s="79" t="s">
        <v>136</v>
      </c>
      <c r="X20" s="79" t="s">
        <v>137</v>
      </c>
      <c r="Y20" s="79" t="s">
        <v>138</v>
      </c>
      <c r="Z20" s="79" t="s">
        <v>139</v>
      </c>
      <c r="AA20" s="79" t="s">
        <v>140</v>
      </c>
      <c r="AB20" s="79" t="s">
        <v>141</v>
      </c>
      <c r="AC20" s="79" t="s">
        <v>142</v>
      </c>
      <c r="AD20" s="79" t="s">
        <v>143</v>
      </c>
    </row>
    <row r="21" spans="2:30" x14ac:dyDescent="0.55000000000000004">
      <c r="B21" s="71" t="s">
        <v>144</v>
      </c>
      <c r="D21" t="s">
        <v>219</v>
      </c>
      <c r="E21">
        <v>11</v>
      </c>
      <c r="F21" s="74" t="s">
        <v>196</v>
      </c>
      <c r="G21" s="125">
        <v>214387.94146099201</v>
      </c>
    </row>
    <row r="22" spans="2:30" x14ac:dyDescent="0.55000000000000004">
      <c r="B22" s="71" t="s">
        <v>145</v>
      </c>
      <c r="D22" t="s">
        <v>219</v>
      </c>
      <c r="E22">
        <v>11</v>
      </c>
      <c r="F22" s="74" t="s">
        <v>197</v>
      </c>
      <c r="G22" s="125">
        <v>285850.58861465601</v>
      </c>
    </row>
    <row r="23" spans="2:30" x14ac:dyDescent="0.55000000000000004">
      <c r="B23" s="71" t="s">
        <v>146</v>
      </c>
      <c r="D23" t="s">
        <v>219</v>
      </c>
      <c r="E23">
        <v>11</v>
      </c>
      <c r="F23" s="74" t="s">
        <v>209</v>
      </c>
      <c r="G23" s="125">
        <v>357313.23576831998</v>
      </c>
    </row>
    <row r="24" spans="2:30" x14ac:dyDescent="0.55000000000000004">
      <c r="B24" s="71" t="s">
        <v>147</v>
      </c>
      <c r="D24" t="s">
        <v>219</v>
      </c>
      <c r="E24">
        <v>12</v>
      </c>
      <c r="F24" s="66" t="s">
        <v>195</v>
      </c>
      <c r="G24" s="125">
        <v>142925.294307328</v>
      </c>
    </row>
    <row r="25" spans="2:30" x14ac:dyDescent="0.55000000000000004">
      <c r="B25" s="71" t="s">
        <v>148</v>
      </c>
      <c r="D25" t="s">
        <v>219</v>
      </c>
      <c r="E25">
        <v>12</v>
      </c>
      <c r="F25" s="74" t="s">
        <v>196</v>
      </c>
      <c r="G25" s="125">
        <v>214387.94146099201</v>
      </c>
    </row>
    <row r="26" spans="2:30" x14ac:dyDescent="0.55000000000000004">
      <c r="B26" s="71" t="s">
        <v>149</v>
      </c>
      <c r="D26" t="s">
        <v>219</v>
      </c>
      <c r="E26">
        <v>12</v>
      </c>
      <c r="F26" s="74" t="s">
        <v>197</v>
      </c>
      <c r="G26" s="125">
        <v>285850.58861465601</v>
      </c>
    </row>
    <row r="27" spans="2:30" x14ac:dyDescent="0.55000000000000004">
      <c r="B27" s="71" t="s">
        <v>150</v>
      </c>
      <c r="D27" t="s">
        <v>219</v>
      </c>
      <c r="E27">
        <v>12</v>
      </c>
      <c r="F27" s="74" t="s">
        <v>209</v>
      </c>
      <c r="G27" s="125">
        <v>357313.23576831998</v>
      </c>
    </row>
    <row r="28" spans="2:30" x14ac:dyDescent="0.55000000000000004">
      <c r="B28" s="71" t="s">
        <v>151</v>
      </c>
      <c r="D28" t="s">
        <v>219</v>
      </c>
      <c r="E28">
        <v>12</v>
      </c>
      <c r="F28" s="74" t="s">
        <v>210</v>
      </c>
      <c r="G28" s="125">
        <v>428775.88292198401</v>
      </c>
    </row>
    <row r="29" spans="2:30" x14ac:dyDescent="0.55000000000000004">
      <c r="B29" s="71" t="s">
        <v>152</v>
      </c>
      <c r="D29" t="s">
        <v>219</v>
      </c>
      <c r="E29">
        <v>13</v>
      </c>
      <c r="F29" s="66" t="s">
        <v>195</v>
      </c>
      <c r="G29" s="125">
        <v>142925.294307328</v>
      </c>
    </row>
    <row r="30" spans="2:30" x14ac:dyDescent="0.55000000000000004">
      <c r="B30" s="71" t="s">
        <v>153</v>
      </c>
      <c r="D30" t="s">
        <v>219</v>
      </c>
      <c r="E30">
        <v>13</v>
      </c>
      <c r="F30" s="74" t="s">
        <v>196</v>
      </c>
      <c r="G30" s="125">
        <v>214387.94146099201</v>
      </c>
    </row>
    <row r="31" spans="2:30" x14ac:dyDescent="0.55000000000000004">
      <c r="B31" s="71" t="s">
        <v>154</v>
      </c>
      <c r="D31" t="s">
        <v>219</v>
      </c>
      <c r="E31">
        <v>13</v>
      </c>
      <c r="F31" s="74" t="s">
        <v>197</v>
      </c>
      <c r="G31" s="125">
        <v>285850.58861465601</v>
      </c>
    </row>
    <row r="32" spans="2:30" x14ac:dyDescent="0.55000000000000004">
      <c r="B32" s="80" t="s">
        <v>155</v>
      </c>
      <c r="D32" t="s">
        <v>219</v>
      </c>
      <c r="E32">
        <v>13</v>
      </c>
      <c r="F32" s="74" t="s">
        <v>209</v>
      </c>
      <c r="G32" s="125">
        <v>357313.23576831998</v>
      </c>
    </row>
    <row r="33" spans="2:7" x14ac:dyDescent="0.55000000000000004">
      <c r="B33" s="71" t="s">
        <v>156</v>
      </c>
      <c r="D33" t="s">
        <v>219</v>
      </c>
      <c r="E33">
        <v>13</v>
      </c>
      <c r="F33" s="74" t="s">
        <v>210</v>
      </c>
      <c r="G33" s="125">
        <v>428775.88292198401</v>
      </c>
    </row>
    <row r="34" spans="2:7" x14ac:dyDescent="0.55000000000000004">
      <c r="B34" s="71" t="s">
        <v>157</v>
      </c>
      <c r="D34" t="s">
        <v>219</v>
      </c>
      <c r="E34">
        <v>14</v>
      </c>
      <c r="F34" s="66" t="s">
        <v>195</v>
      </c>
      <c r="G34" s="125">
        <v>142925.294307328</v>
      </c>
    </row>
    <row r="35" spans="2:7" x14ac:dyDescent="0.55000000000000004">
      <c r="B35" s="71" t="s">
        <v>158</v>
      </c>
      <c r="D35" t="s">
        <v>219</v>
      </c>
      <c r="E35">
        <v>14</v>
      </c>
      <c r="F35" s="74" t="s">
        <v>196</v>
      </c>
      <c r="G35" s="125">
        <v>214387.94146099201</v>
      </c>
    </row>
    <row r="36" spans="2:7" x14ac:dyDescent="0.55000000000000004">
      <c r="B36" s="71" t="s">
        <v>159</v>
      </c>
      <c r="D36" t="s">
        <v>219</v>
      </c>
      <c r="E36">
        <v>14</v>
      </c>
      <c r="F36" s="74" t="s">
        <v>197</v>
      </c>
      <c r="G36" s="125">
        <v>285850.58861465601</v>
      </c>
    </row>
    <row r="37" spans="2:7" x14ac:dyDescent="0.55000000000000004">
      <c r="B37" s="71" t="s">
        <v>160</v>
      </c>
      <c r="D37" t="s">
        <v>219</v>
      </c>
      <c r="E37">
        <v>14</v>
      </c>
      <c r="F37" s="74" t="s">
        <v>209</v>
      </c>
      <c r="G37" s="125">
        <v>357313.23576831998</v>
      </c>
    </row>
    <row r="38" spans="2:7" x14ac:dyDescent="0.55000000000000004">
      <c r="B38" s="71" t="s">
        <v>161</v>
      </c>
      <c r="D38" t="s">
        <v>219</v>
      </c>
      <c r="E38">
        <v>14</v>
      </c>
      <c r="F38" s="74" t="s">
        <v>210</v>
      </c>
      <c r="G38" s="125">
        <v>428775.88292198401</v>
      </c>
    </row>
    <row r="39" spans="2:7" x14ac:dyDescent="0.55000000000000004">
      <c r="B39" s="71" t="s">
        <v>162</v>
      </c>
      <c r="D39" t="s">
        <v>219</v>
      </c>
      <c r="E39">
        <v>14</v>
      </c>
      <c r="F39" s="74" t="s">
        <v>211</v>
      </c>
      <c r="G39" s="125">
        <v>500238.53007564798</v>
      </c>
    </row>
    <row r="40" spans="2:7" x14ac:dyDescent="0.55000000000000004">
      <c r="B40" s="71" t="s">
        <v>163</v>
      </c>
      <c r="D40" t="s">
        <v>219</v>
      </c>
      <c r="E40">
        <v>15</v>
      </c>
      <c r="F40" s="66" t="s">
        <v>195</v>
      </c>
      <c r="G40" s="125">
        <v>142925.294307328</v>
      </c>
    </row>
    <row r="41" spans="2:7" x14ac:dyDescent="0.55000000000000004">
      <c r="B41" s="71" t="s">
        <v>164</v>
      </c>
      <c r="D41" t="s">
        <v>219</v>
      </c>
      <c r="E41">
        <v>15</v>
      </c>
      <c r="F41" s="74" t="s">
        <v>196</v>
      </c>
      <c r="G41" s="125">
        <v>214387.94146099201</v>
      </c>
    </row>
    <row r="42" spans="2:7" x14ac:dyDescent="0.55000000000000004">
      <c r="B42" s="71" t="s">
        <v>165</v>
      </c>
      <c r="D42" t="s">
        <v>219</v>
      </c>
      <c r="E42">
        <v>15</v>
      </c>
      <c r="F42" s="74" t="s">
        <v>197</v>
      </c>
      <c r="G42" s="125">
        <v>285850.58861465601</v>
      </c>
    </row>
    <row r="43" spans="2:7" x14ac:dyDescent="0.55000000000000004">
      <c r="B43" s="71" t="s">
        <v>166</v>
      </c>
      <c r="D43" t="s">
        <v>219</v>
      </c>
      <c r="E43">
        <v>15</v>
      </c>
      <c r="F43" s="74" t="s">
        <v>209</v>
      </c>
      <c r="G43" s="125">
        <v>357313.23576831998</v>
      </c>
    </row>
    <row r="44" spans="2:7" x14ac:dyDescent="0.55000000000000004">
      <c r="B44" s="71" t="s">
        <v>167</v>
      </c>
      <c r="D44" t="s">
        <v>219</v>
      </c>
      <c r="E44">
        <v>15</v>
      </c>
      <c r="F44" s="74" t="s">
        <v>210</v>
      </c>
      <c r="G44" s="125">
        <v>428775.88292198401</v>
      </c>
    </row>
    <row r="45" spans="2:7" x14ac:dyDescent="0.55000000000000004">
      <c r="B45" s="71" t="s">
        <v>168</v>
      </c>
      <c r="D45" t="s">
        <v>219</v>
      </c>
      <c r="E45">
        <v>15</v>
      </c>
      <c r="F45" s="74" t="s">
        <v>211</v>
      </c>
      <c r="G45" s="125">
        <v>500238.53007564798</v>
      </c>
    </row>
    <row r="46" spans="2:7" x14ac:dyDescent="0.55000000000000004">
      <c r="B46" s="71" t="s">
        <v>169</v>
      </c>
      <c r="D46" t="s">
        <v>219</v>
      </c>
      <c r="E46">
        <v>16</v>
      </c>
      <c r="F46" s="66" t="s">
        <v>195</v>
      </c>
      <c r="G46" s="125">
        <v>142925.294307328</v>
      </c>
    </row>
    <row r="47" spans="2:7" x14ac:dyDescent="0.55000000000000004">
      <c r="B47" s="71" t="s">
        <v>170</v>
      </c>
      <c r="D47" t="s">
        <v>219</v>
      </c>
      <c r="E47">
        <v>16</v>
      </c>
      <c r="F47" s="74" t="s">
        <v>196</v>
      </c>
      <c r="G47" s="125">
        <v>214387.94146099201</v>
      </c>
    </row>
    <row r="48" spans="2:7" x14ac:dyDescent="0.55000000000000004">
      <c r="B48" s="71" t="s">
        <v>171</v>
      </c>
      <c r="D48" t="s">
        <v>219</v>
      </c>
      <c r="E48">
        <v>16</v>
      </c>
      <c r="F48" s="74" t="s">
        <v>197</v>
      </c>
      <c r="G48" s="125">
        <v>285850.58861465601</v>
      </c>
    </row>
    <row r="49" spans="2:7" x14ac:dyDescent="0.55000000000000004">
      <c r="B49" s="71" t="s">
        <v>172</v>
      </c>
      <c r="D49" t="s">
        <v>219</v>
      </c>
      <c r="E49">
        <v>16</v>
      </c>
      <c r="F49" s="74" t="s">
        <v>209</v>
      </c>
      <c r="G49" s="125">
        <v>357313.23576831998</v>
      </c>
    </row>
    <row r="50" spans="2:7" x14ac:dyDescent="0.55000000000000004">
      <c r="B50" s="71" t="s">
        <v>173</v>
      </c>
      <c r="D50" t="s">
        <v>219</v>
      </c>
      <c r="E50">
        <v>16</v>
      </c>
      <c r="F50" s="74" t="s">
        <v>210</v>
      </c>
      <c r="G50" s="125">
        <v>428775.88292198401</v>
      </c>
    </row>
    <row r="51" spans="2:7" x14ac:dyDescent="0.55000000000000004">
      <c r="B51" s="71" t="s">
        <v>174</v>
      </c>
      <c r="D51" t="s">
        <v>219</v>
      </c>
      <c r="E51">
        <v>16</v>
      </c>
      <c r="F51" s="74" t="s">
        <v>211</v>
      </c>
      <c r="G51" s="125">
        <v>500238.53007564798</v>
      </c>
    </row>
    <row r="52" spans="2:7" x14ac:dyDescent="0.55000000000000004">
      <c r="B52" s="71" t="s">
        <v>175</v>
      </c>
      <c r="D52" t="s">
        <v>219</v>
      </c>
      <c r="E52">
        <v>16</v>
      </c>
      <c r="F52" s="74" t="s">
        <v>212</v>
      </c>
      <c r="G52" s="125">
        <v>571701.17722931202</v>
      </c>
    </row>
    <row r="53" spans="2:7" x14ac:dyDescent="0.55000000000000004">
      <c r="B53" s="71" t="s">
        <v>176</v>
      </c>
      <c r="D53" t="s">
        <v>219</v>
      </c>
      <c r="E53">
        <v>17</v>
      </c>
      <c r="F53" s="66" t="s">
        <v>195</v>
      </c>
      <c r="G53" s="125">
        <v>142925.294307328</v>
      </c>
    </row>
    <row r="54" spans="2:7" x14ac:dyDescent="0.55000000000000004">
      <c r="B54" s="71" t="s">
        <v>177</v>
      </c>
      <c r="D54" t="s">
        <v>219</v>
      </c>
      <c r="E54">
        <v>17</v>
      </c>
      <c r="F54" s="74" t="s">
        <v>196</v>
      </c>
      <c r="G54" s="125">
        <v>214387.94146099201</v>
      </c>
    </row>
    <row r="55" spans="2:7" x14ac:dyDescent="0.55000000000000004">
      <c r="B55" s="71" t="s">
        <v>178</v>
      </c>
      <c r="D55" t="s">
        <v>219</v>
      </c>
      <c r="E55">
        <v>17</v>
      </c>
      <c r="F55" s="74" t="s">
        <v>197</v>
      </c>
      <c r="G55" s="125">
        <v>285850.58861465601</v>
      </c>
    </row>
    <row r="56" spans="2:7" x14ac:dyDescent="0.55000000000000004">
      <c r="B56" s="71" t="s">
        <v>179</v>
      </c>
      <c r="D56" t="s">
        <v>219</v>
      </c>
      <c r="E56">
        <v>17</v>
      </c>
      <c r="F56" s="74" t="s">
        <v>209</v>
      </c>
      <c r="G56" s="125">
        <v>357313.23576831998</v>
      </c>
    </row>
    <row r="57" spans="2:7" x14ac:dyDescent="0.55000000000000004">
      <c r="B57" s="71" t="s">
        <v>180</v>
      </c>
      <c r="D57" t="s">
        <v>219</v>
      </c>
      <c r="E57">
        <v>17</v>
      </c>
      <c r="F57" s="74" t="s">
        <v>210</v>
      </c>
      <c r="G57" s="125">
        <v>428775.88292198401</v>
      </c>
    </row>
    <row r="58" spans="2:7" x14ac:dyDescent="0.55000000000000004">
      <c r="B58" s="71" t="s">
        <v>181</v>
      </c>
      <c r="D58" t="s">
        <v>219</v>
      </c>
      <c r="E58">
        <v>17</v>
      </c>
      <c r="F58" s="74" t="s">
        <v>211</v>
      </c>
      <c r="G58" s="125">
        <v>500238.53007564798</v>
      </c>
    </row>
    <row r="59" spans="2:7" x14ac:dyDescent="0.55000000000000004">
      <c r="B59" s="71" t="s">
        <v>182</v>
      </c>
      <c r="D59" t="s">
        <v>219</v>
      </c>
      <c r="E59">
        <v>17</v>
      </c>
      <c r="F59" s="74" t="s">
        <v>212</v>
      </c>
      <c r="G59" s="125">
        <v>571701.17722931202</v>
      </c>
    </row>
    <row r="60" spans="2:7" x14ac:dyDescent="0.55000000000000004">
      <c r="B60" s="71" t="s">
        <v>183</v>
      </c>
      <c r="D60" t="s">
        <v>219</v>
      </c>
      <c r="E60">
        <v>18</v>
      </c>
      <c r="F60" s="66" t="s">
        <v>195</v>
      </c>
      <c r="G60" s="125">
        <v>142925.294307328</v>
      </c>
    </row>
    <row r="61" spans="2:7" x14ac:dyDescent="0.55000000000000004">
      <c r="B61" s="71" t="s">
        <v>184</v>
      </c>
      <c r="D61" t="s">
        <v>219</v>
      </c>
      <c r="E61">
        <v>18</v>
      </c>
      <c r="F61" s="74" t="s">
        <v>196</v>
      </c>
      <c r="G61" s="125">
        <v>214387.94146099201</v>
      </c>
    </row>
    <row r="62" spans="2:7" x14ac:dyDescent="0.55000000000000004">
      <c r="B62" s="71" t="s">
        <v>185</v>
      </c>
      <c r="D62" t="s">
        <v>219</v>
      </c>
      <c r="E62">
        <v>18</v>
      </c>
      <c r="F62" s="74" t="s">
        <v>197</v>
      </c>
      <c r="G62" s="125">
        <v>285850.58861465601</v>
      </c>
    </row>
    <row r="63" spans="2:7" x14ac:dyDescent="0.55000000000000004">
      <c r="B63" s="71" t="s">
        <v>186</v>
      </c>
      <c r="D63" t="s">
        <v>219</v>
      </c>
      <c r="E63">
        <v>18</v>
      </c>
      <c r="F63" s="74" t="s">
        <v>209</v>
      </c>
      <c r="G63" s="125">
        <v>357313.23576831998</v>
      </c>
    </row>
    <row r="64" spans="2:7" x14ac:dyDescent="0.55000000000000004">
      <c r="B64" s="71" t="s">
        <v>187</v>
      </c>
      <c r="D64" t="s">
        <v>219</v>
      </c>
      <c r="E64">
        <v>18</v>
      </c>
      <c r="F64" s="74" t="s">
        <v>210</v>
      </c>
      <c r="G64" s="125">
        <v>428775.88292198401</v>
      </c>
    </row>
    <row r="65" spans="2:10" x14ac:dyDescent="0.55000000000000004">
      <c r="B65" s="71" t="s">
        <v>188</v>
      </c>
      <c r="D65" t="s">
        <v>219</v>
      </c>
      <c r="E65">
        <v>18</v>
      </c>
      <c r="F65" s="74" t="s">
        <v>211</v>
      </c>
      <c r="G65" s="125">
        <v>500238.53007564798</v>
      </c>
    </row>
    <row r="66" spans="2:10" x14ac:dyDescent="0.55000000000000004">
      <c r="B66" s="71" t="s">
        <v>189</v>
      </c>
      <c r="D66" t="s">
        <v>219</v>
      </c>
      <c r="E66">
        <v>18</v>
      </c>
      <c r="F66" s="74" t="s">
        <v>212</v>
      </c>
      <c r="G66" s="125">
        <v>571701.17722931202</v>
      </c>
    </row>
    <row r="67" spans="2:10" x14ac:dyDescent="0.55000000000000004">
      <c r="B67" s="71" t="s">
        <v>190</v>
      </c>
      <c r="D67" t="s">
        <v>219</v>
      </c>
      <c r="E67">
        <v>18</v>
      </c>
      <c r="F67" s="74" t="s">
        <v>213</v>
      </c>
      <c r="G67" s="125">
        <v>643163.82438297605</v>
      </c>
    </row>
    <row r="68" spans="2:10" x14ac:dyDescent="0.55000000000000004">
      <c r="B68" s="71" t="s">
        <v>191</v>
      </c>
      <c r="D68" t="s">
        <v>219</v>
      </c>
      <c r="E68">
        <v>19</v>
      </c>
      <c r="F68" s="66" t="s">
        <v>195</v>
      </c>
      <c r="G68" s="125">
        <v>142925.294307328</v>
      </c>
    </row>
    <row r="69" spans="2:10" x14ac:dyDescent="0.55000000000000004">
      <c r="B69" s="71" t="s">
        <v>192</v>
      </c>
      <c r="D69" t="s">
        <v>219</v>
      </c>
      <c r="E69">
        <v>19</v>
      </c>
      <c r="F69" s="74" t="s">
        <v>196</v>
      </c>
      <c r="G69" s="125">
        <v>214387.94146099201</v>
      </c>
    </row>
    <row r="70" spans="2:10" x14ac:dyDescent="0.55000000000000004">
      <c r="B70" s="71" t="s">
        <v>193</v>
      </c>
      <c r="D70" t="s">
        <v>219</v>
      </c>
      <c r="E70">
        <v>19</v>
      </c>
      <c r="F70" s="74" t="s">
        <v>197</v>
      </c>
      <c r="G70" s="125">
        <v>285850.58861465601</v>
      </c>
    </row>
    <row r="71" spans="2:10" x14ac:dyDescent="0.55000000000000004">
      <c r="B71" s="81" t="s">
        <v>194</v>
      </c>
      <c r="D71" t="s">
        <v>219</v>
      </c>
      <c r="E71">
        <v>19</v>
      </c>
      <c r="F71" s="74" t="s">
        <v>209</v>
      </c>
      <c r="G71" s="125">
        <v>357313.23576831998</v>
      </c>
    </row>
    <row r="72" spans="2:10" x14ac:dyDescent="0.55000000000000004">
      <c r="D72" t="s">
        <v>219</v>
      </c>
      <c r="E72">
        <v>19</v>
      </c>
      <c r="F72" s="74" t="s">
        <v>210</v>
      </c>
      <c r="G72" s="125">
        <v>428775.88292198401</v>
      </c>
    </row>
    <row r="73" spans="2:10" x14ac:dyDescent="0.55000000000000004">
      <c r="D73" t="s">
        <v>219</v>
      </c>
      <c r="E73">
        <v>19</v>
      </c>
      <c r="F73" s="74" t="s">
        <v>211</v>
      </c>
      <c r="G73" s="125">
        <v>500238.53007564798</v>
      </c>
    </row>
    <row r="74" spans="2:10" x14ac:dyDescent="0.55000000000000004">
      <c r="D74" t="s">
        <v>219</v>
      </c>
      <c r="E74">
        <v>19</v>
      </c>
      <c r="F74" s="74" t="s">
        <v>212</v>
      </c>
      <c r="G74" s="125">
        <v>571701.17722931202</v>
      </c>
    </row>
    <row r="75" spans="2:10" x14ac:dyDescent="0.55000000000000004">
      <c r="D75" t="s">
        <v>219</v>
      </c>
      <c r="E75">
        <v>19</v>
      </c>
      <c r="F75" s="74" t="s">
        <v>213</v>
      </c>
      <c r="G75" s="125">
        <v>643163.82438297605</v>
      </c>
    </row>
    <row r="76" spans="2:10" x14ac:dyDescent="0.55000000000000004">
      <c r="D76" t="s">
        <v>219</v>
      </c>
      <c r="E76">
        <v>20</v>
      </c>
      <c r="F76" s="66" t="s">
        <v>195</v>
      </c>
      <c r="G76" s="125">
        <v>142925.294307328</v>
      </c>
    </row>
    <row r="77" spans="2:10" x14ac:dyDescent="0.55000000000000004">
      <c r="D77" t="s">
        <v>219</v>
      </c>
      <c r="E77">
        <v>20</v>
      </c>
      <c r="F77" s="74" t="s">
        <v>196</v>
      </c>
      <c r="G77" s="125">
        <v>214387.94146099201</v>
      </c>
    </row>
    <row r="78" spans="2:10" x14ac:dyDescent="0.55000000000000004">
      <c r="D78" t="s">
        <v>219</v>
      </c>
      <c r="E78">
        <v>20</v>
      </c>
      <c r="F78" s="74" t="s">
        <v>197</v>
      </c>
      <c r="G78" s="125">
        <v>285850.58861465601</v>
      </c>
      <c r="J78" s="1"/>
    </row>
    <row r="79" spans="2:10" x14ac:dyDescent="0.55000000000000004">
      <c r="D79" t="s">
        <v>219</v>
      </c>
      <c r="E79">
        <v>20</v>
      </c>
      <c r="F79" s="74" t="s">
        <v>209</v>
      </c>
      <c r="G79" s="125">
        <v>357313.23576831998</v>
      </c>
    </row>
    <row r="80" spans="2:10" x14ac:dyDescent="0.55000000000000004">
      <c r="D80" t="s">
        <v>219</v>
      </c>
      <c r="E80">
        <v>20</v>
      </c>
      <c r="F80" s="74" t="s">
        <v>210</v>
      </c>
      <c r="G80" s="125">
        <v>428775.88292198401</v>
      </c>
    </row>
    <row r="81" spans="4:7" x14ac:dyDescent="0.55000000000000004">
      <c r="D81" t="s">
        <v>219</v>
      </c>
      <c r="E81">
        <v>20</v>
      </c>
      <c r="F81" s="74" t="s">
        <v>211</v>
      </c>
      <c r="G81" s="125">
        <v>500238.53007564798</v>
      </c>
    </row>
    <row r="82" spans="4:7" x14ac:dyDescent="0.55000000000000004">
      <c r="D82" t="s">
        <v>219</v>
      </c>
      <c r="E82">
        <v>20</v>
      </c>
      <c r="F82" s="74" t="s">
        <v>212</v>
      </c>
      <c r="G82" s="125">
        <v>571701.17722931202</v>
      </c>
    </row>
    <row r="83" spans="4:7" x14ac:dyDescent="0.55000000000000004">
      <c r="D83" t="s">
        <v>219</v>
      </c>
      <c r="E83">
        <v>20</v>
      </c>
      <c r="F83" s="74" t="s">
        <v>213</v>
      </c>
      <c r="G83" s="125">
        <v>643163.82438297605</v>
      </c>
    </row>
    <row r="84" spans="4:7" x14ac:dyDescent="0.55000000000000004">
      <c r="D84" t="s">
        <v>219</v>
      </c>
      <c r="E84">
        <v>20</v>
      </c>
      <c r="F84" s="74" t="s">
        <v>214</v>
      </c>
      <c r="G84" s="125">
        <v>714626.47153663996</v>
      </c>
    </row>
    <row r="85" spans="4:7" x14ac:dyDescent="0.55000000000000004">
      <c r="D85" t="s">
        <v>218</v>
      </c>
      <c r="E85">
        <v>3</v>
      </c>
      <c r="F85" s="66" t="s">
        <v>195</v>
      </c>
      <c r="G85" s="125">
        <v>142925.294307328</v>
      </c>
    </row>
    <row r="86" spans="4:7" x14ac:dyDescent="0.55000000000000004">
      <c r="D86" t="s">
        <v>218</v>
      </c>
      <c r="E86">
        <v>4</v>
      </c>
      <c r="F86" s="66" t="s">
        <v>195</v>
      </c>
      <c r="G86" s="125">
        <v>142925.294307328</v>
      </c>
    </row>
    <row r="87" spans="4:7" x14ac:dyDescent="0.55000000000000004">
      <c r="D87" t="s">
        <v>218</v>
      </c>
      <c r="E87">
        <v>5</v>
      </c>
      <c r="F87" s="66" t="s">
        <v>195</v>
      </c>
      <c r="G87" s="125">
        <v>142925.294307328</v>
      </c>
    </row>
    <row r="88" spans="4:7" x14ac:dyDescent="0.55000000000000004">
      <c r="D88" t="s">
        <v>218</v>
      </c>
      <c r="E88">
        <v>5</v>
      </c>
      <c r="F88" s="74" t="s">
        <v>196</v>
      </c>
      <c r="G88" s="125">
        <v>214387.94146099201</v>
      </c>
    </row>
    <row r="89" spans="4:7" x14ac:dyDescent="0.55000000000000004">
      <c r="D89" t="s">
        <v>218</v>
      </c>
      <c r="E89">
        <v>6</v>
      </c>
      <c r="F89" s="66" t="s">
        <v>195</v>
      </c>
      <c r="G89" s="125">
        <v>142925.294307328</v>
      </c>
    </row>
    <row r="90" spans="4:7" x14ac:dyDescent="0.55000000000000004">
      <c r="D90" t="s">
        <v>218</v>
      </c>
      <c r="E90">
        <v>6</v>
      </c>
      <c r="F90" s="74" t="s">
        <v>196</v>
      </c>
      <c r="G90" s="125">
        <v>214387.94146099201</v>
      </c>
    </row>
    <row r="91" spans="4:7" x14ac:dyDescent="0.55000000000000004">
      <c r="D91" t="s">
        <v>218</v>
      </c>
      <c r="E91">
        <v>6</v>
      </c>
      <c r="F91" s="74" t="s">
        <v>197</v>
      </c>
      <c r="G91" s="125">
        <v>285850.58861465601</v>
      </c>
    </row>
    <row r="92" spans="4:7" x14ac:dyDescent="0.55000000000000004">
      <c r="D92" t="s">
        <v>218</v>
      </c>
      <c r="E92">
        <v>7</v>
      </c>
      <c r="F92" s="66" t="s">
        <v>195</v>
      </c>
      <c r="G92" s="125">
        <v>142925.294307328</v>
      </c>
    </row>
    <row r="93" spans="4:7" x14ac:dyDescent="0.55000000000000004">
      <c r="D93" t="s">
        <v>218</v>
      </c>
      <c r="E93">
        <v>7</v>
      </c>
      <c r="F93" s="74" t="s">
        <v>196</v>
      </c>
      <c r="G93" s="125">
        <v>214387.94146099201</v>
      </c>
    </row>
    <row r="94" spans="4:7" x14ac:dyDescent="0.55000000000000004">
      <c r="D94" t="s">
        <v>218</v>
      </c>
      <c r="E94">
        <v>7</v>
      </c>
      <c r="F94" s="74" t="s">
        <v>197</v>
      </c>
      <c r="G94" s="125">
        <v>285850.58861465601</v>
      </c>
    </row>
    <row r="95" spans="4:7" x14ac:dyDescent="0.55000000000000004">
      <c r="D95" t="s">
        <v>218</v>
      </c>
      <c r="E95">
        <v>8</v>
      </c>
      <c r="F95" s="66" t="s">
        <v>195</v>
      </c>
      <c r="G95" s="125">
        <v>142925.294307328</v>
      </c>
    </row>
    <row r="96" spans="4:7" x14ac:dyDescent="0.55000000000000004">
      <c r="D96" t="s">
        <v>218</v>
      </c>
      <c r="E96">
        <v>8</v>
      </c>
      <c r="F96" s="74" t="s">
        <v>196</v>
      </c>
      <c r="G96" s="125">
        <v>214387.94146099201</v>
      </c>
    </row>
    <row r="97" spans="4:7" x14ac:dyDescent="0.55000000000000004">
      <c r="D97" t="s">
        <v>218</v>
      </c>
      <c r="E97">
        <v>8</v>
      </c>
      <c r="F97" s="74" t="s">
        <v>197</v>
      </c>
      <c r="G97" s="125">
        <v>285850.58861465601</v>
      </c>
    </row>
    <row r="98" spans="4:7" x14ac:dyDescent="0.55000000000000004">
      <c r="D98" t="s">
        <v>218</v>
      </c>
      <c r="E98">
        <v>8</v>
      </c>
      <c r="F98" s="74" t="s">
        <v>209</v>
      </c>
      <c r="G98" s="125">
        <v>357313.23576831998</v>
      </c>
    </row>
    <row r="99" spans="4:7" x14ac:dyDescent="0.55000000000000004">
      <c r="D99" t="s">
        <v>218</v>
      </c>
      <c r="E99">
        <v>9</v>
      </c>
      <c r="F99" s="66" t="s">
        <v>195</v>
      </c>
      <c r="G99" s="125">
        <v>142925.294307328</v>
      </c>
    </row>
    <row r="100" spans="4:7" x14ac:dyDescent="0.55000000000000004">
      <c r="D100" t="s">
        <v>218</v>
      </c>
      <c r="E100">
        <v>9</v>
      </c>
      <c r="F100" s="74" t="s">
        <v>196</v>
      </c>
      <c r="G100" s="125">
        <v>214387.94146099201</v>
      </c>
    </row>
    <row r="101" spans="4:7" x14ac:dyDescent="0.55000000000000004">
      <c r="D101" t="s">
        <v>218</v>
      </c>
      <c r="E101">
        <v>9</v>
      </c>
      <c r="F101" s="74" t="s">
        <v>197</v>
      </c>
      <c r="G101" s="125">
        <v>285850.58861465601</v>
      </c>
    </row>
    <row r="102" spans="4:7" x14ac:dyDescent="0.55000000000000004">
      <c r="D102" t="s">
        <v>218</v>
      </c>
      <c r="E102">
        <v>9</v>
      </c>
      <c r="F102" s="74" t="s">
        <v>209</v>
      </c>
      <c r="G102" s="125">
        <v>357313.23576831998</v>
      </c>
    </row>
    <row r="103" spans="4:7" x14ac:dyDescent="0.55000000000000004">
      <c r="D103" t="s">
        <v>218</v>
      </c>
      <c r="E103">
        <v>9</v>
      </c>
      <c r="F103" s="74" t="s">
        <v>210</v>
      </c>
      <c r="G103" s="125">
        <v>428775.88292198401</v>
      </c>
    </row>
    <row r="104" spans="4:7" x14ac:dyDescent="0.55000000000000004">
      <c r="D104" t="s">
        <v>218</v>
      </c>
      <c r="E104">
        <v>10</v>
      </c>
      <c r="F104" s="66" t="s">
        <v>195</v>
      </c>
      <c r="G104" s="125">
        <v>142925.294307328</v>
      </c>
    </row>
    <row r="105" spans="4:7" x14ac:dyDescent="0.55000000000000004">
      <c r="D105" t="s">
        <v>218</v>
      </c>
      <c r="E105">
        <v>10</v>
      </c>
      <c r="F105" s="74" t="s">
        <v>196</v>
      </c>
      <c r="G105" s="125">
        <v>214387.94146099201</v>
      </c>
    </row>
    <row r="106" spans="4:7" x14ac:dyDescent="0.55000000000000004">
      <c r="D106" t="s">
        <v>218</v>
      </c>
      <c r="E106">
        <v>10</v>
      </c>
      <c r="F106" s="74" t="s">
        <v>197</v>
      </c>
      <c r="G106" s="125">
        <v>285850.58861465601</v>
      </c>
    </row>
    <row r="107" spans="4:7" x14ac:dyDescent="0.55000000000000004">
      <c r="D107" t="s">
        <v>218</v>
      </c>
      <c r="E107">
        <v>10</v>
      </c>
      <c r="F107" s="74" t="s">
        <v>209</v>
      </c>
      <c r="G107" s="125">
        <v>357313.23576831998</v>
      </c>
    </row>
    <row r="108" spans="4:7" x14ac:dyDescent="0.55000000000000004">
      <c r="D108" t="s">
        <v>218</v>
      </c>
      <c r="E108">
        <v>10</v>
      </c>
      <c r="F108" s="74" t="s">
        <v>210</v>
      </c>
      <c r="G108" s="125">
        <v>428775.88292198401</v>
      </c>
    </row>
    <row r="109" spans="4:7" x14ac:dyDescent="0.55000000000000004">
      <c r="D109" t="s">
        <v>218</v>
      </c>
      <c r="E109">
        <v>11</v>
      </c>
      <c r="F109" s="66" t="s">
        <v>195</v>
      </c>
      <c r="G109" s="125">
        <v>142925.294307328</v>
      </c>
    </row>
    <row r="110" spans="4:7" x14ac:dyDescent="0.55000000000000004">
      <c r="D110" t="s">
        <v>218</v>
      </c>
      <c r="E110">
        <v>11</v>
      </c>
      <c r="F110" s="74" t="s">
        <v>196</v>
      </c>
      <c r="G110" s="125">
        <v>214387.94146099201</v>
      </c>
    </row>
    <row r="111" spans="4:7" x14ac:dyDescent="0.55000000000000004">
      <c r="D111" t="s">
        <v>218</v>
      </c>
      <c r="E111">
        <v>11</v>
      </c>
      <c r="F111" s="74" t="s">
        <v>197</v>
      </c>
      <c r="G111" s="125">
        <v>285850.58861465601</v>
      </c>
    </row>
    <row r="112" spans="4:7" x14ac:dyDescent="0.55000000000000004">
      <c r="D112" t="s">
        <v>218</v>
      </c>
      <c r="E112">
        <v>11</v>
      </c>
      <c r="F112" s="74" t="s">
        <v>209</v>
      </c>
      <c r="G112" s="125">
        <v>357313.23576831998</v>
      </c>
    </row>
    <row r="113" spans="4:7" x14ac:dyDescent="0.55000000000000004">
      <c r="D113" t="s">
        <v>218</v>
      </c>
      <c r="E113">
        <v>11</v>
      </c>
      <c r="F113" s="74" t="s">
        <v>210</v>
      </c>
      <c r="G113" s="125">
        <v>428775.88292198401</v>
      </c>
    </row>
    <row r="114" spans="4:7" x14ac:dyDescent="0.55000000000000004">
      <c r="D114" t="s">
        <v>218</v>
      </c>
      <c r="E114">
        <v>11</v>
      </c>
      <c r="F114" s="74" t="s">
        <v>211</v>
      </c>
      <c r="G114" s="125">
        <v>500238.53007564798</v>
      </c>
    </row>
    <row r="115" spans="4:7" x14ac:dyDescent="0.55000000000000004">
      <c r="D115" t="s">
        <v>218</v>
      </c>
      <c r="E115">
        <v>12</v>
      </c>
      <c r="F115" s="66" t="s">
        <v>195</v>
      </c>
      <c r="G115" s="125">
        <v>142925.294307328</v>
      </c>
    </row>
    <row r="116" spans="4:7" x14ac:dyDescent="0.55000000000000004">
      <c r="D116" t="s">
        <v>218</v>
      </c>
      <c r="E116">
        <v>12</v>
      </c>
      <c r="F116" s="74" t="s">
        <v>196</v>
      </c>
      <c r="G116" s="125">
        <v>214387.94146099201</v>
      </c>
    </row>
    <row r="117" spans="4:7" x14ac:dyDescent="0.55000000000000004">
      <c r="D117" t="s">
        <v>218</v>
      </c>
      <c r="E117">
        <v>12</v>
      </c>
      <c r="F117" s="74" t="s">
        <v>197</v>
      </c>
      <c r="G117" s="125">
        <v>285850.58861465601</v>
      </c>
    </row>
    <row r="118" spans="4:7" x14ac:dyDescent="0.55000000000000004">
      <c r="D118" t="s">
        <v>218</v>
      </c>
      <c r="E118">
        <v>12</v>
      </c>
      <c r="F118" s="74" t="s">
        <v>209</v>
      </c>
      <c r="G118" s="125">
        <v>357313.23576831998</v>
      </c>
    </row>
    <row r="119" spans="4:7" x14ac:dyDescent="0.55000000000000004">
      <c r="D119" t="s">
        <v>218</v>
      </c>
      <c r="E119">
        <v>12</v>
      </c>
      <c r="F119" s="74" t="s">
        <v>210</v>
      </c>
      <c r="G119" s="125">
        <v>428775.88292198401</v>
      </c>
    </row>
    <row r="120" spans="4:7" x14ac:dyDescent="0.55000000000000004">
      <c r="D120" t="s">
        <v>218</v>
      </c>
      <c r="E120">
        <v>12</v>
      </c>
      <c r="F120" s="74" t="s">
        <v>211</v>
      </c>
      <c r="G120" s="125">
        <v>500238.53007564798</v>
      </c>
    </row>
    <row r="121" spans="4:7" x14ac:dyDescent="0.55000000000000004">
      <c r="D121" t="s">
        <v>218</v>
      </c>
      <c r="E121">
        <v>12</v>
      </c>
      <c r="F121" s="74" t="s">
        <v>212</v>
      </c>
      <c r="G121" s="125">
        <v>571701.17722931202</v>
      </c>
    </row>
    <row r="122" spans="4:7" x14ac:dyDescent="0.55000000000000004">
      <c r="D122" t="s">
        <v>218</v>
      </c>
      <c r="E122">
        <v>13</v>
      </c>
      <c r="F122" s="66" t="s">
        <v>195</v>
      </c>
      <c r="G122" s="125">
        <v>142925.294307328</v>
      </c>
    </row>
    <row r="123" spans="4:7" x14ac:dyDescent="0.55000000000000004">
      <c r="D123" t="s">
        <v>218</v>
      </c>
      <c r="E123">
        <v>13</v>
      </c>
      <c r="F123" s="74" t="s">
        <v>196</v>
      </c>
      <c r="G123" s="125">
        <v>214387.94146099201</v>
      </c>
    </row>
    <row r="124" spans="4:7" x14ac:dyDescent="0.55000000000000004">
      <c r="D124" t="s">
        <v>218</v>
      </c>
      <c r="E124">
        <v>13</v>
      </c>
      <c r="F124" s="74" t="s">
        <v>197</v>
      </c>
      <c r="G124" s="125">
        <v>285850.58861465601</v>
      </c>
    </row>
    <row r="125" spans="4:7" x14ac:dyDescent="0.55000000000000004">
      <c r="D125" t="s">
        <v>218</v>
      </c>
      <c r="E125">
        <v>13</v>
      </c>
      <c r="F125" s="74" t="s">
        <v>209</v>
      </c>
      <c r="G125" s="125">
        <v>357313.23576831998</v>
      </c>
    </row>
    <row r="126" spans="4:7" x14ac:dyDescent="0.55000000000000004">
      <c r="D126" t="s">
        <v>218</v>
      </c>
      <c r="E126">
        <v>13</v>
      </c>
      <c r="F126" s="74" t="s">
        <v>210</v>
      </c>
      <c r="G126" s="125">
        <v>428775.88292198401</v>
      </c>
    </row>
    <row r="127" spans="4:7" x14ac:dyDescent="0.55000000000000004">
      <c r="D127" t="s">
        <v>218</v>
      </c>
      <c r="E127">
        <v>13</v>
      </c>
      <c r="F127" s="74" t="s">
        <v>211</v>
      </c>
      <c r="G127" s="125">
        <v>500238.53007564798</v>
      </c>
    </row>
    <row r="128" spans="4:7" x14ac:dyDescent="0.55000000000000004">
      <c r="D128" t="s">
        <v>218</v>
      </c>
      <c r="E128">
        <v>13</v>
      </c>
      <c r="F128" s="74" t="s">
        <v>212</v>
      </c>
      <c r="G128" s="125">
        <v>571701.17722931202</v>
      </c>
    </row>
    <row r="129" spans="4:7" x14ac:dyDescent="0.55000000000000004">
      <c r="D129" t="s">
        <v>218</v>
      </c>
      <c r="E129">
        <v>14</v>
      </c>
      <c r="F129" s="66" t="s">
        <v>195</v>
      </c>
      <c r="G129" s="125">
        <v>142925.294307328</v>
      </c>
    </row>
    <row r="130" spans="4:7" x14ac:dyDescent="0.55000000000000004">
      <c r="D130" t="s">
        <v>218</v>
      </c>
      <c r="E130">
        <v>14</v>
      </c>
      <c r="F130" s="74" t="s">
        <v>196</v>
      </c>
      <c r="G130" s="125">
        <v>214387.94146099201</v>
      </c>
    </row>
    <row r="131" spans="4:7" x14ac:dyDescent="0.55000000000000004">
      <c r="D131" t="s">
        <v>218</v>
      </c>
      <c r="E131">
        <v>14</v>
      </c>
      <c r="F131" s="74" t="s">
        <v>197</v>
      </c>
      <c r="G131" s="125">
        <v>285850.58861465601</v>
      </c>
    </row>
    <row r="132" spans="4:7" x14ac:dyDescent="0.55000000000000004">
      <c r="D132" t="s">
        <v>218</v>
      </c>
      <c r="E132">
        <v>14</v>
      </c>
      <c r="F132" s="74" t="s">
        <v>209</v>
      </c>
      <c r="G132" s="125">
        <v>357313.23576831998</v>
      </c>
    </row>
    <row r="133" spans="4:7" x14ac:dyDescent="0.55000000000000004">
      <c r="D133" t="s">
        <v>218</v>
      </c>
      <c r="E133">
        <v>14</v>
      </c>
      <c r="F133" s="74" t="s">
        <v>210</v>
      </c>
      <c r="G133" s="125">
        <v>428775.88292198401</v>
      </c>
    </row>
    <row r="134" spans="4:7" x14ac:dyDescent="0.55000000000000004">
      <c r="D134" t="s">
        <v>218</v>
      </c>
      <c r="E134">
        <v>14</v>
      </c>
      <c r="F134" s="74" t="s">
        <v>211</v>
      </c>
      <c r="G134" s="125">
        <v>500238.53007564798</v>
      </c>
    </row>
    <row r="135" spans="4:7" x14ac:dyDescent="0.55000000000000004">
      <c r="D135" t="s">
        <v>218</v>
      </c>
      <c r="E135">
        <v>14</v>
      </c>
      <c r="F135" s="74" t="s">
        <v>212</v>
      </c>
      <c r="G135" s="125">
        <v>571701.17722931202</v>
      </c>
    </row>
    <row r="136" spans="4:7" x14ac:dyDescent="0.55000000000000004">
      <c r="D136" t="s">
        <v>218</v>
      </c>
      <c r="E136">
        <v>14</v>
      </c>
      <c r="F136" s="74" t="s">
        <v>213</v>
      </c>
      <c r="G136" s="125">
        <v>643163.82438297605</v>
      </c>
    </row>
    <row r="137" spans="4:7" x14ac:dyDescent="0.55000000000000004">
      <c r="D137" t="s">
        <v>218</v>
      </c>
      <c r="E137">
        <v>15</v>
      </c>
      <c r="F137" s="66" t="s">
        <v>195</v>
      </c>
      <c r="G137" s="125">
        <v>142925.294307328</v>
      </c>
    </row>
    <row r="138" spans="4:7" x14ac:dyDescent="0.55000000000000004">
      <c r="D138" t="s">
        <v>218</v>
      </c>
      <c r="E138">
        <v>15</v>
      </c>
      <c r="F138" s="74" t="s">
        <v>196</v>
      </c>
      <c r="G138" s="125">
        <v>214387.94146099201</v>
      </c>
    </row>
    <row r="139" spans="4:7" x14ac:dyDescent="0.55000000000000004">
      <c r="D139" t="s">
        <v>218</v>
      </c>
      <c r="E139">
        <v>15</v>
      </c>
      <c r="F139" s="74" t="s">
        <v>197</v>
      </c>
      <c r="G139" s="125">
        <v>285850.58861465601</v>
      </c>
    </row>
    <row r="140" spans="4:7" x14ac:dyDescent="0.55000000000000004">
      <c r="D140" t="s">
        <v>218</v>
      </c>
      <c r="E140">
        <v>15</v>
      </c>
      <c r="F140" s="74" t="s">
        <v>209</v>
      </c>
      <c r="G140" s="125">
        <v>357313.23576831998</v>
      </c>
    </row>
    <row r="141" spans="4:7" x14ac:dyDescent="0.55000000000000004">
      <c r="D141" t="s">
        <v>218</v>
      </c>
      <c r="E141">
        <v>15</v>
      </c>
      <c r="F141" s="74" t="s">
        <v>210</v>
      </c>
      <c r="G141" s="125">
        <v>428775.88292198401</v>
      </c>
    </row>
    <row r="142" spans="4:7" x14ac:dyDescent="0.55000000000000004">
      <c r="D142" t="s">
        <v>218</v>
      </c>
      <c r="E142">
        <v>15</v>
      </c>
      <c r="F142" s="74" t="s">
        <v>211</v>
      </c>
      <c r="G142" s="125">
        <v>500238.53007564798</v>
      </c>
    </row>
    <row r="143" spans="4:7" x14ac:dyDescent="0.55000000000000004">
      <c r="D143" t="s">
        <v>218</v>
      </c>
      <c r="E143">
        <v>15</v>
      </c>
      <c r="F143" s="74" t="s">
        <v>212</v>
      </c>
      <c r="G143" s="125">
        <v>571701.17722931202</v>
      </c>
    </row>
    <row r="144" spans="4:7" x14ac:dyDescent="0.55000000000000004">
      <c r="D144" t="s">
        <v>218</v>
      </c>
      <c r="E144">
        <v>15</v>
      </c>
      <c r="F144" s="74" t="s">
        <v>213</v>
      </c>
      <c r="G144" s="125">
        <v>643163.82438297605</v>
      </c>
    </row>
    <row r="145" spans="4:7" x14ac:dyDescent="0.55000000000000004">
      <c r="D145" t="s">
        <v>218</v>
      </c>
      <c r="E145">
        <v>16</v>
      </c>
      <c r="F145" s="66" t="s">
        <v>195</v>
      </c>
      <c r="G145" s="125">
        <v>142925.294307328</v>
      </c>
    </row>
    <row r="146" spans="4:7" x14ac:dyDescent="0.55000000000000004">
      <c r="D146" t="s">
        <v>218</v>
      </c>
      <c r="E146">
        <v>16</v>
      </c>
      <c r="F146" s="74" t="s">
        <v>196</v>
      </c>
      <c r="G146" s="125">
        <v>214387.94146099201</v>
      </c>
    </row>
    <row r="147" spans="4:7" x14ac:dyDescent="0.55000000000000004">
      <c r="D147" t="s">
        <v>218</v>
      </c>
      <c r="E147">
        <v>16</v>
      </c>
      <c r="F147" s="74" t="s">
        <v>197</v>
      </c>
      <c r="G147" s="125">
        <v>285850.58861465601</v>
      </c>
    </row>
    <row r="148" spans="4:7" x14ac:dyDescent="0.55000000000000004">
      <c r="D148" t="s">
        <v>218</v>
      </c>
      <c r="E148">
        <v>16</v>
      </c>
      <c r="F148" s="74" t="s">
        <v>209</v>
      </c>
      <c r="G148" s="125">
        <v>357313.23576831998</v>
      </c>
    </row>
    <row r="149" spans="4:7" x14ac:dyDescent="0.55000000000000004">
      <c r="D149" t="s">
        <v>218</v>
      </c>
      <c r="E149">
        <v>16</v>
      </c>
      <c r="F149" s="74" t="s">
        <v>210</v>
      </c>
      <c r="G149" s="125">
        <v>428775.88292198401</v>
      </c>
    </row>
    <row r="150" spans="4:7" x14ac:dyDescent="0.55000000000000004">
      <c r="D150" t="s">
        <v>218</v>
      </c>
      <c r="E150">
        <v>16</v>
      </c>
      <c r="F150" s="74" t="s">
        <v>211</v>
      </c>
      <c r="G150" s="125">
        <v>500238.53007564798</v>
      </c>
    </row>
    <row r="151" spans="4:7" x14ac:dyDescent="0.55000000000000004">
      <c r="D151" t="s">
        <v>218</v>
      </c>
      <c r="E151">
        <v>16</v>
      </c>
      <c r="F151" s="74" t="s">
        <v>212</v>
      </c>
      <c r="G151" s="125">
        <v>571701.17722931202</v>
      </c>
    </row>
    <row r="152" spans="4:7" x14ac:dyDescent="0.55000000000000004">
      <c r="D152" t="s">
        <v>218</v>
      </c>
      <c r="E152">
        <v>16</v>
      </c>
      <c r="F152" s="74" t="s">
        <v>213</v>
      </c>
      <c r="G152" s="125">
        <v>643163.82438297605</v>
      </c>
    </row>
    <row r="153" spans="4:7" x14ac:dyDescent="0.55000000000000004">
      <c r="D153" t="s">
        <v>218</v>
      </c>
      <c r="E153">
        <v>16</v>
      </c>
      <c r="F153" s="74" t="s">
        <v>214</v>
      </c>
      <c r="G153" s="125">
        <v>714626.47153663996</v>
      </c>
    </row>
    <row r="154" spans="4:7" x14ac:dyDescent="0.55000000000000004">
      <c r="D154" t="s">
        <v>218</v>
      </c>
      <c r="E154">
        <v>17</v>
      </c>
      <c r="F154" s="66" t="s">
        <v>195</v>
      </c>
      <c r="G154" s="125">
        <v>142925.294307328</v>
      </c>
    </row>
    <row r="155" spans="4:7" x14ac:dyDescent="0.55000000000000004">
      <c r="D155" t="s">
        <v>218</v>
      </c>
      <c r="E155">
        <v>17</v>
      </c>
      <c r="F155" s="74" t="s">
        <v>196</v>
      </c>
      <c r="G155" s="125">
        <v>214387.94146099201</v>
      </c>
    </row>
    <row r="156" spans="4:7" x14ac:dyDescent="0.55000000000000004">
      <c r="D156" t="s">
        <v>218</v>
      </c>
      <c r="E156">
        <v>17</v>
      </c>
      <c r="F156" s="74" t="s">
        <v>197</v>
      </c>
      <c r="G156" s="125">
        <v>285850.58861465601</v>
      </c>
    </row>
    <row r="157" spans="4:7" x14ac:dyDescent="0.55000000000000004">
      <c r="D157" t="s">
        <v>218</v>
      </c>
      <c r="E157">
        <v>17</v>
      </c>
      <c r="F157" s="74" t="s">
        <v>209</v>
      </c>
      <c r="G157" s="125">
        <v>357313.23576831998</v>
      </c>
    </row>
    <row r="158" spans="4:7" x14ac:dyDescent="0.55000000000000004">
      <c r="D158" t="s">
        <v>218</v>
      </c>
      <c r="E158">
        <v>17</v>
      </c>
      <c r="F158" s="74" t="s">
        <v>210</v>
      </c>
      <c r="G158" s="125">
        <v>428775.88292198401</v>
      </c>
    </row>
    <row r="159" spans="4:7" x14ac:dyDescent="0.55000000000000004">
      <c r="D159" t="s">
        <v>218</v>
      </c>
      <c r="E159">
        <v>17</v>
      </c>
      <c r="F159" s="74" t="s">
        <v>211</v>
      </c>
      <c r="G159" s="125">
        <v>500238.53007564798</v>
      </c>
    </row>
    <row r="160" spans="4:7" x14ac:dyDescent="0.55000000000000004">
      <c r="D160" t="s">
        <v>218</v>
      </c>
      <c r="E160">
        <v>17</v>
      </c>
      <c r="F160" s="74" t="s">
        <v>212</v>
      </c>
      <c r="G160" s="125">
        <v>571701.17722931202</v>
      </c>
    </row>
    <row r="161" spans="4:7" x14ac:dyDescent="0.55000000000000004">
      <c r="D161" t="s">
        <v>218</v>
      </c>
      <c r="E161">
        <v>17</v>
      </c>
      <c r="F161" s="74" t="s">
        <v>213</v>
      </c>
      <c r="G161" s="125">
        <v>643163.82438297605</v>
      </c>
    </row>
    <row r="162" spans="4:7" x14ac:dyDescent="0.55000000000000004">
      <c r="D162" t="s">
        <v>218</v>
      </c>
      <c r="E162">
        <v>17</v>
      </c>
      <c r="F162" s="74" t="s">
        <v>214</v>
      </c>
      <c r="G162" s="125">
        <v>714626.47153663996</v>
      </c>
    </row>
    <row r="163" spans="4:7" x14ac:dyDescent="0.55000000000000004">
      <c r="D163" t="s">
        <v>218</v>
      </c>
      <c r="E163">
        <v>18</v>
      </c>
      <c r="F163" s="66" t="s">
        <v>195</v>
      </c>
      <c r="G163" s="125">
        <v>142925.294307328</v>
      </c>
    </row>
    <row r="164" spans="4:7" x14ac:dyDescent="0.55000000000000004">
      <c r="D164" t="s">
        <v>218</v>
      </c>
      <c r="E164">
        <v>18</v>
      </c>
      <c r="F164" s="74" t="s">
        <v>196</v>
      </c>
      <c r="G164" s="125">
        <v>214387.94146099201</v>
      </c>
    </row>
    <row r="165" spans="4:7" x14ac:dyDescent="0.55000000000000004">
      <c r="D165" t="s">
        <v>218</v>
      </c>
      <c r="E165">
        <v>18</v>
      </c>
      <c r="F165" s="74" t="s">
        <v>197</v>
      </c>
      <c r="G165" s="125">
        <v>285850.58861465601</v>
      </c>
    </row>
    <row r="166" spans="4:7" x14ac:dyDescent="0.55000000000000004">
      <c r="D166" t="s">
        <v>218</v>
      </c>
      <c r="E166">
        <v>18</v>
      </c>
      <c r="F166" s="74" t="s">
        <v>209</v>
      </c>
      <c r="G166" s="125">
        <v>357313.23576831998</v>
      </c>
    </row>
    <row r="167" spans="4:7" x14ac:dyDescent="0.55000000000000004">
      <c r="D167" t="s">
        <v>218</v>
      </c>
      <c r="E167">
        <v>18</v>
      </c>
      <c r="F167" s="74" t="s">
        <v>210</v>
      </c>
      <c r="G167" s="125">
        <v>428775.88292198401</v>
      </c>
    </row>
    <row r="168" spans="4:7" x14ac:dyDescent="0.55000000000000004">
      <c r="D168" t="s">
        <v>218</v>
      </c>
      <c r="E168">
        <v>18</v>
      </c>
      <c r="F168" s="74" t="s">
        <v>211</v>
      </c>
      <c r="G168" s="125">
        <v>500238.53007564798</v>
      </c>
    </row>
    <row r="169" spans="4:7" x14ac:dyDescent="0.55000000000000004">
      <c r="D169" t="s">
        <v>218</v>
      </c>
      <c r="E169">
        <v>18</v>
      </c>
      <c r="F169" s="74" t="s">
        <v>212</v>
      </c>
      <c r="G169" s="125">
        <v>571701.17722931202</v>
      </c>
    </row>
    <row r="170" spans="4:7" x14ac:dyDescent="0.55000000000000004">
      <c r="D170" t="s">
        <v>218</v>
      </c>
      <c r="E170">
        <v>18</v>
      </c>
      <c r="F170" s="74" t="s">
        <v>213</v>
      </c>
      <c r="G170" s="125">
        <v>643163.82438297605</v>
      </c>
    </row>
    <row r="171" spans="4:7" x14ac:dyDescent="0.55000000000000004">
      <c r="D171" t="s">
        <v>218</v>
      </c>
      <c r="E171">
        <v>18</v>
      </c>
      <c r="F171" s="74" t="s">
        <v>214</v>
      </c>
      <c r="G171" s="125">
        <v>714626.47153663996</v>
      </c>
    </row>
    <row r="172" spans="4:7" x14ac:dyDescent="0.55000000000000004">
      <c r="D172" t="s">
        <v>218</v>
      </c>
      <c r="E172">
        <v>18</v>
      </c>
      <c r="F172" s="74" t="s">
        <v>215</v>
      </c>
      <c r="G172" s="125">
        <v>786089.11869030399</v>
      </c>
    </row>
    <row r="173" spans="4:7" x14ac:dyDescent="0.55000000000000004">
      <c r="D173" t="s">
        <v>218</v>
      </c>
      <c r="E173">
        <v>19</v>
      </c>
      <c r="F173" s="66" t="s">
        <v>195</v>
      </c>
      <c r="G173" s="125">
        <v>142925.294307328</v>
      </c>
    </row>
    <row r="174" spans="4:7" x14ac:dyDescent="0.55000000000000004">
      <c r="D174" t="s">
        <v>218</v>
      </c>
      <c r="E174">
        <v>19</v>
      </c>
      <c r="F174" s="74" t="s">
        <v>196</v>
      </c>
      <c r="G174" s="125">
        <v>214387.94146099201</v>
      </c>
    </row>
    <row r="175" spans="4:7" x14ac:dyDescent="0.55000000000000004">
      <c r="D175" t="s">
        <v>218</v>
      </c>
      <c r="E175">
        <v>19</v>
      </c>
      <c r="F175" s="74" t="s">
        <v>197</v>
      </c>
      <c r="G175" s="125">
        <v>285850.58861465601</v>
      </c>
    </row>
    <row r="176" spans="4:7" x14ac:dyDescent="0.55000000000000004">
      <c r="D176" t="s">
        <v>218</v>
      </c>
      <c r="E176">
        <v>19</v>
      </c>
      <c r="F176" s="74" t="s">
        <v>209</v>
      </c>
      <c r="G176" s="125">
        <v>357313.23576831998</v>
      </c>
    </row>
    <row r="177" spans="4:7" x14ac:dyDescent="0.55000000000000004">
      <c r="D177" t="s">
        <v>218</v>
      </c>
      <c r="E177">
        <v>19</v>
      </c>
      <c r="F177" s="74" t="s">
        <v>210</v>
      </c>
      <c r="G177" s="125">
        <v>428775.88292198401</v>
      </c>
    </row>
    <row r="178" spans="4:7" x14ac:dyDescent="0.55000000000000004">
      <c r="D178" t="s">
        <v>218</v>
      </c>
      <c r="E178">
        <v>19</v>
      </c>
      <c r="F178" s="74" t="s">
        <v>211</v>
      </c>
      <c r="G178" s="125">
        <v>500238.53007564798</v>
      </c>
    </row>
    <row r="179" spans="4:7" x14ac:dyDescent="0.55000000000000004">
      <c r="D179" t="s">
        <v>218</v>
      </c>
      <c r="E179">
        <v>19</v>
      </c>
      <c r="F179" s="74" t="s">
        <v>212</v>
      </c>
      <c r="G179" s="125">
        <v>571701.17722931202</v>
      </c>
    </row>
    <row r="180" spans="4:7" x14ac:dyDescent="0.55000000000000004">
      <c r="D180" t="s">
        <v>218</v>
      </c>
      <c r="E180">
        <v>19</v>
      </c>
      <c r="F180" s="74" t="s">
        <v>213</v>
      </c>
      <c r="G180" s="125">
        <v>643163.82438297605</v>
      </c>
    </row>
    <row r="181" spans="4:7" x14ac:dyDescent="0.55000000000000004">
      <c r="D181" t="s">
        <v>218</v>
      </c>
      <c r="E181">
        <v>18</v>
      </c>
      <c r="F181" s="74" t="s">
        <v>214</v>
      </c>
      <c r="G181" s="125">
        <v>714626.47153663996</v>
      </c>
    </row>
    <row r="182" spans="4:7" x14ac:dyDescent="0.55000000000000004">
      <c r="D182" t="s">
        <v>218</v>
      </c>
      <c r="E182">
        <v>18</v>
      </c>
      <c r="F182" s="74" t="s">
        <v>215</v>
      </c>
      <c r="G182" s="125">
        <v>786089.11869030399</v>
      </c>
    </row>
    <row r="183" spans="4:7" x14ac:dyDescent="0.55000000000000004">
      <c r="D183" t="s">
        <v>218</v>
      </c>
      <c r="E183">
        <v>19</v>
      </c>
      <c r="F183" s="74" t="s">
        <v>216</v>
      </c>
      <c r="G183" s="125">
        <v>857551.76584396802</v>
      </c>
    </row>
    <row r="184" spans="4:7" x14ac:dyDescent="0.55000000000000004">
      <c r="D184" t="s">
        <v>218</v>
      </c>
      <c r="E184">
        <v>20</v>
      </c>
      <c r="F184" s="66" t="s">
        <v>195</v>
      </c>
      <c r="G184" s="125">
        <v>142925.294307328</v>
      </c>
    </row>
    <row r="185" spans="4:7" x14ac:dyDescent="0.55000000000000004">
      <c r="D185" t="s">
        <v>218</v>
      </c>
      <c r="E185">
        <v>20</v>
      </c>
      <c r="F185" s="74" t="s">
        <v>196</v>
      </c>
      <c r="G185" s="125">
        <v>214387.94146099201</v>
      </c>
    </row>
    <row r="186" spans="4:7" x14ac:dyDescent="0.55000000000000004">
      <c r="D186" t="s">
        <v>218</v>
      </c>
      <c r="E186">
        <v>20</v>
      </c>
      <c r="F186" s="74" t="s">
        <v>197</v>
      </c>
      <c r="G186" s="125">
        <v>285850.58861465601</v>
      </c>
    </row>
    <row r="187" spans="4:7" x14ac:dyDescent="0.55000000000000004">
      <c r="D187" t="s">
        <v>218</v>
      </c>
      <c r="E187">
        <v>20</v>
      </c>
      <c r="F187" s="74" t="s">
        <v>209</v>
      </c>
      <c r="G187" s="125">
        <v>357313.23576831998</v>
      </c>
    </row>
    <row r="188" spans="4:7" x14ac:dyDescent="0.55000000000000004">
      <c r="D188" t="s">
        <v>218</v>
      </c>
      <c r="E188">
        <v>20</v>
      </c>
      <c r="F188" s="74" t="s">
        <v>210</v>
      </c>
      <c r="G188" s="125">
        <v>428775.88292198401</v>
      </c>
    </row>
    <row r="189" spans="4:7" x14ac:dyDescent="0.55000000000000004">
      <c r="D189" t="s">
        <v>218</v>
      </c>
      <c r="E189">
        <v>20</v>
      </c>
      <c r="F189" s="74" t="s">
        <v>211</v>
      </c>
      <c r="G189" s="125">
        <v>500238.53007564798</v>
      </c>
    </row>
    <row r="190" spans="4:7" x14ac:dyDescent="0.55000000000000004">
      <c r="D190" t="s">
        <v>218</v>
      </c>
      <c r="E190">
        <v>20</v>
      </c>
      <c r="F190" s="74" t="s">
        <v>212</v>
      </c>
      <c r="G190" s="125">
        <v>571701.17722931202</v>
      </c>
    </row>
    <row r="191" spans="4:7" x14ac:dyDescent="0.55000000000000004">
      <c r="D191" t="s">
        <v>218</v>
      </c>
      <c r="E191">
        <v>20</v>
      </c>
      <c r="F191" s="74" t="s">
        <v>213</v>
      </c>
      <c r="G191" s="125">
        <v>643163.82438297605</v>
      </c>
    </row>
    <row r="192" spans="4:7" x14ac:dyDescent="0.55000000000000004">
      <c r="D192" t="s">
        <v>218</v>
      </c>
      <c r="E192">
        <v>20</v>
      </c>
      <c r="F192" s="74" t="s">
        <v>214</v>
      </c>
      <c r="G192" s="125">
        <v>714626.47153663996</v>
      </c>
    </row>
    <row r="193" spans="4:7" x14ac:dyDescent="0.55000000000000004">
      <c r="D193" t="s">
        <v>218</v>
      </c>
      <c r="E193">
        <v>20</v>
      </c>
      <c r="F193" s="74" t="s">
        <v>215</v>
      </c>
      <c r="G193" s="125">
        <v>786089.11869030399</v>
      </c>
    </row>
    <row r="194" spans="4:7" x14ac:dyDescent="0.55000000000000004">
      <c r="D194" t="s">
        <v>218</v>
      </c>
      <c r="E194">
        <v>20</v>
      </c>
      <c r="F194" s="74" t="s">
        <v>216</v>
      </c>
      <c r="G194" s="125">
        <v>857551.76584396802</v>
      </c>
    </row>
  </sheetData>
  <sheetProtection algorithmName="SHA-512" hashValue="eq6S12ph0hgeGU5FphOVmcL05cW64kknEXL9Kpgkv7P6B1nmWP2sfgeoDYzqFIiXNX4NhuWJxZhX3+Tv9ktn7w==" saltValue="8sgkwes6gvHP2JnVCd8rAw==" spinCount="100000" sheet="1" objects="1" scenarios="1"/>
  <sortState xmlns:xlrd2="http://schemas.microsoft.com/office/spreadsheetml/2017/richdata2" ref="B3:B71">
    <sortCondition ref="B3:B71"/>
  </sortState>
  <mergeCells count="2">
    <mergeCell ref="S2:AB2"/>
    <mergeCell ref="M1:N1"/>
  </mergeCells>
  <phoneticPr fontId="12" type="noConversion"/>
  <dataValidations count="1">
    <dataValidation type="custom" allowBlank="1" showInputMessage="1" showErrorMessage="1" sqref="K3" xr:uid="{57AE0DF1-6F8E-4E3D-BEE7-5ED1462C2AF2}">
      <formula1>OR(K3="",COUNTIF(_xlfn.ANCHORARRAY(K3),K3)&gt;0)</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95BE00FEAC0641BDF435C78C5E34BD" ma:contentTypeVersion="1" ma:contentTypeDescription="Create a new document." ma:contentTypeScope="" ma:versionID="a48c4aca2e3a98935fd0090d85c65d33">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AEE234B-1270-4A30-8D85-32A4DCBA6F38}"/>
</file>

<file path=customXml/itemProps2.xml><?xml version="1.0" encoding="utf-8"?>
<ds:datastoreItem xmlns:ds="http://schemas.openxmlformats.org/officeDocument/2006/customXml" ds:itemID="{05775E30-80F6-440A-A217-CCF2585B392C}">
  <ds:schemaRefs>
    <ds:schemaRef ds:uri="http://schemas.microsoft.com/sharepoint/v3/contenttype/forms"/>
  </ds:schemaRefs>
</ds:datastoreItem>
</file>

<file path=customXml/itemProps3.xml><?xml version="1.0" encoding="utf-8"?>
<ds:datastoreItem xmlns:ds="http://schemas.openxmlformats.org/officeDocument/2006/customXml" ds:itemID="{85D72C78-2E7B-4C8F-A891-7B5D585ED7E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fdd0b532-92ec-4fde-a0df-b9fff609bc62"/>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ESIL Model</vt:lpstr>
      <vt:lpstr>KEY</vt:lpstr>
      <vt:lpstr>ExceptionEligible</vt:lpstr>
      <vt:lpstr>ExceptionNotEligible</vt:lpstr>
      <vt:lpstr>'ESIL Model'!Print_Area</vt:lpstr>
      <vt:lpstr>'ESIL Model'!Yes_No</vt:lpstr>
      <vt:lpstr>'ESIL Model'!YesNo</vt:lpstr>
    </vt:vector>
  </TitlesOfParts>
  <Manager/>
  <Company>Government of Manitoba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kpiche</dc:creator>
  <cp:keywords/>
  <dc:description/>
  <cp:lastModifiedBy>Schwartz, Steven</cp:lastModifiedBy>
  <cp:revision/>
  <dcterms:created xsi:type="dcterms:W3CDTF">2016-05-05T18:35:58Z</dcterms:created>
  <dcterms:modified xsi:type="dcterms:W3CDTF">2026-07-21T16:04:14Z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0x010100BF95BE00FEAC0641BDF435C78C5E34BD</vt:lpwstr>
  </property>
</Properties>
</file>