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55" yWindow="65416" windowWidth="6150" windowHeight="6780" activeTab="1"/>
  </bookViews>
  <sheets>
    <sheet name="Instructions" sheetId="1" r:id="rId1"/>
    <sheet name="SUM" sheetId="2" r:id="rId2"/>
    <sheet name="W&amp;S-AUC" sheetId="3" r:id="rId3"/>
    <sheet name="Dams" sheetId="4" r:id="rId4"/>
    <sheet name="W&amp;S-Equip" sheetId="5" r:id="rId5"/>
    <sheet name="W&amp;S-Networks" sheetId="6" r:id="rId6"/>
    <sheet name="W&amp;S-Bldgs Wood" sheetId="7" r:id="rId7"/>
    <sheet name="W&amp;S-Bldgs Brick" sheetId="8" r:id="rId8"/>
    <sheet name="W&amp;S-Land Improv" sheetId="9" r:id="rId9"/>
    <sheet name="W&amp;S-Land" sheetId="10" r:id="rId10"/>
    <sheet name="Trans-AUC" sheetId="11" r:id="rId11"/>
    <sheet name="Traffic Lights &amp; Equip" sheetId="12" r:id="rId12"/>
    <sheet name="Bridges" sheetId="13" r:id="rId13"/>
    <sheet name="Rd Grade" sheetId="14" r:id="rId14"/>
    <sheet name="Rd Surface" sheetId="15" r:id="rId15"/>
    <sheet name="Trans-Land" sheetId="16" r:id="rId16"/>
    <sheet name="Gen AUC" sheetId="17" r:id="rId17"/>
    <sheet name="Leaseholds" sheetId="18" r:id="rId18"/>
    <sheet name="Comp" sheetId="19" r:id="rId19"/>
    <sheet name="Road Equip" sheetId="20" r:id="rId20"/>
    <sheet name="Mach &amp; Equip" sheetId="21" r:id="rId21"/>
    <sheet name="Vehicles" sheetId="22" r:id="rId22"/>
    <sheet name="Bldgs-Wood" sheetId="23" r:id="rId23"/>
    <sheet name="Bldgs-Brick" sheetId="24" r:id="rId24"/>
    <sheet name="Land Improv" sheetId="25" r:id="rId25"/>
    <sheet name="Land" sheetId="26" r:id="rId26"/>
  </sheets>
  <definedNames>
    <definedName name="_xlnm.Print_Area" localSheetId="23">'Bldgs-Brick'!$A$1:$Z$41</definedName>
    <definedName name="_xlnm.Print_Area" localSheetId="22">'Bldgs-Wood'!$A$1:$Z$41</definedName>
    <definedName name="_xlnm.Print_Area" localSheetId="12">'Bridges'!$A$1:$Z$41</definedName>
    <definedName name="_xlnm.Print_Area" localSheetId="18">'Comp'!$A$1:$Z$41</definedName>
    <definedName name="_xlnm.Print_Area" localSheetId="3">'Dams'!$A$1:$Z$40</definedName>
    <definedName name="_xlnm.Print_Area" localSheetId="16">'Gen AUC'!$A$1:$K$40</definedName>
    <definedName name="_xlnm.Print_Area" localSheetId="0">'Instructions'!$A$1:$L$10</definedName>
    <definedName name="_xlnm.Print_Area" localSheetId="25">'Land'!$A$1:$K$46</definedName>
    <definedName name="_xlnm.Print_Area" localSheetId="24">'Land Improv'!$A$1:$Z$41</definedName>
    <definedName name="_xlnm.Print_Area" localSheetId="17">'Leaseholds'!$A$1:$Z$41</definedName>
    <definedName name="_xlnm.Print_Area" localSheetId="20">'Mach &amp; Equip'!$A$1:$Z$41</definedName>
    <definedName name="_xlnm.Print_Area" localSheetId="13">'Rd Grade'!$A$1:$Z$58</definedName>
    <definedName name="_xlnm.Print_Area" localSheetId="14">'Rd Surface'!$A$1:$Z$54</definedName>
    <definedName name="_xlnm.Print_Area" localSheetId="19">'Road Equip'!$A$1:$Z$41</definedName>
    <definedName name="_xlnm.Print_Area" localSheetId="1">'SUM'!$A$1:$T$36</definedName>
    <definedName name="_xlnm.Print_Area" localSheetId="11">'Traffic Lights &amp; Equip'!$A$1:$Z$41</definedName>
    <definedName name="_xlnm.Print_Area" localSheetId="10">'Trans-AUC'!$A$1:$K$40</definedName>
    <definedName name="_xlnm.Print_Area" localSheetId="15">'Trans-Land'!$A$1:$K$40</definedName>
    <definedName name="_xlnm.Print_Area" localSheetId="21">'Vehicles'!$A$1:$AA$41</definedName>
    <definedName name="_xlnm.Print_Area" localSheetId="2">'W&amp;S-AUC'!$A$1:$K$40</definedName>
    <definedName name="_xlnm.Print_Area" localSheetId="7">'W&amp;S-Bldgs Brick'!$A$1:$Z$41</definedName>
    <definedName name="_xlnm.Print_Area" localSheetId="6">'W&amp;S-Bldgs Wood'!$A$1:$Z$41</definedName>
    <definedName name="_xlnm.Print_Area" localSheetId="4">'W&amp;S-Equip'!$A$1:$AA$41</definedName>
    <definedName name="_xlnm.Print_Area" localSheetId="9">'W&amp;S-Land'!$A$1:$K$40</definedName>
    <definedName name="_xlnm.Print_Area" localSheetId="8">'W&amp;S-Land Improv'!$A$1:$Z$41</definedName>
    <definedName name="_xlnm.Print_Area" localSheetId="5">'W&amp;S-Networks'!$A$1:$Z$41</definedName>
    <definedName name="tm_1578565825">'Land'!#REF!</definedName>
    <definedName name="tm_3154117964">'Land'!$Q$16</definedName>
  </definedNames>
  <calcPr fullCalcOnLoad="1"/>
</workbook>
</file>

<file path=xl/sharedStrings.xml><?xml version="1.0" encoding="utf-8"?>
<sst xmlns="http://schemas.openxmlformats.org/spreadsheetml/2006/main" count="1513" uniqueCount="288">
  <si>
    <t>TANGIBLE CAPITAL ASSETS</t>
  </si>
  <si>
    <t>General Capital Assets</t>
  </si>
  <si>
    <t>Infrastructure</t>
  </si>
  <si>
    <t>Totals</t>
  </si>
  <si>
    <t>Buildings</t>
  </si>
  <si>
    <t>Computer</t>
  </si>
  <si>
    <t>and</t>
  </si>
  <si>
    <t>Vehicles</t>
  </si>
  <si>
    <t>Hardware</t>
  </si>
  <si>
    <t>Assets</t>
  </si>
  <si>
    <t>Leasehold</t>
  </si>
  <si>
    <t>Under</t>
  </si>
  <si>
    <t>Improvements</t>
  </si>
  <si>
    <t>Equipment</t>
  </si>
  <si>
    <t>Software</t>
  </si>
  <si>
    <t>Construction</t>
  </si>
  <si>
    <t/>
  </si>
  <si>
    <t>Opening costs</t>
  </si>
  <si>
    <t>Additions during the year</t>
  </si>
  <si>
    <t>Disposals and write downs</t>
  </si>
  <si>
    <t>Closing costs</t>
  </si>
  <si>
    <t>Accumulated Amortization</t>
  </si>
  <si>
    <t>Opening accum'd amortization</t>
  </si>
  <si>
    <t>Amortization</t>
  </si>
  <si>
    <t xml:space="preserve">Disposals and write downs </t>
  </si>
  <si>
    <t>Closing accum'd amortization</t>
  </si>
  <si>
    <t>Net Book Value of</t>
  </si>
  <si>
    <t>Tangible Capital Assets</t>
  </si>
  <si>
    <t>Cost</t>
  </si>
  <si>
    <t>Bridges</t>
  </si>
  <si>
    <t>For the Year Ended December 31, 2009</t>
  </si>
  <si>
    <t>2009</t>
  </si>
  <si>
    <t>Land and Land</t>
  </si>
  <si>
    <t>Roads, Streets,</t>
  </si>
  <si>
    <t>Land</t>
  </si>
  <si>
    <t>December 31, 2009</t>
  </si>
  <si>
    <t>Additions</t>
  </si>
  <si>
    <t>Disposals</t>
  </si>
  <si>
    <t>Description</t>
  </si>
  <si>
    <t>Date of</t>
  </si>
  <si>
    <t>Acquisition</t>
  </si>
  <si>
    <t>Useful</t>
  </si>
  <si>
    <t>Tangible Capital Assets Continuity Schedule</t>
  </si>
  <si>
    <t>Ending Balances - CFD to TCA Schedule</t>
  </si>
  <si>
    <t>Value</t>
  </si>
  <si>
    <t>Life (yrs)</t>
  </si>
  <si>
    <t>Accm Amort</t>
  </si>
  <si>
    <t>NBV</t>
  </si>
  <si>
    <t>Date</t>
  </si>
  <si>
    <t>Land Improvements</t>
  </si>
  <si>
    <t>Monthly</t>
  </si>
  <si>
    <t>Amort</t>
  </si>
  <si>
    <t>Put In Use</t>
  </si>
  <si>
    <t>#Months</t>
  </si>
  <si>
    <t>Residual</t>
  </si>
  <si>
    <t>Addn</t>
  </si>
  <si>
    <t>Disposals/WD</t>
  </si>
  <si>
    <t>Disp/WD</t>
  </si>
  <si>
    <t>Only complete shaded fields</t>
  </si>
  <si>
    <t xml:space="preserve"> </t>
  </si>
  <si>
    <t>#Mths</t>
  </si>
  <si>
    <t>#Mnths</t>
  </si>
  <si>
    <t>Ending Balances - CFD to Tangible Capital Asset Schedule</t>
  </si>
  <si>
    <t>Disposal</t>
  </si>
  <si>
    <t>Water &amp; Sewer Infrastructure - Dams &amp; Water Structures</t>
  </si>
  <si>
    <t>Water &amp; Sewer Infrastructure - Machinery &amp; Equipment</t>
  </si>
  <si>
    <t>Water &amp; Sewer Infrastructure - Water &amp; Sewer Networks</t>
  </si>
  <si>
    <t>Water &amp; Sewer Infrastructure - Buildings, Brick, Mortar &amp; Steel</t>
  </si>
  <si>
    <t>Water &amp; Sewer Infrastructure - Buildings, Wood Frame</t>
  </si>
  <si>
    <t>Water &amp; Sewer Infrastructure - Land Improvements</t>
  </si>
  <si>
    <t>Water &amp; Sewer Infrastructure - Land</t>
  </si>
  <si>
    <t>Transportation Infrastructure - Traffic Lights &amp; Lights</t>
  </si>
  <si>
    <t>Transportation Infrastructure - Bridges</t>
  </si>
  <si>
    <t>Transportation Infrastructure - Road Grade</t>
  </si>
  <si>
    <t>Transportation Infrastructure - Road Surface</t>
  </si>
  <si>
    <t>Transportation Infrastructure - Land &amp; Right of Way</t>
  </si>
  <si>
    <t>Leasehold Improvements</t>
  </si>
  <si>
    <t>Computers - Hardware &amp; Software</t>
  </si>
  <si>
    <t>Road Construction &amp; Maintenance Equipment</t>
  </si>
  <si>
    <t>Machinery &amp; Equipment</t>
  </si>
  <si>
    <t>Buildings - Wood Frame</t>
  </si>
  <si>
    <t>Buildings - Brick, Mortar &amp; Steel</t>
  </si>
  <si>
    <t>Transfer</t>
  </si>
  <si>
    <t>General AUC</t>
  </si>
  <si>
    <t>Transportation Infrastructure - AUC</t>
  </si>
  <si>
    <t>Water &amp; Sewer Infrastructure - AUC</t>
  </si>
  <si>
    <t>Asset</t>
  </si>
  <si>
    <t>Water</t>
  </si>
  <si>
    <t>Sewer</t>
  </si>
  <si>
    <t>Proof:</t>
  </si>
  <si>
    <t xml:space="preserve">The TCA Continuity Scheule is not meant to determine the valuation of TCA.  The TCA schedule is only meant to calculate the TCA balances for the financial statements.  The estimation of the historical cost is a separate procees in the recognition of TCA.  This schedule can only be used after you have to determined the proper historical cost for each asset.  </t>
  </si>
  <si>
    <t>Instructions</t>
  </si>
  <si>
    <t>The Tangible Capital Asset (TCA) Continuity Schedule is designed to facilitate the preparation of municipal financial statements at December 31, 2009.  The schedule calculates the cost, accumulated amortization, and net book value (NBV) for each TCA class at December 31, 2007, 2008 and 2009.  The schedule also calculates the amortization for the years ended December 31, 2008 and 2009.  The balances are carried forward to the Summary Schedule.  The Summary balances can be used to prepare the TCA note or schedule in the financial statements.</t>
  </si>
  <si>
    <t>Only the areas shaded in blue have to be completed.  The blue areas include the description of the asset, the cost, the date the asset was put into use, the date if disposal if applicable, and the estimated useful life of the asset in years.  The worksheet is designed only for assets amortized on a straight line basis.  The amortization formulas will have to be overswritten if a different amortization method is used.</t>
  </si>
  <si>
    <t>Amount For</t>
  </si>
  <si>
    <t>TOWN OF SAMPLEFORD</t>
  </si>
  <si>
    <t>Flygt Pump - 20hp-#1 LS</t>
  </si>
  <si>
    <t>Flygt Pump- 20hp - #1 LS</t>
  </si>
  <si>
    <t>Flygt-10 hp</t>
  </si>
  <si>
    <t>Flygt-20 hp</t>
  </si>
  <si>
    <t>Electronic water meter readers</t>
  </si>
  <si>
    <t>Sewer Snakes x 3</t>
  </si>
  <si>
    <t>Spare dosage pumps/parts</t>
  </si>
  <si>
    <t>Desludge pump</t>
  </si>
  <si>
    <t>Lime pump</t>
  </si>
  <si>
    <t>Cub C-160H garden tractor</t>
  </si>
  <si>
    <t>36 Fire Hydrants @$7700</t>
  </si>
  <si>
    <t>METERS</t>
  </si>
  <si>
    <t>1" Meters</t>
  </si>
  <si>
    <t>1.5" Meters</t>
  </si>
  <si>
    <t>2" Meters</t>
  </si>
  <si>
    <t>3/4" Meters</t>
  </si>
  <si>
    <t>5/8" Meters</t>
  </si>
  <si>
    <t>NW 13-22-14W - Greenspace</t>
  </si>
  <si>
    <t>West 1/2 of SE 18-22-14W - Wildlife poly pit</t>
  </si>
  <si>
    <t>NW 35-24-15W ROW 31 CNR ROW</t>
  </si>
  <si>
    <t>NE 34-22-15W - RM Leased Land</t>
  </si>
  <si>
    <t>NE 35-22-15W - RM Leased Land</t>
  </si>
  <si>
    <t>1-7436 / NE 12-22-16W - Tennis Court</t>
  </si>
  <si>
    <t xml:space="preserve">X-7436 / NE 12-22-16W - MTS </t>
  </si>
  <si>
    <t>6 &amp; 7-1-326 / NE 12-22-16W - Park</t>
  </si>
  <si>
    <t>8-1-326 / NE 12-22-16W - New Horizons</t>
  </si>
  <si>
    <t>9-1-326 / NE 12-22-16W - Parking Lot</t>
  </si>
  <si>
    <t>3/4-3-326 / NW 12-22-16W - Parking Lot</t>
  </si>
  <si>
    <t>5-3-326 / NE 12-22-16W - Parking Lot</t>
  </si>
  <si>
    <t>6/7-3-326 / NE 12-22-16W - Laurier Hall</t>
  </si>
  <si>
    <t>8-3-326 / NE 12-22-16W - Laurier Hall Use</t>
  </si>
  <si>
    <t>9/10-3-326 /  NE 2-22-16W - L. Hall Use</t>
  </si>
  <si>
    <t>16/17-3-326 /  NE 12-22-16W - L. Fire Hall</t>
  </si>
  <si>
    <t>18-3-326 / NE 12-22-16W - L.Fire Hall Use</t>
  </si>
  <si>
    <t xml:space="preserve">22-767 / SE 13-22-16W - Vacant Lot </t>
  </si>
  <si>
    <t>SE 13-22-16W - Curling Rink</t>
  </si>
  <si>
    <t>NW 12-23-14W - RM Leased Land</t>
  </si>
  <si>
    <t>SW 12-23-14W - RM Leased Land</t>
  </si>
  <si>
    <t>2-2922 / NE 17-23-14W - SA Grounds</t>
  </si>
  <si>
    <t>3-2922 / NE 17-231-14W - SA Grounds</t>
  </si>
  <si>
    <t>SE 17-23-14W - Ste. Amelie Hall</t>
  </si>
  <si>
    <t>SW 24-23-15W - Community Well</t>
  </si>
  <si>
    <t>NW 26-23-15W - RM Leased Land</t>
  </si>
  <si>
    <t>SW 26-23-15W - RM Leased Land</t>
  </si>
  <si>
    <t>SE 10-24-15W - Mun. Shed Property</t>
  </si>
  <si>
    <t>3-2993 / SE 17-24-15W - Hamelin Property</t>
  </si>
  <si>
    <t>Office Lot -Lot 58 Plan 1128</t>
  </si>
  <si>
    <t>Old Cemetery - NW 9-25-14W</t>
  </si>
  <si>
    <t xml:space="preserve">Parcel 1/2 SE 35-24-15W ROW 31 CNR </t>
  </si>
  <si>
    <t>Landfill - Concrete blocks for trans. Stn</t>
  </si>
  <si>
    <t>CG Park - Ball diamond</t>
  </si>
  <si>
    <t>CG Park - Volleyball court</t>
  </si>
  <si>
    <t>CG Park - Playground fixtures</t>
  </si>
  <si>
    <t>CG Park - Asphalt pad</t>
  </si>
  <si>
    <t>CG Park - Gravel and stone</t>
  </si>
  <si>
    <t>RM Office/Fire Hall - Concrete pad</t>
  </si>
  <si>
    <t>RM Office/Fire Hall - Comms tower</t>
  </si>
  <si>
    <t>Sidewalk - Plan 25820 (Morin to Paul)</t>
  </si>
  <si>
    <t>Sidewalk - Plan 27804 (Paul to Rosser)</t>
  </si>
  <si>
    <t>Sidewalk - Hwy 26 (Store to School)</t>
  </si>
  <si>
    <t>LID#1 - Ditch landscaping</t>
  </si>
  <si>
    <t>LID#1 - Christmas lighting</t>
  </si>
  <si>
    <t>1505 Hwy 26 - Public Works Shop, incl. storage</t>
  </si>
  <si>
    <t>1505 Hwy 26 - PW Shop Mezzanine</t>
  </si>
  <si>
    <t>1058 Hwy 26 - Firehall</t>
  </si>
  <si>
    <t>1058 Hwy 26 - Firehall addition</t>
  </si>
  <si>
    <t>1058 Hwy 26 - Rennovations</t>
  </si>
  <si>
    <t>CG Park - Picnic shelter</t>
  </si>
  <si>
    <t>Town Office</t>
  </si>
  <si>
    <t>Community Centre</t>
  </si>
  <si>
    <t>Town Shop</t>
  </si>
  <si>
    <t>Fire Hall</t>
  </si>
  <si>
    <t>Cook Shack - Dollard Park</t>
  </si>
  <si>
    <t>Medical Clinic</t>
  </si>
  <si>
    <t>Curling Rink</t>
  </si>
  <si>
    <t>Nuisance Grounds-Shed</t>
  </si>
  <si>
    <t>Cemetery-Garden Shed</t>
  </si>
  <si>
    <t>Parc Molgat-Tourist Booth</t>
  </si>
  <si>
    <t>2006 SV6 Montana Van</t>
  </si>
  <si>
    <t>2007 Chev Uplander Van</t>
  </si>
  <si>
    <t>1980 Chev Half Ton Truck</t>
  </si>
  <si>
    <t>2005 Chev  Truck</t>
  </si>
  <si>
    <t>1993 Ford Truck</t>
  </si>
  <si>
    <t>1993 Ford Van</t>
  </si>
  <si>
    <t>1974 GMC Truck</t>
  </si>
  <si>
    <t>1979 GMC</t>
  </si>
  <si>
    <t>1985 Yamaha 200 E Trike</t>
  </si>
  <si>
    <t>File Cabinets</t>
  </si>
  <si>
    <t>Canon Photo-Copier</t>
  </si>
  <si>
    <t>MTS Nortel Telephone System</t>
  </si>
  <si>
    <t>Desk/Crdenza/Hutch/LatFile</t>
  </si>
  <si>
    <t>Storeage/File Shelving Units</t>
  </si>
  <si>
    <t>Leather Chairs - Eight</t>
  </si>
  <si>
    <t>Guest Chairs - Seventeen</t>
  </si>
  <si>
    <t>Office Chairs-Four</t>
  </si>
  <si>
    <t>Rolling Cabinet</t>
  </si>
  <si>
    <t>Lateral File Credenza</t>
  </si>
  <si>
    <t>Executive Right Desk</t>
  </si>
  <si>
    <t>Closed Visual Board</t>
  </si>
  <si>
    <t>Board Room Table</t>
  </si>
  <si>
    <t>1991 Olympia Ice Resurfacer</t>
  </si>
  <si>
    <t>2005 Buhler Tractorw/Ldr/Frk</t>
  </si>
  <si>
    <t>2008 Trackless MT6w/Mwr/SB</t>
  </si>
  <si>
    <t>1998 ExMark Turf Tracer</t>
  </si>
  <si>
    <t>1997 Sand Spreader 1.8 YD3</t>
  </si>
  <si>
    <t>1983 Thompson Steamer</t>
  </si>
  <si>
    <t xml:space="preserve">2000 New Holland Riding </t>
  </si>
  <si>
    <t>1996 John Deer Riding Mower</t>
  </si>
  <si>
    <t>Construction Equipment</t>
  </si>
  <si>
    <t>Champion Grader -D600-1974</t>
  </si>
  <si>
    <t>Backhoe</t>
  </si>
  <si>
    <t>Crafco Melter</t>
  </si>
  <si>
    <t>Crafco Heated 18ft. Hose</t>
  </si>
  <si>
    <t>Steamer- Robertson</t>
  </si>
  <si>
    <t>Fire Equip</t>
  </si>
  <si>
    <t>Truck - 1997 F 750 Fire Truck-40%</t>
  </si>
  <si>
    <t>Truck - 1999 Ford LTL 9000 Tr.-40%</t>
  </si>
  <si>
    <t>Tr. - 2000  1FDKE30M5LHB39606-40%</t>
  </si>
  <si>
    <t>Office - Diamond Financial Accounting Software</t>
  </si>
  <si>
    <t>Utility - Diamond Financial Accounting Software</t>
  </si>
  <si>
    <t>Office - Tape Backup System</t>
  </si>
  <si>
    <t>Office - Digital Mapping Files</t>
  </si>
  <si>
    <t>Office - Healy sound system</t>
  </si>
  <si>
    <t>FD - Infocus Projector</t>
  </si>
  <si>
    <t>Office - Laptop ETLAX09023805021D630</t>
  </si>
  <si>
    <t>Office - MapInfo</t>
  </si>
  <si>
    <t>Arena - Site Preparation</t>
  </si>
  <si>
    <t>Arena - Design Plans</t>
  </si>
  <si>
    <t>Arena - Legal Costs</t>
  </si>
  <si>
    <t>Arena - Phase 1 Billing</t>
  </si>
  <si>
    <t>Arena - Phase 2 Billing</t>
  </si>
  <si>
    <t>Arena - Phase 3 Billing</t>
  </si>
  <si>
    <t>Arena - Phase 4 Billing</t>
  </si>
  <si>
    <t>Alexander Ave-Kellett to Mtn</t>
  </si>
  <si>
    <t>Alexander Ave- Mtn to Cavers</t>
  </si>
  <si>
    <t>Alexander Ave- Cavers to Broadway</t>
  </si>
  <si>
    <t>Finlay Ave to Recycle Yard</t>
  </si>
  <si>
    <t>Finlay Ave-Kellett to Mountain</t>
  </si>
  <si>
    <t>Finlay Av-Mtn to Cavers</t>
  </si>
  <si>
    <t>Finlay Av-Cavers to Broadway</t>
  </si>
  <si>
    <t>Finlay Av-Broadway to Lovett</t>
  </si>
  <si>
    <t>Finlay Av- Lovett to Lake</t>
  </si>
  <si>
    <t>Finlay Av-Lake to Boundary Rd</t>
  </si>
  <si>
    <t>S Railway- Dike to Malyska Dr</t>
  </si>
  <si>
    <t>S Railway- Malyska Dr to Kellet</t>
  </si>
  <si>
    <t>S Railway-Kellett to Mtn</t>
  </si>
  <si>
    <t xml:space="preserve">S Railway- Mtn to Cavers </t>
  </si>
  <si>
    <t>S Railway-Cavers to Broadway</t>
  </si>
  <si>
    <t>S Railway- Broadway to Lovett-F.M.</t>
  </si>
  <si>
    <t>S Railway-  Lovett to Lake</t>
  </si>
  <si>
    <t>S Railway Lake to Boundary Rd</t>
  </si>
  <si>
    <t>Morton Ave-Mather to Patterson</t>
  </si>
  <si>
    <t>Morton Ave-Patterson to Kellett</t>
  </si>
  <si>
    <t>Morton Ave-Kellett to Mtn</t>
  </si>
  <si>
    <t>Morton Ave-Mtn to Cavers</t>
  </si>
  <si>
    <t>Morton Ave-Cavers to Broadway</t>
  </si>
  <si>
    <t>Morton Ave-Broadway to Lovett</t>
  </si>
  <si>
    <t>Morton Ave-Lovett to Lake</t>
  </si>
  <si>
    <t>Morton Ave-Lake to Dudley</t>
  </si>
  <si>
    <t>Morton Ave-Dudley to Dujardin</t>
  </si>
  <si>
    <t>Morton Ave-Dujardin to Boundary Rd</t>
  </si>
  <si>
    <t>Stuart Ave-Kellett to Mtn</t>
  </si>
  <si>
    <t>Stuart Ave-Mtn to Cavers</t>
  </si>
  <si>
    <t>Stuart Ave-Cavers to Broadway</t>
  </si>
  <si>
    <t>Stuart Ave-Broadway to Lovett</t>
  </si>
  <si>
    <t>Stuart Ave-Lovett to Lake</t>
  </si>
  <si>
    <t>Stuart Ave-Lake to Dudley</t>
  </si>
  <si>
    <t>Stuart Ave-Dudley to Dujardin</t>
  </si>
  <si>
    <t>N Railway-Backlane Kellett to Mtn-Gvl</t>
  </si>
  <si>
    <t>N Railway Backlane-Mtn to Cavers-Gvl</t>
  </si>
  <si>
    <t>N Rlway Backlane-Cavers to Broadway-Gvl</t>
  </si>
  <si>
    <t>N Rlway Backlane- Broadway to Lovett-Gvl</t>
  </si>
  <si>
    <t>N Railway Backlane-Lovett to Lake-Gvl</t>
  </si>
  <si>
    <t>Clelland Cresc-Gvl</t>
  </si>
  <si>
    <t>S Railway- Backlane Mtn to Cavers- Gvl</t>
  </si>
  <si>
    <t>S Railway-Backlane Cavers to Broadwy-Gvl</t>
  </si>
  <si>
    <t>S Railway- Backlane Broadwy to Lovett-Gvl</t>
  </si>
  <si>
    <t>S Railway-  Backlane Lovett to Lake-Gvl</t>
  </si>
  <si>
    <t>Streetlights - 100W Exclusive - 8</t>
  </si>
  <si>
    <t>Streetlights - 100W Shared - 60</t>
  </si>
  <si>
    <t>Streetlights - 150W Exclusive - 1</t>
  </si>
  <si>
    <t>Streetlights - 150W Shared - 9</t>
  </si>
  <si>
    <t>111580 - Pumpstand site</t>
  </si>
  <si>
    <t>145150 - Lagoon site (portion acquired 2004)</t>
  </si>
  <si>
    <t>145150 - Lagoon</t>
  </si>
  <si>
    <t>145150 - Lagoon expansion</t>
  </si>
  <si>
    <t>Water Treatment Plant</t>
  </si>
  <si>
    <t>Amie Street subdivision</t>
  </si>
  <si>
    <t>Paul Cove subdivision</t>
  </si>
  <si>
    <t>LID #1</t>
  </si>
  <si>
    <t>LID #2</t>
  </si>
  <si>
    <t>Town share, regional water line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</si>
</sst>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mmm\-yy;@"/>
    <numFmt numFmtId="174" formatCode="[$-409]mmmm\ d\,\ yyyy;@"/>
    <numFmt numFmtId="175" formatCode="[$-409]mmmm\-yy;@"/>
    <numFmt numFmtId="176" formatCode="[$-409]d\-mmm;@"/>
    <numFmt numFmtId="177" formatCode="[$-409]dd\-mmm\-yy;@"/>
    <numFmt numFmtId="178" formatCode="[$-409]d\-mmm\-yy;@"/>
    <numFmt numFmtId="179" formatCode="[$-409]d/mmm/yy;@"/>
    <numFmt numFmtId="180" formatCode="_-&quot;$&quot;* #,##0_-;\-&quot;$&quot;* #,##0_-;_-&quot;$&quot;* &quot;-&quot;??_-;_-@_-"/>
    <numFmt numFmtId="181" formatCode="mm/dd/yy;@"/>
  </numFmts>
  <fonts count="25">
    <font>
      <sz val="10"/>
      <name val="Arial"/>
      <family val="0"/>
    </font>
    <font>
      <sz val="12"/>
      <color indexed="10"/>
      <name val="Arial Narrow"/>
      <family val="2"/>
    </font>
    <font>
      <sz val="10"/>
      <name val="Arial Narrow"/>
      <family val="2"/>
    </font>
    <font>
      <b/>
      <i/>
      <sz val="10"/>
      <color indexed="10"/>
      <name val="Arial Narrow"/>
      <family val="2"/>
    </font>
    <font>
      <b/>
      <sz val="12"/>
      <name val="Arial Narrow"/>
      <family val="2"/>
    </font>
    <font>
      <b/>
      <sz val="10"/>
      <name val="Arial Narrow"/>
      <family val="2"/>
    </font>
    <font>
      <b/>
      <sz val="9"/>
      <name val="Arial Narrow"/>
      <family val="2"/>
    </font>
    <font>
      <sz val="9"/>
      <name val="Arial Narrow"/>
      <family val="2"/>
    </font>
    <font>
      <sz val="8.5"/>
      <name val="Arial Narrow"/>
      <family val="2"/>
    </font>
    <font>
      <sz val="8"/>
      <name val="Arial Narrow"/>
      <family val="2"/>
    </font>
    <font>
      <b/>
      <sz val="8.5"/>
      <name val="Arial Narrow"/>
      <family val="2"/>
    </font>
    <font>
      <sz val="10"/>
      <color indexed="10"/>
      <name val="Arial Narrow"/>
      <family val="2"/>
    </font>
    <font>
      <b/>
      <i/>
      <sz val="10"/>
      <name val="Arial Narrow"/>
      <family val="2"/>
    </font>
    <font>
      <sz val="8"/>
      <name val="Arial"/>
      <family val="0"/>
    </font>
    <font>
      <u val="single"/>
      <sz val="10"/>
      <color indexed="12"/>
      <name val="Arial"/>
      <family val="0"/>
    </font>
    <font>
      <u val="single"/>
      <sz val="10"/>
      <color indexed="36"/>
      <name val="Arial"/>
      <family val="0"/>
    </font>
    <font>
      <b/>
      <sz val="14"/>
      <name val="Arial Narrow"/>
      <family val="2"/>
    </font>
    <font>
      <sz val="14"/>
      <name val="Arial Narrow"/>
      <family val="2"/>
    </font>
    <font>
      <b/>
      <i/>
      <sz val="14"/>
      <color indexed="10"/>
      <name val="Arial Narrow"/>
      <family val="2"/>
    </font>
    <font>
      <b/>
      <i/>
      <sz val="12"/>
      <color indexed="10"/>
      <name val="Arial Narrow"/>
      <family val="2"/>
    </font>
    <font>
      <sz val="9"/>
      <color indexed="10"/>
      <name val="Arial Narrow"/>
      <family val="2"/>
    </font>
    <font>
      <b/>
      <sz val="9"/>
      <color indexed="10"/>
      <name val="Arial Narrow"/>
      <family val="2"/>
    </font>
    <font>
      <b/>
      <sz val="14"/>
      <name val="Arial"/>
      <family val="2"/>
    </font>
    <font>
      <sz val="10"/>
      <color indexed="10"/>
      <name val="Arial"/>
      <family val="0"/>
    </font>
    <font>
      <b/>
      <sz val="10"/>
      <color indexed="10"/>
      <name val="Arial"/>
      <family val="2"/>
    </font>
  </fonts>
  <fills count="3">
    <fill>
      <patternFill/>
    </fill>
    <fill>
      <patternFill patternType="gray125"/>
    </fill>
    <fill>
      <patternFill patternType="solid">
        <fgColor indexed="41"/>
        <bgColor indexed="64"/>
      </patternFill>
    </fill>
  </fills>
  <borders count="23">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1" fillId="0" borderId="0" xfId="0" applyFont="1" applyFill="1" applyAlignment="1">
      <alignment vertical="top" wrapText="1"/>
    </xf>
    <xf numFmtId="41" fontId="2" fillId="0" borderId="0" xfId="0" applyNumberFormat="1" applyFont="1" applyFill="1" applyAlignment="1">
      <alignment/>
    </xf>
    <xf numFmtId="0" fontId="2" fillId="0" borderId="0" xfId="0" applyFont="1" applyFill="1" applyAlignment="1">
      <alignment/>
    </xf>
    <xf numFmtId="41" fontId="2" fillId="0" borderId="0" xfId="0" applyNumberFormat="1" applyFont="1" applyAlignment="1">
      <alignment/>
    </xf>
    <xf numFmtId="41" fontId="2" fillId="0" borderId="0" xfId="0" applyNumberFormat="1" applyFont="1" applyBorder="1" applyAlignment="1">
      <alignment/>
    </xf>
    <xf numFmtId="0" fontId="2" fillId="0" borderId="0" xfId="0" applyFont="1" applyAlignment="1">
      <alignment/>
    </xf>
    <xf numFmtId="41" fontId="2" fillId="0" borderId="0" xfId="0" applyNumberFormat="1" applyFont="1" applyFill="1" applyBorder="1" applyAlignment="1">
      <alignment/>
    </xf>
    <xf numFmtId="41" fontId="3" fillId="0" borderId="0" xfId="0" applyNumberFormat="1" applyFont="1" applyFill="1" applyAlignment="1">
      <alignment horizontal="center"/>
    </xf>
    <xf numFmtId="0" fontId="4" fillId="0" borderId="0" xfId="0" applyFont="1" applyAlignment="1">
      <alignment horizontal="center"/>
    </xf>
    <xf numFmtId="41" fontId="4" fillId="0" borderId="0" xfId="0" applyNumberFormat="1" applyFont="1" applyAlignment="1" quotePrefix="1">
      <alignment horizontal="center"/>
    </xf>
    <xf numFmtId="41" fontId="4" fillId="0" borderId="0" xfId="0" applyNumberFormat="1" applyFont="1" applyAlignment="1" quotePrefix="1">
      <alignment horizontal="right"/>
    </xf>
    <xf numFmtId="0" fontId="2" fillId="0" borderId="0" xfId="0" applyFont="1" applyFill="1" applyAlignment="1">
      <alignment wrapText="1"/>
    </xf>
    <xf numFmtId="0" fontId="5" fillId="0" borderId="0" xfId="0" applyFont="1" applyAlignment="1" quotePrefix="1">
      <alignment horizontal="center"/>
    </xf>
    <xf numFmtId="0" fontId="5" fillId="0" borderId="0" xfId="0" applyFont="1" applyAlignment="1">
      <alignment horizontal="center"/>
    </xf>
    <xf numFmtId="0" fontId="6" fillId="0" borderId="0" xfId="0" applyFont="1" applyAlignment="1">
      <alignment horizontal="center"/>
    </xf>
    <xf numFmtId="41" fontId="6" fillId="0" borderId="0" xfId="0" applyNumberFormat="1" applyFont="1" applyAlignment="1">
      <alignment horizontal="center"/>
    </xf>
    <xf numFmtId="41" fontId="6" fillId="0" borderId="0" xfId="0" applyNumberFormat="1" applyFont="1" applyAlignment="1">
      <alignment horizontal="center" wrapText="1"/>
    </xf>
    <xf numFmtId="0" fontId="6" fillId="0" borderId="0" xfId="0" applyFont="1" applyBorder="1" applyAlignment="1">
      <alignment horizontal="center"/>
    </xf>
    <xf numFmtId="41" fontId="6" fillId="0" borderId="0" xfId="0" applyNumberFormat="1" applyFont="1" applyBorder="1" applyAlignment="1">
      <alignment horizontal="center"/>
    </xf>
    <xf numFmtId="0" fontId="7" fillId="0" borderId="0" xfId="0" applyFont="1" applyAlignment="1">
      <alignment/>
    </xf>
    <xf numFmtId="41" fontId="5" fillId="0" borderId="0" xfId="0" applyNumberFormat="1" applyFont="1" applyAlignment="1">
      <alignment horizontal="center"/>
    </xf>
    <xf numFmtId="0" fontId="7" fillId="0" borderId="0" xfId="0" applyFont="1" applyBorder="1" applyAlignment="1">
      <alignment wrapText="1"/>
    </xf>
    <xf numFmtId="41" fontId="6" fillId="0" borderId="0" xfId="0" applyNumberFormat="1" applyFont="1" applyAlignment="1" quotePrefix="1">
      <alignment horizontal="center"/>
    </xf>
    <xf numFmtId="0" fontId="6" fillId="0" borderId="0" xfId="0" applyNumberFormat="1" applyFont="1" applyAlignment="1" quotePrefix="1">
      <alignment horizontal="center"/>
    </xf>
    <xf numFmtId="0" fontId="6" fillId="0" borderId="0" xfId="0" applyFont="1" applyAlignment="1" applyProtection="1">
      <alignment horizontal="left"/>
      <protection/>
    </xf>
    <xf numFmtId="41" fontId="7" fillId="0" borderId="0" xfId="0" applyNumberFormat="1" applyFont="1" applyAlignment="1">
      <alignment/>
    </xf>
    <xf numFmtId="41" fontId="7" fillId="0" borderId="0" xfId="0" applyNumberFormat="1" applyFont="1" applyAlignment="1" applyProtection="1" quotePrefix="1">
      <alignment horizontal="left"/>
      <protection/>
    </xf>
    <xf numFmtId="41" fontId="7" fillId="0" borderId="0" xfId="0" applyNumberFormat="1" applyFont="1" applyAlignment="1" quotePrefix="1">
      <alignment horizontal="left"/>
    </xf>
    <xf numFmtId="41" fontId="7" fillId="0" borderId="0" xfId="0" applyNumberFormat="1" applyFont="1" applyBorder="1" applyAlignment="1">
      <alignment/>
    </xf>
    <xf numFmtId="41" fontId="7" fillId="0" borderId="0" xfId="0" applyNumberFormat="1" applyFont="1" applyFill="1" applyAlignment="1">
      <alignment/>
    </xf>
    <xf numFmtId="41" fontId="7" fillId="0" borderId="0" xfId="0" applyNumberFormat="1" applyFont="1" applyFill="1" applyBorder="1" applyAlignment="1">
      <alignment/>
    </xf>
    <xf numFmtId="0" fontId="7" fillId="0" borderId="0" xfId="0" applyFont="1" applyAlignment="1" applyProtection="1">
      <alignment horizontal="left"/>
      <protection/>
    </xf>
    <xf numFmtId="0" fontId="7" fillId="0" borderId="0" xfId="0" applyFont="1" applyAlignment="1" applyProtection="1">
      <alignment horizontal="left" indent="1"/>
      <protection/>
    </xf>
    <xf numFmtId="41" fontId="7" fillId="0" borderId="1" xfId="0" applyNumberFormat="1" applyFont="1" applyBorder="1" applyAlignment="1">
      <alignment/>
    </xf>
    <xf numFmtId="0" fontId="7" fillId="0" borderId="0" xfId="0" applyFont="1" applyBorder="1" applyAlignment="1" applyProtection="1">
      <alignment horizontal="left" wrapText="1" indent="1"/>
      <protection/>
    </xf>
    <xf numFmtId="41" fontId="7" fillId="0" borderId="0" xfId="0" applyNumberFormat="1" applyFont="1" applyBorder="1" applyAlignment="1" applyProtection="1" quotePrefix="1">
      <alignment horizontal="left"/>
      <protection/>
    </xf>
    <xf numFmtId="41" fontId="7" fillId="0" borderId="0" xfId="0" applyNumberFormat="1" applyFont="1" applyBorder="1" applyAlignment="1" quotePrefix="1">
      <alignment horizontal="left"/>
    </xf>
    <xf numFmtId="0" fontId="7" fillId="0" borderId="0" xfId="0" applyFont="1" applyAlignment="1" applyProtection="1" quotePrefix="1">
      <alignment horizontal="left"/>
      <protection/>
    </xf>
    <xf numFmtId="0" fontId="7" fillId="0" borderId="0" xfId="0" applyFont="1" applyBorder="1" applyAlignment="1" applyProtection="1">
      <alignment horizontal="left" indent="1"/>
      <protection/>
    </xf>
    <xf numFmtId="0" fontId="7" fillId="0" borderId="0" xfId="0" applyFont="1" applyBorder="1" applyAlignment="1">
      <alignment/>
    </xf>
    <xf numFmtId="0" fontId="7" fillId="0" borderId="0" xfId="0" applyFont="1" applyAlignment="1" applyProtection="1">
      <alignment/>
      <protection/>
    </xf>
    <xf numFmtId="41" fontId="7" fillId="0" borderId="2" xfId="0" applyNumberFormat="1" applyFont="1" applyBorder="1" applyAlignment="1">
      <alignment/>
    </xf>
    <xf numFmtId="0" fontId="8" fillId="0" borderId="0" xfId="0" applyFont="1" applyAlignment="1" applyProtection="1" quotePrefix="1">
      <alignment horizontal="left"/>
      <protection/>
    </xf>
    <xf numFmtId="41" fontId="8" fillId="0" borderId="0" xfId="0" applyNumberFormat="1" applyFont="1" applyAlignment="1">
      <alignment/>
    </xf>
    <xf numFmtId="41" fontId="8" fillId="0" borderId="0" xfId="0" applyNumberFormat="1" applyFont="1" applyAlignment="1" quotePrefix="1">
      <alignment horizontal="left"/>
    </xf>
    <xf numFmtId="41" fontId="8" fillId="0" borderId="0" xfId="0" applyNumberFormat="1" applyFont="1" applyBorder="1" applyAlignment="1">
      <alignment/>
    </xf>
    <xf numFmtId="0" fontId="8" fillId="0" borderId="0" xfId="0" applyFont="1" applyAlignment="1">
      <alignment/>
    </xf>
    <xf numFmtId="0" fontId="9" fillId="0" borderId="0" xfId="0" applyFont="1" applyAlignment="1">
      <alignment/>
    </xf>
    <xf numFmtId="41" fontId="8" fillId="0" borderId="0" xfId="0" applyNumberFormat="1" applyFont="1" applyFill="1" applyAlignment="1">
      <alignment/>
    </xf>
    <xf numFmtId="41" fontId="8" fillId="0" borderId="0" xfId="0" applyNumberFormat="1" applyFont="1" applyFill="1" applyBorder="1" applyAlignment="1">
      <alignment/>
    </xf>
    <xf numFmtId="0" fontId="8" fillId="0" borderId="0" xfId="0" applyFont="1" applyBorder="1" applyAlignment="1">
      <alignment/>
    </xf>
    <xf numFmtId="41" fontId="8" fillId="0" borderId="0" xfId="0" applyNumberFormat="1" applyFont="1" applyBorder="1" applyAlignment="1" quotePrefix="1">
      <alignment horizontal="left"/>
    </xf>
    <xf numFmtId="42" fontId="8" fillId="0" borderId="0" xfId="0" applyNumberFormat="1" applyFont="1" applyBorder="1" applyAlignment="1">
      <alignment/>
    </xf>
    <xf numFmtId="0" fontId="8" fillId="0" borderId="0" xfId="0" applyFont="1" applyBorder="1" applyAlignment="1" applyProtection="1" quotePrefix="1">
      <alignment horizontal="left"/>
      <protection/>
    </xf>
    <xf numFmtId="42" fontId="10" fillId="0" borderId="0" xfId="0" applyNumberFormat="1" applyFont="1" applyBorder="1" applyAlignment="1">
      <alignment/>
    </xf>
    <xf numFmtId="0" fontId="6" fillId="0" borderId="0" xfId="0" applyFont="1" applyAlignment="1" applyProtection="1" quotePrefix="1">
      <alignment horizontal="left"/>
      <protection/>
    </xf>
    <xf numFmtId="41" fontId="5" fillId="0" borderId="0" xfId="0" applyNumberFormat="1" applyFont="1" applyAlignment="1">
      <alignment horizontal="left" indent="6"/>
    </xf>
    <xf numFmtId="0" fontId="2" fillId="0" borderId="0" xfId="0" applyFont="1" applyBorder="1" applyAlignment="1">
      <alignment/>
    </xf>
    <xf numFmtId="0" fontId="2" fillId="0" borderId="0" xfId="0" applyNumberFormat="1" applyFont="1" applyFill="1" applyBorder="1" applyAlignment="1">
      <alignment/>
    </xf>
    <xf numFmtId="0" fontId="2" fillId="0" borderId="0" xfId="0" applyNumberFormat="1" applyFont="1" applyBorder="1" applyAlignment="1">
      <alignment/>
    </xf>
    <xf numFmtId="0" fontId="5" fillId="0" borderId="0" xfId="0" applyNumberFormat="1" applyFont="1" applyBorder="1" applyAlignment="1">
      <alignment/>
    </xf>
    <xf numFmtId="0" fontId="5" fillId="0" borderId="0" xfId="0" applyNumberFormat="1" applyFont="1" applyBorder="1" applyAlignment="1" quotePrefix="1">
      <alignment/>
    </xf>
    <xf numFmtId="0" fontId="12" fillId="0" borderId="0" xfId="0" applyNumberFormat="1" applyFont="1" applyFill="1" applyBorder="1" applyAlignment="1">
      <alignment/>
    </xf>
    <xf numFmtId="0" fontId="2" fillId="0" borderId="0" xfId="0" applyNumberFormat="1" applyFont="1" applyBorder="1" applyAlignment="1" quotePrefix="1">
      <alignment/>
    </xf>
    <xf numFmtId="0" fontId="5" fillId="0" borderId="0" xfId="0" applyNumberFormat="1" applyFont="1" applyFill="1" applyBorder="1" applyAlignment="1">
      <alignment horizontal="center"/>
    </xf>
    <xf numFmtId="0" fontId="2" fillId="0" borderId="0" xfId="0" applyFont="1" applyBorder="1" applyAlignment="1">
      <alignment horizontal="center"/>
    </xf>
    <xf numFmtId="0" fontId="4" fillId="0" borderId="0" xfId="0" applyNumberFormat="1" applyFont="1" applyFill="1" applyBorder="1" applyAlignment="1">
      <alignment/>
    </xf>
    <xf numFmtId="15" fontId="4" fillId="0" borderId="0" xfId="0" applyNumberFormat="1" applyFont="1" applyFill="1" applyBorder="1" applyAlignment="1" quotePrefix="1">
      <alignment/>
    </xf>
    <xf numFmtId="41" fontId="2" fillId="0" borderId="0" xfId="0" applyNumberFormat="1" applyFont="1" applyBorder="1" applyAlignment="1">
      <alignment/>
    </xf>
    <xf numFmtId="0" fontId="5" fillId="0" borderId="3" xfId="0" applyNumberFormat="1" applyFont="1" applyFill="1" applyBorder="1" applyAlignment="1">
      <alignment horizontal="center"/>
    </xf>
    <xf numFmtId="0" fontId="2" fillId="2" borderId="0" xfId="0" applyNumberFormat="1" applyFont="1" applyFill="1" applyBorder="1" applyAlignment="1">
      <alignment/>
    </xf>
    <xf numFmtId="41" fontId="11" fillId="2" borderId="0" xfId="0" applyNumberFormat="1" applyFont="1" applyFill="1" applyBorder="1" applyAlignment="1">
      <alignment/>
    </xf>
    <xf numFmtId="0" fontId="11" fillId="2" borderId="0" xfId="0" applyNumberFormat="1" applyFont="1" applyFill="1" applyBorder="1" applyAlignment="1">
      <alignment/>
    </xf>
    <xf numFmtId="0" fontId="16" fillId="0" borderId="0" xfId="0" applyNumberFormat="1" applyFont="1" applyFill="1" applyBorder="1" applyAlignment="1">
      <alignment/>
    </xf>
    <xf numFmtId="0" fontId="5" fillId="0" borderId="0" xfId="0" applyNumberFormat="1" applyFont="1" applyFill="1" applyBorder="1" applyAlignment="1">
      <alignment/>
    </xf>
    <xf numFmtId="41" fontId="2" fillId="0" borderId="0" xfId="0" applyNumberFormat="1" applyFont="1" applyFill="1" applyBorder="1" applyAlignment="1">
      <alignment/>
    </xf>
    <xf numFmtId="0" fontId="16" fillId="0" borderId="0" xfId="0" applyNumberFormat="1" applyFont="1" applyFill="1" applyBorder="1" applyAlignment="1" quotePrefix="1">
      <alignment/>
    </xf>
    <xf numFmtId="43" fontId="2" fillId="0" borderId="0" xfId="0" applyNumberFormat="1" applyFont="1" applyBorder="1" applyAlignment="1">
      <alignment/>
    </xf>
    <xf numFmtId="43" fontId="2" fillId="0" borderId="0" xfId="0" applyNumberFormat="1" applyFont="1" applyFill="1" applyBorder="1" applyAlignment="1">
      <alignment/>
    </xf>
    <xf numFmtId="43" fontId="2" fillId="0" borderId="2" xfId="0" applyNumberFormat="1" applyFont="1" applyFill="1" applyBorder="1" applyAlignment="1">
      <alignment/>
    </xf>
    <xf numFmtId="43" fontId="11" fillId="2" borderId="0" xfId="0" applyNumberFormat="1" applyFont="1" applyFill="1" applyBorder="1" applyAlignment="1">
      <alignment/>
    </xf>
    <xf numFmtId="0" fontId="5" fillId="0" borderId="3" xfId="0" applyNumberFormat="1" applyFont="1" applyBorder="1" applyAlignment="1">
      <alignment horizontal="center"/>
    </xf>
    <xf numFmtId="15" fontId="5" fillId="0" borderId="3" xfId="0" applyNumberFormat="1" applyFont="1" applyFill="1" applyBorder="1" applyAlignment="1">
      <alignment horizontal="center"/>
    </xf>
    <xf numFmtId="0" fontId="17" fillId="0" borderId="0" xfId="0" applyNumberFormat="1" applyFont="1" applyFill="1" applyBorder="1" applyAlignment="1">
      <alignment/>
    </xf>
    <xf numFmtId="0" fontId="17" fillId="0" borderId="0" xfId="0" applyNumberFormat="1" applyFont="1" applyBorder="1" applyAlignment="1">
      <alignment/>
    </xf>
    <xf numFmtId="0" fontId="17" fillId="0" borderId="0" xfId="0" applyFont="1" applyBorder="1" applyAlignment="1">
      <alignment/>
    </xf>
    <xf numFmtId="0" fontId="16" fillId="0" borderId="0" xfId="0" applyNumberFormat="1" applyFont="1" applyBorder="1" applyAlignment="1">
      <alignment/>
    </xf>
    <xf numFmtId="0" fontId="18" fillId="2" borderId="0" xfId="0" applyNumberFormat="1" applyFont="1" applyFill="1" applyBorder="1" applyAlignment="1">
      <alignment/>
    </xf>
    <xf numFmtId="0" fontId="16" fillId="2" borderId="0" xfId="0" applyNumberFormat="1" applyFont="1" applyFill="1" applyBorder="1" applyAlignment="1">
      <alignment/>
    </xf>
    <xf numFmtId="43" fontId="2" fillId="0" borderId="3" xfId="0" applyNumberFormat="1" applyFont="1" applyFill="1" applyBorder="1" applyAlignment="1">
      <alignment/>
    </xf>
    <xf numFmtId="0" fontId="2" fillId="0" borderId="3" xfId="0" applyNumberFormat="1" applyFont="1" applyFill="1" applyBorder="1" applyAlignment="1">
      <alignment/>
    </xf>
    <xf numFmtId="43" fontId="2" fillId="0" borderId="1" xfId="0" applyNumberFormat="1" applyFont="1" applyFill="1" applyBorder="1" applyAlignment="1">
      <alignment/>
    </xf>
    <xf numFmtId="0" fontId="2" fillId="0" borderId="4" xfId="0" applyNumberFormat="1" applyFont="1" applyFill="1" applyBorder="1" applyAlignment="1">
      <alignment/>
    </xf>
    <xf numFmtId="0" fontId="5" fillId="0" borderId="5" xfId="0" applyNumberFormat="1" applyFont="1" applyFill="1" applyBorder="1" applyAlignment="1">
      <alignment horizontal="center"/>
    </xf>
    <xf numFmtId="15" fontId="5" fillId="0" borderId="5" xfId="0" applyNumberFormat="1" applyFont="1" applyFill="1" applyBorder="1" applyAlignment="1">
      <alignment horizontal="center"/>
    </xf>
    <xf numFmtId="0" fontId="2" fillId="0" borderId="6" xfId="0" applyNumberFormat="1" applyFont="1" applyFill="1" applyBorder="1" applyAlignment="1">
      <alignment/>
    </xf>
    <xf numFmtId="43" fontId="11" fillId="0" borderId="6" xfId="0" applyNumberFormat="1" applyFont="1" applyFill="1" applyBorder="1" applyAlignment="1">
      <alignment/>
    </xf>
    <xf numFmtId="15" fontId="11" fillId="2" borderId="0" xfId="0" applyNumberFormat="1" applyFont="1" applyFill="1" applyBorder="1" applyAlignment="1">
      <alignment horizontal="center"/>
    </xf>
    <xf numFmtId="0" fontId="11" fillId="2" borderId="0" xfId="0" applyNumberFormat="1" applyFont="1" applyFill="1" applyBorder="1" applyAlignment="1" applyProtection="1">
      <alignment/>
      <protection/>
    </xf>
    <xf numFmtId="0" fontId="11" fillId="2" borderId="0" xfId="0" applyNumberFormat="1" applyFont="1" applyFill="1" applyBorder="1" applyAlignment="1" applyProtection="1" quotePrefix="1">
      <alignment/>
      <protection/>
    </xf>
    <xf numFmtId="43" fontId="2" fillId="0" borderId="6" xfId="0" applyNumberFormat="1" applyFont="1" applyFill="1" applyBorder="1" applyAlignment="1">
      <alignment/>
    </xf>
    <xf numFmtId="43" fontId="2" fillId="0" borderId="7" xfId="0" applyNumberFormat="1" applyFont="1" applyFill="1" applyBorder="1" applyAlignment="1">
      <alignment/>
    </xf>
    <xf numFmtId="43" fontId="2" fillId="0" borderId="8" xfId="0" applyNumberFormat="1" applyFont="1" applyFill="1" applyBorder="1" applyAlignment="1">
      <alignment/>
    </xf>
    <xf numFmtId="43" fontId="2" fillId="0" borderId="9" xfId="0" applyNumberFormat="1" applyFont="1" applyFill="1" applyBorder="1" applyAlignment="1">
      <alignment/>
    </xf>
    <xf numFmtId="0" fontId="5" fillId="0" borderId="10" xfId="0" applyNumberFormat="1" applyFont="1" applyFill="1" applyBorder="1" applyAlignment="1">
      <alignment horizontal="centerContinuous"/>
    </xf>
    <xf numFmtId="15" fontId="5" fillId="0" borderId="10" xfId="0" applyNumberFormat="1" applyFont="1" applyFill="1" applyBorder="1" applyAlignment="1">
      <alignment horizontal="centerContinuous"/>
    </xf>
    <xf numFmtId="0" fontId="5" fillId="0" borderId="4" xfId="0" applyNumberFormat="1" applyFont="1" applyFill="1" applyBorder="1" applyAlignment="1">
      <alignment horizontal="centerContinuous"/>
    </xf>
    <xf numFmtId="174" fontId="5" fillId="0" borderId="11" xfId="0" applyNumberFormat="1" applyFont="1" applyFill="1" applyBorder="1" applyAlignment="1" quotePrefix="1">
      <alignment horizontal="centerContinuous"/>
    </xf>
    <xf numFmtId="174" fontId="5" fillId="0" borderId="11" xfId="0" applyNumberFormat="1" applyFont="1" applyFill="1" applyBorder="1" applyAlignment="1">
      <alignment horizontal="centerContinuous"/>
    </xf>
    <xf numFmtId="0" fontId="5" fillId="0" borderId="12" xfId="0" applyNumberFormat="1" applyFont="1" applyBorder="1" applyAlignment="1">
      <alignment/>
    </xf>
    <xf numFmtId="0" fontId="5" fillId="0" borderId="10" xfId="0" applyNumberFormat="1" applyFont="1" applyFill="1" applyBorder="1" applyAlignment="1">
      <alignment horizontal="center"/>
    </xf>
    <xf numFmtId="0" fontId="5" fillId="0" borderId="10" xfId="0" applyNumberFormat="1" applyFont="1" applyBorder="1" applyAlignment="1">
      <alignment horizontal="center"/>
    </xf>
    <xf numFmtId="0" fontId="5" fillId="0" borderId="4" xfId="0" applyNumberFormat="1" applyFont="1" applyFill="1" applyBorder="1" applyAlignment="1">
      <alignment horizontal="center"/>
    </xf>
    <xf numFmtId="0" fontId="2" fillId="0" borderId="13" xfId="0" applyNumberFormat="1" applyFont="1" applyBorder="1" applyAlignment="1">
      <alignment/>
    </xf>
    <xf numFmtId="0" fontId="11" fillId="2" borderId="13" xfId="0" applyNumberFormat="1" applyFont="1" applyFill="1" applyBorder="1" applyAlignment="1">
      <alignment/>
    </xf>
    <xf numFmtId="0" fontId="11" fillId="2" borderId="13" xfId="0" applyNumberFormat="1" applyFont="1" applyFill="1" applyBorder="1" applyAlignment="1" applyProtection="1">
      <alignment/>
      <protection/>
    </xf>
    <xf numFmtId="0" fontId="11" fillId="2" borderId="13" xfId="0" applyNumberFormat="1" applyFont="1" applyFill="1" applyBorder="1" applyAlignment="1" applyProtection="1" quotePrefix="1">
      <alignment/>
      <protection/>
    </xf>
    <xf numFmtId="0" fontId="5" fillId="0" borderId="13" xfId="0" applyNumberFormat="1" applyFont="1" applyBorder="1" applyAlignment="1">
      <alignment/>
    </xf>
    <xf numFmtId="0" fontId="2" fillId="0" borderId="3" xfId="0" applyNumberFormat="1" applyFont="1" applyBorder="1" applyAlignment="1">
      <alignment/>
    </xf>
    <xf numFmtId="41" fontId="2" fillId="0" borderId="3" xfId="0" applyNumberFormat="1" applyFont="1" applyBorder="1" applyAlignment="1">
      <alignment/>
    </xf>
    <xf numFmtId="43" fontId="2" fillId="0" borderId="3" xfId="0" applyNumberFormat="1" applyFont="1" applyBorder="1" applyAlignment="1">
      <alignment/>
    </xf>
    <xf numFmtId="0" fontId="2" fillId="0" borderId="14" xfId="0" applyNumberFormat="1" applyFont="1" applyBorder="1" applyAlignment="1">
      <alignment/>
    </xf>
    <xf numFmtId="0" fontId="5" fillId="0" borderId="15" xfId="0" applyNumberFormat="1" applyFont="1" applyFill="1" applyBorder="1" applyAlignment="1">
      <alignment horizontal="centerContinuous"/>
    </xf>
    <xf numFmtId="0" fontId="5" fillId="0" borderId="16" xfId="0" applyNumberFormat="1" applyFont="1" applyFill="1" applyBorder="1" applyAlignment="1">
      <alignment horizontal="center"/>
    </xf>
    <xf numFmtId="0" fontId="2" fillId="0" borderId="17" xfId="0" applyNumberFormat="1" applyFont="1" applyFill="1" applyBorder="1" applyAlignment="1">
      <alignment/>
    </xf>
    <xf numFmtId="43" fontId="2" fillId="0" borderId="17" xfId="0" applyNumberFormat="1" applyFont="1" applyFill="1" applyBorder="1" applyAlignment="1">
      <alignment/>
    </xf>
    <xf numFmtId="43" fontId="2" fillId="0" borderId="18" xfId="0" applyNumberFormat="1" applyFont="1" applyFill="1" applyBorder="1" applyAlignment="1">
      <alignment/>
    </xf>
    <xf numFmtId="43" fontId="2" fillId="0" borderId="19" xfId="0" applyNumberFormat="1" applyFont="1" applyFill="1" applyBorder="1" applyAlignment="1">
      <alignment/>
    </xf>
    <xf numFmtId="0" fontId="2" fillId="0" borderId="16" xfId="0" applyNumberFormat="1" applyFont="1" applyFill="1" applyBorder="1" applyAlignment="1">
      <alignment/>
    </xf>
    <xf numFmtId="0" fontId="5" fillId="0" borderId="14" xfId="0" applyNumberFormat="1" applyFont="1" applyBorder="1" applyAlignment="1">
      <alignment horizontal="center"/>
    </xf>
    <xf numFmtId="15"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3" xfId="0" applyFont="1" applyFill="1" applyBorder="1" applyAlignment="1">
      <alignment horizontal="center"/>
    </xf>
    <xf numFmtId="43" fontId="5" fillId="0" borderId="2" xfId="0" applyNumberFormat="1" applyFont="1" applyFill="1" applyBorder="1" applyAlignment="1">
      <alignment/>
    </xf>
    <xf numFmtId="178" fontId="11" fillId="2" borderId="0" xfId="0" applyNumberFormat="1" applyFont="1" applyFill="1" applyBorder="1" applyAlignment="1">
      <alignment horizontal="center"/>
    </xf>
    <xf numFmtId="43" fontId="11" fillId="2" borderId="0" xfId="0" applyNumberFormat="1" applyFont="1" applyFill="1" applyBorder="1" applyAlignment="1" applyProtection="1">
      <alignment/>
      <protection/>
    </xf>
    <xf numFmtId="43" fontId="11" fillId="2" borderId="0" xfId="0" applyNumberFormat="1" applyFont="1" applyFill="1" applyBorder="1" applyAlignment="1" applyProtection="1" quotePrefix="1">
      <alignment/>
      <protection/>
    </xf>
    <xf numFmtId="0" fontId="3" fillId="2" borderId="0" xfId="0" applyNumberFormat="1" applyFont="1" applyFill="1" applyBorder="1" applyAlignment="1">
      <alignment/>
    </xf>
    <xf numFmtId="15" fontId="16" fillId="0" borderId="0" xfId="0" applyNumberFormat="1" applyFont="1" applyFill="1" applyBorder="1" applyAlignment="1" quotePrefix="1">
      <alignment/>
    </xf>
    <xf numFmtId="41" fontId="6" fillId="0" borderId="1" xfId="0" applyNumberFormat="1" applyFont="1" applyBorder="1" applyAlignment="1">
      <alignment horizontal="center"/>
    </xf>
    <xf numFmtId="0" fontId="19" fillId="2" borderId="0" xfId="0" applyFont="1" applyFill="1" applyAlignment="1">
      <alignment vertical="top" wrapText="1"/>
    </xf>
    <xf numFmtId="41" fontId="20" fillId="2" borderId="1" xfId="0" applyNumberFormat="1" applyFont="1" applyFill="1" applyBorder="1" applyAlignment="1">
      <alignment/>
    </xf>
    <xf numFmtId="41" fontId="20" fillId="2" borderId="0" xfId="0" applyNumberFormat="1" applyFont="1" applyFill="1" applyBorder="1" applyAlignment="1">
      <alignment/>
    </xf>
    <xf numFmtId="41" fontId="7" fillId="0" borderId="1" xfId="0" applyNumberFormat="1" applyFont="1" applyFill="1" applyBorder="1" applyAlignment="1">
      <alignment/>
    </xf>
    <xf numFmtId="0" fontId="21" fillId="0" borderId="0" xfId="0" applyFont="1" applyAlignment="1" applyProtection="1">
      <alignment horizontal="left"/>
      <protection/>
    </xf>
    <xf numFmtId="41" fontId="21" fillId="0" borderId="2" xfId="0" applyNumberFormat="1" applyFont="1" applyBorder="1" applyAlignment="1">
      <alignment/>
    </xf>
    <xf numFmtId="41" fontId="21" fillId="0" borderId="2" xfId="0" applyNumberFormat="1" applyFont="1" applyFill="1" applyBorder="1" applyAlignment="1">
      <alignment/>
    </xf>
    <xf numFmtId="0" fontId="22" fillId="0" borderId="0" xfId="0" applyFont="1" applyAlignment="1">
      <alignment/>
    </xf>
    <xf numFmtId="0" fontId="22" fillId="0" borderId="0" xfId="0" applyFont="1" applyAlignment="1" quotePrefix="1">
      <alignment/>
    </xf>
    <xf numFmtId="0" fontId="0" fillId="0" borderId="0" xfId="0" applyAlignment="1">
      <alignment vertical="top" wrapText="1"/>
    </xf>
    <xf numFmtId="0" fontId="0" fillId="0" borderId="0" xfId="0" applyAlignment="1">
      <alignment vertical="top"/>
    </xf>
    <xf numFmtId="0" fontId="2" fillId="0" borderId="20" xfId="0" applyNumberFormat="1" applyFont="1" applyBorder="1" applyAlignment="1">
      <alignment/>
    </xf>
    <xf numFmtId="0" fontId="2" fillId="0" borderId="21" xfId="0" applyNumberFormat="1" applyFont="1" applyBorder="1" applyAlignment="1">
      <alignment/>
    </xf>
    <xf numFmtId="0" fontId="5" fillId="0" borderId="21" xfId="0" applyNumberFormat="1" applyFont="1" applyBorder="1" applyAlignment="1">
      <alignment horizontal="center"/>
    </xf>
    <xf numFmtId="0" fontId="2" fillId="0" borderId="22" xfId="0" applyNumberFormat="1" applyFont="1" applyBorder="1" applyAlignment="1">
      <alignment/>
    </xf>
    <xf numFmtId="15" fontId="11" fillId="2" borderId="0" xfId="0" applyNumberFormat="1" applyFont="1" applyFill="1" applyBorder="1" applyAlignment="1" applyProtection="1">
      <alignment horizontal="center"/>
      <protection/>
    </xf>
    <xf numFmtId="41" fontId="2" fillId="0" borderId="0" xfId="0" applyNumberFormat="1" applyFont="1" applyFill="1" applyAlignment="1">
      <alignment horizontal="centerContinuous"/>
    </xf>
    <xf numFmtId="41" fontId="2" fillId="0" borderId="0" xfId="0" applyNumberFormat="1" applyFont="1" applyBorder="1" applyAlignment="1">
      <alignment horizontal="centerContinuous"/>
    </xf>
    <xf numFmtId="41" fontId="2" fillId="0" borderId="0" xfId="0" applyNumberFormat="1" applyFont="1" applyAlignment="1">
      <alignment horizontal="centerContinuous"/>
    </xf>
    <xf numFmtId="0" fontId="4" fillId="0" borderId="0" xfId="0" applyFont="1" applyFill="1" applyAlignment="1">
      <alignment horizontal="center"/>
    </xf>
    <xf numFmtId="0" fontId="23" fillId="2" borderId="13" xfId="0" applyFont="1" applyFill="1" applyBorder="1" applyAlignment="1">
      <alignment/>
    </xf>
    <xf numFmtId="179" fontId="23" fillId="2" borderId="0" xfId="0" applyNumberFormat="1" applyFont="1" applyFill="1" applyAlignment="1">
      <alignment/>
    </xf>
    <xf numFmtId="170" fontId="23" fillId="2" borderId="0" xfId="17" applyFont="1" applyFill="1" applyAlignment="1">
      <alignment/>
    </xf>
    <xf numFmtId="0" fontId="23" fillId="2" borderId="13" xfId="0" applyFont="1" applyFill="1" applyBorder="1" applyAlignment="1">
      <alignment/>
    </xf>
    <xf numFmtId="179" fontId="23" fillId="2" borderId="0" xfId="0" applyNumberFormat="1" applyFont="1" applyFill="1" applyAlignment="1">
      <alignment/>
    </xf>
    <xf numFmtId="180" fontId="23" fillId="2" borderId="0" xfId="17" applyNumberFormat="1" applyFont="1" applyFill="1" applyAlignment="1">
      <alignment/>
    </xf>
    <xf numFmtId="180" fontId="23" fillId="2" borderId="0" xfId="17" applyNumberFormat="1" applyFont="1" applyFill="1" applyAlignment="1">
      <alignment/>
    </xf>
    <xf numFmtId="0" fontId="24" fillId="2" borderId="13" xfId="0" applyFont="1" applyFill="1" applyBorder="1" applyAlignment="1">
      <alignment/>
    </xf>
    <xf numFmtId="14" fontId="23" fillId="2" borderId="0" xfId="0" applyNumberFormat="1" applyFont="1" applyFill="1" applyAlignment="1">
      <alignment/>
    </xf>
    <xf numFmtId="44" fontId="23" fillId="2" borderId="0" xfId="17" applyNumberFormat="1" applyFont="1" applyFill="1" applyAlignment="1">
      <alignment/>
    </xf>
    <xf numFmtId="44" fontId="11" fillId="2" borderId="0" xfId="0" applyNumberFormat="1" applyFont="1" applyFill="1" applyBorder="1" applyAlignment="1">
      <alignment/>
    </xf>
    <xf numFmtId="15" fontId="11" fillId="2" borderId="0" xfId="0" applyNumberFormat="1" applyFont="1" applyFill="1" applyBorder="1" applyAlignment="1" applyProtection="1">
      <alignment/>
      <protection/>
    </xf>
    <xf numFmtId="15" fontId="11" fillId="2" borderId="0" xfId="0" applyNumberFormat="1" applyFont="1" applyFill="1" applyBorder="1" applyAlignment="1" applyProtection="1" quotePrefix="1">
      <alignment/>
      <protection/>
    </xf>
    <xf numFmtId="181" fontId="23" fillId="2" borderId="0" xfId="0" applyNumberFormat="1" applyFont="1" applyFill="1" applyAlignment="1">
      <alignment/>
    </xf>
    <xf numFmtId="43" fontId="23" fillId="2" borderId="0" xfId="17" applyNumberFormat="1" applyFont="1" applyFill="1" applyAlignment="1">
      <alignment/>
    </xf>
    <xf numFmtId="0" fontId="5" fillId="0" borderId="13" xfId="0" applyNumberFormat="1" applyFont="1" applyFill="1" applyBorder="1" applyAlignment="1" applyProtection="1">
      <alignment/>
      <protection/>
    </xf>
    <xf numFmtId="15" fontId="11" fillId="0" borderId="0" xfId="0" applyNumberFormat="1" applyFont="1" applyFill="1" applyBorder="1" applyAlignment="1">
      <alignment horizontal="center"/>
    </xf>
    <xf numFmtId="0" fontId="11" fillId="0" borderId="0" xfId="0" applyNumberFormat="1" applyFont="1" applyFill="1" applyBorder="1" applyAlignment="1" applyProtection="1" quotePrefix="1">
      <alignment/>
      <protection/>
    </xf>
    <xf numFmtId="41" fontId="11" fillId="0" borderId="0" xfId="0" applyNumberFormat="1" applyFont="1" applyFill="1" applyBorder="1" applyAlignment="1">
      <alignment/>
    </xf>
    <xf numFmtId="43" fontId="11" fillId="0" borderId="0" xfId="0" applyNumberFormat="1" applyFont="1" applyFill="1" applyBorder="1" applyAlignment="1">
      <alignment/>
    </xf>
    <xf numFmtId="181" fontId="23" fillId="2" borderId="0" xfId="0" applyNumberFormat="1" applyFont="1" applyFill="1" applyBorder="1" applyAlignment="1">
      <alignment/>
    </xf>
    <xf numFmtId="43" fontId="23" fillId="2" borderId="0" xfId="0" applyNumberFormat="1" applyFont="1" applyFill="1" applyAlignment="1">
      <alignment/>
    </xf>
    <xf numFmtId="0" fontId="0" fillId="0" borderId="0" xfId="0" applyAlignment="1">
      <alignment vertical="top" wrapText="1"/>
    </xf>
    <xf numFmtId="0" fontId="0" fillId="0" borderId="0" xfId="0" applyAlignment="1">
      <alignment vertical="top"/>
    </xf>
    <xf numFmtId="41" fontId="6" fillId="0" borderId="1" xfId="0" applyNumberFormat="1" applyFont="1" applyBorder="1" applyAlignment="1">
      <alignment horizontal="center"/>
    </xf>
    <xf numFmtId="0" fontId="6" fillId="0" borderId="1"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1" sqref="A1"/>
    </sheetView>
  </sheetViews>
  <sheetFormatPr defaultColWidth="9.140625" defaultRowHeight="12.75"/>
  <sheetData>
    <row r="1" ht="18">
      <c r="A1" s="148" t="s">
        <v>42</v>
      </c>
    </row>
    <row r="2" ht="18">
      <c r="A2" s="148" t="s">
        <v>91</v>
      </c>
    </row>
    <row r="3" ht="18">
      <c r="A3" s="149" t="s">
        <v>35</v>
      </c>
    </row>
    <row r="5" spans="1:12" ht="63" customHeight="1">
      <c r="A5" s="183" t="s">
        <v>92</v>
      </c>
      <c r="B5" s="184"/>
      <c r="C5" s="184"/>
      <c r="D5" s="184"/>
      <c r="E5" s="184"/>
      <c r="F5" s="184"/>
      <c r="G5" s="184"/>
      <c r="H5" s="184"/>
      <c r="I5" s="184"/>
      <c r="J5" s="184"/>
      <c r="K5" s="184"/>
      <c r="L5" s="184"/>
    </row>
    <row r="6" spans="1:12" ht="12.75" customHeight="1">
      <c r="A6" s="150"/>
      <c r="B6" s="151"/>
      <c r="C6" s="151"/>
      <c r="D6" s="151"/>
      <c r="E6" s="151"/>
      <c r="F6" s="151"/>
      <c r="G6" s="151"/>
      <c r="H6" s="151"/>
      <c r="I6" s="151"/>
      <c r="J6" s="151"/>
      <c r="K6" s="151"/>
      <c r="L6" s="151"/>
    </row>
    <row r="7" spans="1:12" ht="53.25" customHeight="1">
      <c r="A7" s="183" t="s">
        <v>93</v>
      </c>
      <c r="B7" s="184"/>
      <c r="C7" s="184"/>
      <c r="D7" s="184"/>
      <c r="E7" s="184"/>
      <c r="F7" s="184"/>
      <c r="G7" s="184"/>
      <c r="H7" s="184"/>
      <c r="I7" s="184"/>
      <c r="J7" s="184"/>
      <c r="K7" s="184"/>
      <c r="L7" s="184"/>
    </row>
    <row r="9" spans="1:12" ht="41.25" customHeight="1">
      <c r="A9" s="183" t="s">
        <v>90</v>
      </c>
      <c r="B9" s="183"/>
      <c r="C9" s="183"/>
      <c r="D9" s="183"/>
      <c r="E9" s="183"/>
      <c r="F9" s="183"/>
      <c r="G9" s="183"/>
      <c r="H9" s="183"/>
      <c r="I9" s="183"/>
      <c r="J9" s="183"/>
      <c r="K9" s="183"/>
      <c r="L9" s="183"/>
    </row>
  </sheetData>
  <mergeCells count="3">
    <mergeCell ref="A5:L5"/>
    <mergeCell ref="A9:L9"/>
    <mergeCell ref="A7:L7"/>
  </mergeCells>
  <printOptions/>
  <pageMargins left="0.75" right="0.75" top="1" bottom="1" header="0.5" footer="0.5"/>
  <pageSetup fitToHeight="1" fitToWidth="1" horizontalDpi="600" verticalDpi="600" orientation="landscape" paperSize="5" r:id="rId1"/>
</worksheet>
</file>

<file path=xl/worksheets/sheet10.xml><?xml version="1.0" encoding="utf-8"?>
<worksheet xmlns="http://schemas.openxmlformats.org/spreadsheetml/2006/main" xmlns:r="http://schemas.openxmlformats.org/officeDocument/2006/relationships">
  <sheetPr>
    <pageSetUpPr fitToPage="1"/>
  </sheetPr>
  <dimension ref="A1:V77"/>
  <sheetViews>
    <sheetView zoomScale="75" zoomScaleNormal="75" workbookViewId="0" topLeftCell="A1">
      <selection activeCell="A1" sqref="A1"/>
    </sheetView>
  </sheetViews>
  <sheetFormatPr defaultColWidth="9.140625" defaultRowHeight="12.75"/>
  <cols>
    <col min="1" max="1" width="32.7109375" style="60" customWidth="1"/>
    <col min="2" max="2" width="14.7109375" style="60" customWidth="1"/>
    <col min="3" max="4" width="12.7109375" style="60" customWidth="1"/>
    <col min="5" max="11" width="14.7109375" style="60" customWidth="1"/>
    <col min="12" max="19" width="9.140625" style="60" customWidth="1"/>
    <col min="20" max="16384" width="9.140625" style="58" customWidth="1"/>
  </cols>
  <sheetData>
    <row r="1" spans="1:5" ht="15" customHeight="1">
      <c r="A1" s="74" t="s">
        <v>42</v>
      </c>
      <c r="B1" s="67"/>
      <c r="C1" s="59"/>
      <c r="D1" s="59"/>
      <c r="E1" s="59"/>
    </row>
    <row r="2" spans="1:17" ht="15.75" customHeight="1">
      <c r="A2" s="74" t="s">
        <v>70</v>
      </c>
      <c r="B2" s="67"/>
      <c r="C2" s="59"/>
      <c r="D2" s="59"/>
      <c r="E2" s="59"/>
      <c r="F2" s="59"/>
      <c r="G2" s="59"/>
      <c r="H2" s="59"/>
      <c r="I2" s="59"/>
      <c r="Q2" s="61"/>
    </row>
    <row r="3" spans="1:9" ht="15" customHeight="1">
      <c r="A3" s="139" t="s">
        <v>35</v>
      </c>
      <c r="B3" s="68"/>
      <c r="C3" s="59"/>
      <c r="D3" s="59"/>
      <c r="E3" s="138" t="s">
        <v>58</v>
      </c>
      <c r="F3" s="71"/>
      <c r="G3" s="59"/>
      <c r="H3" s="59"/>
      <c r="I3" s="59"/>
    </row>
    <row r="4" spans="1:19" ht="12.75">
      <c r="A4" s="59"/>
      <c r="B4" s="59"/>
      <c r="C4" s="59"/>
      <c r="D4" s="59"/>
      <c r="E4" s="63"/>
      <c r="F4" s="59"/>
      <c r="G4" s="59"/>
      <c r="H4" s="59"/>
      <c r="I4" s="59"/>
      <c r="K4" s="61"/>
      <c r="R4" s="62"/>
      <c r="S4" s="62"/>
    </row>
    <row r="5" spans="1:11" ht="12.75">
      <c r="A5" s="132"/>
      <c r="B5" s="132"/>
      <c r="C5" s="132" t="s">
        <v>39</v>
      </c>
      <c r="D5" s="132" t="s">
        <v>39</v>
      </c>
      <c r="E5" s="131">
        <v>39448</v>
      </c>
      <c r="F5" s="65"/>
      <c r="G5" s="65"/>
      <c r="H5" s="131">
        <v>39813</v>
      </c>
      <c r="I5" s="65"/>
      <c r="J5" s="65"/>
      <c r="K5" s="131">
        <v>40178</v>
      </c>
    </row>
    <row r="6" spans="1:11" ht="12" customHeight="1" thickBot="1">
      <c r="A6" s="133" t="s">
        <v>38</v>
      </c>
      <c r="B6" s="133" t="s">
        <v>28</v>
      </c>
      <c r="C6" s="133" t="s">
        <v>40</v>
      </c>
      <c r="D6" s="133" t="s">
        <v>63</v>
      </c>
      <c r="E6" s="70" t="s">
        <v>28</v>
      </c>
      <c r="F6" s="70" t="s">
        <v>36</v>
      </c>
      <c r="G6" s="70" t="s">
        <v>37</v>
      </c>
      <c r="H6" s="70" t="s">
        <v>28</v>
      </c>
      <c r="I6" s="70" t="s">
        <v>36</v>
      </c>
      <c r="J6" s="70" t="s">
        <v>37</v>
      </c>
      <c r="K6" s="70" t="s">
        <v>28</v>
      </c>
    </row>
    <row r="7" spans="1:11" ht="15" customHeight="1">
      <c r="A7" s="59"/>
      <c r="B7" s="59"/>
      <c r="C7" s="59"/>
      <c r="D7" s="59"/>
      <c r="E7" s="76"/>
      <c r="F7" s="76"/>
      <c r="G7" s="76"/>
      <c r="H7" s="76"/>
      <c r="I7" s="76"/>
      <c r="J7" s="76"/>
      <c r="K7" s="76"/>
    </row>
    <row r="8" spans="1:11" ht="15" customHeight="1">
      <c r="A8" s="73" t="s">
        <v>278</v>
      </c>
      <c r="B8" s="137">
        <v>23211</v>
      </c>
      <c r="C8" s="98">
        <v>36342</v>
      </c>
      <c r="D8" s="135"/>
      <c r="E8" s="79">
        <f>IF(C8&lt;$E$5,B8,0)</f>
        <v>23211</v>
      </c>
      <c r="F8" s="79">
        <f>IF(AND($E$5&lt;C8,C8&lt;$H$5+1),B8,0)</f>
        <v>0</v>
      </c>
      <c r="G8" s="79">
        <f>IF(AND($E$5&lt;D8,D8&lt;$H$5+1),-B8,0)</f>
        <v>0</v>
      </c>
      <c r="H8" s="79">
        <f>+E8+F8+G8</f>
        <v>23211</v>
      </c>
      <c r="I8" s="79">
        <f>IF(AND($H$5&lt;C8,C8&lt;$K$5+1),B8,0)</f>
        <v>0</v>
      </c>
      <c r="J8" s="79">
        <f>IF(AND($H$5&lt;D8,D8&lt;$K$5+1),-B8,0)</f>
        <v>0</v>
      </c>
      <c r="K8" s="79">
        <f>+H8+I8+J8</f>
        <v>23211</v>
      </c>
    </row>
    <row r="9" spans="1:11" ht="15" customHeight="1">
      <c r="A9" s="73" t="s">
        <v>279</v>
      </c>
      <c r="B9" s="137">
        <v>42574</v>
      </c>
      <c r="C9" s="98">
        <v>33786</v>
      </c>
      <c r="D9" s="135"/>
      <c r="E9" s="79">
        <f aca="true" t="shared" si="0" ref="E9:E38">IF(C9&lt;$E$5,B9,0)</f>
        <v>42574</v>
      </c>
      <c r="F9" s="79">
        <f aca="true" t="shared" si="1" ref="F9:F38">IF(AND($E$5&lt;C9,C9&lt;$H$5+1),B9,0)</f>
        <v>0</v>
      </c>
      <c r="G9" s="79">
        <f aca="true" t="shared" si="2" ref="G9:G38">IF(AND($E$5&lt;D9,D9&lt;$H$5+1),-B9,0)</f>
        <v>0</v>
      </c>
      <c r="H9" s="79">
        <f aca="true" t="shared" si="3" ref="H9:H38">+E9+F9+G9</f>
        <v>42574</v>
      </c>
      <c r="I9" s="79">
        <f aca="true" t="shared" si="4" ref="I9:I38">IF(AND($H$5&lt;C9,C9&lt;$K$5+1),B9,0)</f>
        <v>0</v>
      </c>
      <c r="J9" s="79">
        <f aca="true" t="shared" si="5" ref="J9:J38">IF(AND($H$5&lt;D9,D9&lt;$K$5+1),-B9,0)</f>
        <v>0</v>
      </c>
      <c r="K9" s="79">
        <f aca="true" t="shared" si="6" ref="K9:K38">+H9+I9+J9</f>
        <v>42574</v>
      </c>
    </row>
    <row r="10" spans="1:19" s="66" customFormat="1" ht="13.5" customHeight="1">
      <c r="A10" s="73"/>
      <c r="B10" s="137"/>
      <c r="C10" s="98"/>
      <c r="D10" s="135"/>
      <c r="E10" s="79">
        <f t="shared" si="0"/>
        <v>0</v>
      </c>
      <c r="F10" s="79">
        <f t="shared" si="1"/>
        <v>0</v>
      </c>
      <c r="G10" s="79">
        <f t="shared" si="2"/>
        <v>0</v>
      </c>
      <c r="H10" s="79">
        <f t="shared" si="3"/>
        <v>0</v>
      </c>
      <c r="I10" s="79">
        <f t="shared" si="4"/>
        <v>0</v>
      </c>
      <c r="J10" s="79">
        <f t="shared" si="5"/>
        <v>0</v>
      </c>
      <c r="K10" s="79">
        <f t="shared" si="6"/>
        <v>0</v>
      </c>
      <c r="L10" s="60"/>
      <c r="M10" s="60"/>
      <c r="N10" s="60"/>
      <c r="O10" s="60"/>
      <c r="P10" s="60"/>
      <c r="Q10" s="60"/>
      <c r="R10" s="60"/>
      <c r="S10" s="60"/>
    </row>
    <row r="11" spans="1:19" s="66" customFormat="1" ht="13.5" customHeight="1">
      <c r="A11" s="73"/>
      <c r="B11" s="137"/>
      <c r="C11" s="98"/>
      <c r="D11" s="135"/>
      <c r="E11" s="79">
        <f t="shared" si="0"/>
        <v>0</v>
      </c>
      <c r="F11" s="79">
        <f t="shared" si="1"/>
        <v>0</v>
      </c>
      <c r="G11" s="79">
        <f t="shared" si="2"/>
        <v>0</v>
      </c>
      <c r="H11" s="79">
        <f t="shared" si="3"/>
        <v>0</v>
      </c>
      <c r="I11" s="79">
        <f t="shared" si="4"/>
        <v>0</v>
      </c>
      <c r="J11" s="79">
        <f t="shared" si="5"/>
        <v>0</v>
      </c>
      <c r="K11" s="79">
        <f t="shared" si="6"/>
        <v>0</v>
      </c>
      <c r="L11" s="60"/>
      <c r="M11" s="60"/>
      <c r="N11" s="60"/>
      <c r="O11" s="60"/>
      <c r="P11" s="60"/>
      <c r="Q11" s="64"/>
      <c r="R11" s="60"/>
      <c r="S11" s="64"/>
    </row>
    <row r="12" spans="1:22" ht="12.75" customHeight="1">
      <c r="A12" s="99"/>
      <c r="B12" s="137"/>
      <c r="C12" s="156"/>
      <c r="D12" s="135"/>
      <c r="E12" s="79">
        <f t="shared" si="0"/>
        <v>0</v>
      </c>
      <c r="F12" s="79">
        <f t="shared" si="1"/>
        <v>0</v>
      </c>
      <c r="G12" s="79">
        <f t="shared" si="2"/>
        <v>0</v>
      </c>
      <c r="H12" s="79">
        <f t="shared" si="3"/>
        <v>0</v>
      </c>
      <c r="I12" s="79">
        <f t="shared" si="4"/>
        <v>0</v>
      </c>
      <c r="J12" s="79">
        <f t="shared" si="5"/>
        <v>0</v>
      </c>
      <c r="K12" s="79">
        <f t="shared" si="6"/>
        <v>0</v>
      </c>
      <c r="L12" s="59"/>
      <c r="M12" s="59"/>
      <c r="N12" s="59"/>
      <c r="O12" s="59"/>
      <c r="T12" s="5"/>
      <c r="U12" s="5"/>
      <c r="V12" s="5"/>
    </row>
    <row r="13" spans="1:22" ht="12.75" customHeight="1">
      <c r="A13" s="99"/>
      <c r="B13" s="137"/>
      <c r="C13" s="156"/>
      <c r="D13" s="135"/>
      <c r="E13" s="79">
        <f t="shared" si="0"/>
        <v>0</v>
      </c>
      <c r="F13" s="79">
        <f t="shared" si="1"/>
        <v>0</v>
      </c>
      <c r="G13" s="79">
        <f t="shared" si="2"/>
        <v>0</v>
      </c>
      <c r="H13" s="79">
        <f t="shared" si="3"/>
        <v>0</v>
      </c>
      <c r="I13" s="79">
        <f t="shared" si="4"/>
        <v>0</v>
      </c>
      <c r="J13" s="79">
        <f t="shared" si="5"/>
        <v>0</v>
      </c>
      <c r="K13" s="79">
        <f t="shared" si="6"/>
        <v>0</v>
      </c>
      <c r="L13" s="59"/>
      <c r="M13" s="59"/>
      <c r="N13" s="59"/>
      <c r="O13" s="59"/>
      <c r="T13" s="5"/>
      <c r="U13" s="5"/>
      <c r="V13" s="5"/>
    </row>
    <row r="14" spans="1:22" ht="12.75" customHeight="1">
      <c r="A14" s="99"/>
      <c r="B14" s="137"/>
      <c r="C14" s="135"/>
      <c r="D14" s="135"/>
      <c r="E14" s="79">
        <f t="shared" si="0"/>
        <v>0</v>
      </c>
      <c r="F14" s="79">
        <f t="shared" si="1"/>
        <v>0</v>
      </c>
      <c r="G14" s="79">
        <f t="shared" si="2"/>
        <v>0</v>
      </c>
      <c r="H14" s="79">
        <f t="shared" si="3"/>
        <v>0</v>
      </c>
      <c r="I14" s="79">
        <f t="shared" si="4"/>
        <v>0</v>
      </c>
      <c r="J14" s="79">
        <f t="shared" si="5"/>
        <v>0</v>
      </c>
      <c r="K14" s="79">
        <f t="shared" si="6"/>
        <v>0</v>
      </c>
      <c r="L14" s="59"/>
      <c r="M14" s="59"/>
      <c r="N14" s="59"/>
      <c r="O14" s="59"/>
      <c r="T14" s="5"/>
      <c r="U14" s="5"/>
      <c r="V14" s="5"/>
    </row>
    <row r="15" spans="1:22" ht="13.5" customHeight="1">
      <c r="A15" s="99"/>
      <c r="B15" s="137"/>
      <c r="C15" s="135"/>
      <c r="D15" s="135"/>
      <c r="E15" s="79">
        <f t="shared" si="0"/>
        <v>0</v>
      </c>
      <c r="F15" s="79">
        <f t="shared" si="1"/>
        <v>0</v>
      </c>
      <c r="G15" s="79">
        <f t="shared" si="2"/>
        <v>0</v>
      </c>
      <c r="H15" s="79">
        <f t="shared" si="3"/>
        <v>0</v>
      </c>
      <c r="I15" s="79">
        <f t="shared" si="4"/>
        <v>0</v>
      </c>
      <c r="J15" s="79">
        <f t="shared" si="5"/>
        <v>0</v>
      </c>
      <c r="K15" s="79">
        <f t="shared" si="6"/>
        <v>0</v>
      </c>
      <c r="L15" s="59"/>
      <c r="M15" s="59"/>
      <c r="N15" s="59"/>
      <c r="O15" s="59"/>
      <c r="T15" s="5"/>
      <c r="U15" s="5"/>
      <c r="V15" s="5"/>
    </row>
    <row r="16" spans="1:22" ht="13.5" customHeight="1">
      <c r="A16" s="99"/>
      <c r="B16" s="136"/>
      <c r="C16" s="135"/>
      <c r="D16" s="135"/>
      <c r="E16" s="79">
        <f t="shared" si="0"/>
        <v>0</v>
      </c>
      <c r="F16" s="79">
        <f t="shared" si="1"/>
        <v>0</v>
      </c>
      <c r="G16" s="79">
        <f t="shared" si="2"/>
        <v>0</v>
      </c>
      <c r="H16" s="79">
        <f t="shared" si="3"/>
        <v>0</v>
      </c>
      <c r="I16" s="79">
        <f t="shared" si="4"/>
        <v>0</v>
      </c>
      <c r="J16" s="79">
        <f t="shared" si="5"/>
        <v>0</v>
      </c>
      <c r="K16" s="79">
        <f t="shared" si="6"/>
        <v>0</v>
      </c>
      <c r="L16" s="59"/>
      <c r="M16" s="59"/>
      <c r="N16" s="59"/>
      <c r="O16" s="59"/>
      <c r="T16" s="5"/>
      <c r="U16" s="5"/>
      <c r="V16" s="5"/>
    </row>
    <row r="17" spans="1:22" ht="13.5" customHeight="1">
      <c r="A17" s="99"/>
      <c r="B17" s="136"/>
      <c r="C17" s="135"/>
      <c r="D17" s="135"/>
      <c r="E17" s="79">
        <f t="shared" si="0"/>
        <v>0</v>
      </c>
      <c r="F17" s="79">
        <f t="shared" si="1"/>
        <v>0</v>
      </c>
      <c r="G17" s="79">
        <f t="shared" si="2"/>
        <v>0</v>
      </c>
      <c r="H17" s="79">
        <f t="shared" si="3"/>
        <v>0</v>
      </c>
      <c r="I17" s="79">
        <f t="shared" si="4"/>
        <v>0</v>
      </c>
      <c r="J17" s="79">
        <f t="shared" si="5"/>
        <v>0</v>
      </c>
      <c r="K17" s="79">
        <f t="shared" si="6"/>
        <v>0</v>
      </c>
      <c r="L17" s="59"/>
      <c r="M17" s="59"/>
      <c r="N17" s="59"/>
      <c r="O17" s="59"/>
      <c r="T17" s="5"/>
      <c r="U17" s="5"/>
      <c r="V17" s="5"/>
    </row>
    <row r="18" spans="1:22" ht="13.5" customHeight="1">
      <c r="A18" s="99"/>
      <c r="B18" s="136"/>
      <c r="C18" s="135"/>
      <c r="D18" s="135"/>
      <c r="E18" s="79">
        <f t="shared" si="0"/>
        <v>0</v>
      </c>
      <c r="F18" s="79">
        <f t="shared" si="1"/>
        <v>0</v>
      </c>
      <c r="G18" s="79">
        <f t="shared" si="2"/>
        <v>0</v>
      </c>
      <c r="H18" s="79">
        <f t="shared" si="3"/>
        <v>0</v>
      </c>
      <c r="I18" s="79">
        <f t="shared" si="4"/>
        <v>0</v>
      </c>
      <c r="J18" s="79">
        <f t="shared" si="5"/>
        <v>0</v>
      </c>
      <c r="K18" s="79">
        <f t="shared" si="6"/>
        <v>0</v>
      </c>
      <c r="T18" s="5"/>
      <c r="U18" s="5"/>
      <c r="V18" s="5"/>
    </row>
    <row r="19" spans="1:22" ht="13.5" customHeight="1">
      <c r="A19" s="99"/>
      <c r="B19" s="136"/>
      <c r="C19" s="135"/>
      <c r="D19" s="135"/>
      <c r="E19" s="79">
        <f t="shared" si="0"/>
        <v>0</v>
      </c>
      <c r="F19" s="79">
        <f t="shared" si="1"/>
        <v>0</v>
      </c>
      <c r="G19" s="79">
        <f t="shared" si="2"/>
        <v>0</v>
      </c>
      <c r="H19" s="79">
        <f t="shared" si="3"/>
        <v>0</v>
      </c>
      <c r="I19" s="79">
        <f t="shared" si="4"/>
        <v>0</v>
      </c>
      <c r="J19" s="79">
        <f t="shared" si="5"/>
        <v>0</v>
      </c>
      <c r="K19" s="79">
        <f t="shared" si="6"/>
        <v>0</v>
      </c>
      <c r="T19" s="5"/>
      <c r="U19" s="5"/>
      <c r="V19" s="5"/>
    </row>
    <row r="20" spans="1:22" ht="13.5" customHeight="1">
      <c r="A20" s="100"/>
      <c r="B20" s="137"/>
      <c r="C20" s="135"/>
      <c r="D20" s="135"/>
      <c r="E20" s="79">
        <f t="shared" si="0"/>
        <v>0</v>
      </c>
      <c r="F20" s="79">
        <f t="shared" si="1"/>
        <v>0</v>
      </c>
      <c r="G20" s="79">
        <f t="shared" si="2"/>
        <v>0</v>
      </c>
      <c r="H20" s="79">
        <f t="shared" si="3"/>
        <v>0</v>
      </c>
      <c r="I20" s="79">
        <f t="shared" si="4"/>
        <v>0</v>
      </c>
      <c r="J20" s="79">
        <f t="shared" si="5"/>
        <v>0</v>
      </c>
      <c r="K20" s="79">
        <f t="shared" si="6"/>
        <v>0</v>
      </c>
      <c r="T20" s="5"/>
      <c r="U20" s="5"/>
      <c r="V20" s="5"/>
    </row>
    <row r="21" spans="1:22" ht="13.5" customHeight="1">
      <c r="A21" s="99"/>
      <c r="B21" s="136"/>
      <c r="C21" s="135"/>
      <c r="D21" s="135"/>
      <c r="E21" s="79">
        <f t="shared" si="0"/>
        <v>0</v>
      </c>
      <c r="F21" s="79">
        <f t="shared" si="1"/>
        <v>0</v>
      </c>
      <c r="G21" s="79">
        <f t="shared" si="2"/>
        <v>0</v>
      </c>
      <c r="H21" s="79">
        <f t="shared" si="3"/>
        <v>0</v>
      </c>
      <c r="I21" s="79">
        <f t="shared" si="4"/>
        <v>0</v>
      </c>
      <c r="J21" s="79">
        <f t="shared" si="5"/>
        <v>0</v>
      </c>
      <c r="K21" s="79">
        <f t="shared" si="6"/>
        <v>0</v>
      </c>
      <c r="T21" s="5"/>
      <c r="U21" s="5"/>
      <c r="V21" s="5"/>
    </row>
    <row r="22" spans="1:22" ht="13.5" customHeight="1">
      <c r="A22" s="100"/>
      <c r="B22" s="137"/>
      <c r="C22" s="135"/>
      <c r="D22" s="135"/>
      <c r="E22" s="79">
        <f t="shared" si="0"/>
        <v>0</v>
      </c>
      <c r="F22" s="79">
        <f t="shared" si="1"/>
        <v>0</v>
      </c>
      <c r="G22" s="79">
        <f t="shared" si="2"/>
        <v>0</v>
      </c>
      <c r="H22" s="79">
        <f t="shared" si="3"/>
        <v>0</v>
      </c>
      <c r="I22" s="79">
        <f t="shared" si="4"/>
        <v>0</v>
      </c>
      <c r="J22" s="79">
        <f t="shared" si="5"/>
        <v>0</v>
      </c>
      <c r="K22" s="79">
        <f t="shared" si="6"/>
        <v>0</v>
      </c>
      <c r="T22" s="5"/>
      <c r="U22" s="5"/>
      <c r="V22" s="5"/>
    </row>
    <row r="23" spans="1:22" ht="13.5" customHeight="1">
      <c r="A23" s="100"/>
      <c r="B23" s="137"/>
      <c r="C23" s="135"/>
      <c r="D23" s="135"/>
      <c r="E23" s="79">
        <f t="shared" si="0"/>
        <v>0</v>
      </c>
      <c r="F23" s="79">
        <f t="shared" si="1"/>
        <v>0</v>
      </c>
      <c r="G23" s="79">
        <f t="shared" si="2"/>
        <v>0</v>
      </c>
      <c r="H23" s="79">
        <f t="shared" si="3"/>
        <v>0</v>
      </c>
      <c r="I23" s="79">
        <f t="shared" si="4"/>
        <v>0</v>
      </c>
      <c r="J23" s="79">
        <f t="shared" si="5"/>
        <v>0</v>
      </c>
      <c r="K23" s="79">
        <f t="shared" si="6"/>
        <v>0</v>
      </c>
      <c r="T23" s="5"/>
      <c r="U23" s="5"/>
      <c r="V23" s="5"/>
    </row>
    <row r="24" spans="1:12" ht="13.5" customHeight="1">
      <c r="A24" s="100"/>
      <c r="B24" s="137"/>
      <c r="C24" s="135"/>
      <c r="D24" s="135"/>
      <c r="E24" s="79">
        <f t="shared" si="0"/>
        <v>0</v>
      </c>
      <c r="F24" s="79">
        <f t="shared" si="1"/>
        <v>0</v>
      </c>
      <c r="G24" s="79">
        <f t="shared" si="2"/>
        <v>0</v>
      </c>
      <c r="H24" s="79">
        <f t="shared" si="3"/>
        <v>0</v>
      </c>
      <c r="I24" s="79">
        <f t="shared" si="4"/>
        <v>0</v>
      </c>
      <c r="J24" s="79">
        <f t="shared" si="5"/>
        <v>0</v>
      </c>
      <c r="K24" s="79">
        <f t="shared" si="6"/>
        <v>0</v>
      </c>
      <c r="L24" s="59"/>
    </row>
    <row r="25" spans="1:14" ht="13.5" customHeight="1">
      <c r="A25" s="99"/>
      <c r="B25" s="136"/>
      <c r="C25" s="135"/>
      <c r="D25" s="135"/>
      <c r="E25" s="79">
        <f t="shared" si="0"/>
        <v>0</v>
      </c>
      <c r="F25" s="79">
        <f t="shared" si="1"/>
        <v>0</v>
      </c>
      <c r="G25" s="79">
        <f t="shared" si="2"/>
        <v>0</v>
      </c>
      <c r="H25" s="79">
        <f t="shared" si="3"/>
        <v>0</v>
      </c>
      <c r="I25" s="79">
        <f t="shared" si="4"/>
        <v>0</v>
      </c>
      <c r="J25" s="79">
        <f t="shared" si="5"/>
        <v>0</v>
      </c>
      <c r="K25" s="79">
        <f t="shared" si="6"/>
        <v>0</v>
      </c>
      <c r="L25" s="59"/>
      <c r="M25" s="59"/>
      <c r="N25" s="59"/>
    </row>
    <row r="26" spans="1:14" ht="13.5" customHeight="1">
      <c r="A26" s="73"/>
      <c r="B26" s="81"/>
      <c r="C26" s="135"/>
      <c r="D26" s="135"/>
      <c r="E26" s="79">
        <f t="shared" si="0"/>
        <v>0</v>
      </c>
      <c r="F26" s="79">
        <f t="shared" si="1"/>
        <v>0</v>
      </c>
      <c r="G26" s="79">
        <f t="shared" si="2"/>
        <v>0</v>
      </c>
      <c r="H26" s="79">
        <f t="shared" si="3"/>
        <v>0</v>
      </c>
      <c r="I26" s="79">
        <f t="shared" si="4"/>
        <v>0</v>
      </c>
      <c r="J26" s="79">
        <f t="shared" si="5"/>
        <v>0</v>
      </c>
      <c r="K26" s="79">
        <f t="shared" si="6"/>
        <v>0</v>
      </c>
      <c r="L26" s="59"/>
      <c r="M26" s="59"/>
      <c r="N26" s="59"/>
    </row>
    <row r="27" spans="1:11" ht="13.5" customHeight="1">
      <c r="A27" s="73"/>
      <c r="B27" s="81"/>
      <c r="C27" s="135"/>
      <c r="D27" s="135"/>
      <c r="E27" s="79">
        <f t="shared" si="0"/>
        <v>0</v>
      </c>
      <c r="F27" s="79">
        <f t="shared" si="1"/>
        <v>0</v>
      </c>
      <c r="G27" s="79">
        <f t="shared" si="2"/>
        <v>0</v>
      </c>
      <c r="H27" s="79">
        <f t="shared" si="3"/>
        <v>0</v>
      </c>
      <c r="I27" s="79">
        <f t="shared" si="4"/>
        <v>0</v>
      </c>
      <c r="J27" s="79">
        <f t="shared" si="5"/>
        <v>0</v>
      </c>
      <c r="K27" s="79">
        <f t="shared" si="6"/>
        <v>0</v>
      </c>
    </row>
    <row r="28" spans="1:11" ht="13.5" customHeight="1">
      <c r="A28" s="100"/>
      <c r="B28" s="137"/>
      <c r="C28" s="135"/>
      <c r="D28" s="135"/>
      <c r="E28" s="79">
        <f t="shared" si="0"/>
        <v>0</v>
      </c>
      <c r="F28" s="79">
        <f t="shared" si="1"/>
        <v>0</v>
      </c>
      <c r="G28" s="79">
        <f t="shared" si="2"/>
        <v>0</v>
      </c>
      <c r="H28" s="79">
        <f t="shared" si="3"/>
        <v>0</v>
      </c>
      <c r="I28" s="79">
        <f t="shared" si="4"/>
        <v>0</v>
      </c>
      <c r="J28" s="79">
        <f t="shared" si="5"/>
        <v>0</v>
      </c>
      <c r="K28" s="79">
        <f t="shared" si="6"/>
        <v>0</v>
      </c>
    </row>
    <row r="29" spans="1:11" ht="13.5" customHeight="1">
      <c r="A29" s="100"/>
      <c r="B29" s="137"/>
      <c r="C29" s="135"/>
      <c r="D29" s="135"/>
      <c r="E29" s="79">
        <f t="shared" si="0"/>
        <v>0</v>
      </c>
      <c r="F29" s="79">
        <f t="shared" si="1"/>
        <v>0</v>
      </c>
      <c r="G29" s="79">
        <f t="shared" si="2"/>
        <v>0</v>
      </c>
      <c r="H29" s="79">
        <f t="shared" si="3"/>
        <v>0</v>
      </c>
      <c r="I29" s="79">
        <f t="shared" si="4"/>
        <v>0</v>
      </c>
      <c r="J29" s="79">
        <f t="shared" si="5"/>
        <v>0</v>
      </c>
      <c r="K29" s="79">
        <f t="shared" si="6"/>
        <v>0</v>
      </c>
    </row>
    <row r="30" spans="1:14" ht="13.5" customHeight="1">
      <c r="A30" s="100"/>
      <c r="B30" s="137"/>
      <c r="C30" s="135"/>
      <c r="D30" s="135"/>
      <c r="E30" s="79">
        <f t="shared" si="0"/>
        <v>0</v>
      </c>
      <c r="F30" s="79">
        <f t="shared" si="1"/>
        <v>0</v>
      </c>
      <c r="G30" s="79">
        <f t="shared" si="2"/>
        <v>0</v>
      </c>
      <c r="H30" s="79">
        <f t="shared" si="3"/>
        <v>0</v>
      </c>
      <c r="I30" s="79">
        <f t="shared" si="4"/>
        <v>0</v>
      </c>
      <c r="J30" s="79">
        <f t="shared" si="5"/>
        <v>0</v>
      </c>
      <c r="K30" s="79">
        <f t="shared" si="6"/>
        <v>0</v>
      </c>
      <c r="M30" s="59"/>
      <c r="N30" s="59"/>
    </row>
    <row r="31" spans="1:11" ht="13.5" customHeight="1">
      <c r="A31" s="100"/>
      <c r="B31" s="137"/>
      <c r="C31" s="135"/>
      <c r="D31" s="135"/>
      <c r="E31" s="79">
        <f t="shared" si="0"/>
        <v>0</v>
      </c>
      <c r="F31" s="79">
        <f t="shared" si="1"/>
        <v>0</v>
      </c>
      <c r="G31" s="79">
        <f t="shared" si="2"/>
        <v>0</v>
      </c>
      <c r="H31" s="79">
        <f t="shared" si="3"/>
        <v>0</v>
      </c>
      <c r="I31" s="79">
        <f t="shared" si="4"/>
        <v>0</v>
      </c>
      <c r="J31" s="79">
        <f t="shared" si="5"/>
        <v>0</v>
      </c>
      <c r="K31" s="79">
        <f t="shared" si="6"/>
        <v>0</v>
      </c>
    </row>
    <row r="32" spans="1:11" ht="12" customHeight="1">
      <c r="A32" s="100"/>
      <c r="B32" s="137"/>
      <c r="C32" s="135"/>
      <c r="D32" s="135"/>
      <c r="E32" s="79">
        <f t="shared" si="0"/>
        <v>0</v>
      </c>
      <c r="F32" s="79">
        <f t="shared" si="1"/>
        <v>0</v>
      </c>
      <c r="G32" s="79">
        <f t="shared" si="2"/>
        <v>0</v>
      </c>
      <c r="H32" s="79">
        <f t="shared" si="3"/>
        <v>0</v>
      </c>
      <c r="I32" s="79">
        <f t="shared" si="4"/>
        <v>0</v>
      </c>
      <c r="J32" s="79">
        <f t="shared" si="5"/>
        <v>0</v>
      </c>
      <c r="K32" s="79">
        <f t="shared" si="6"/>
        <v>0</v>
      </c>
    </row>
    <row r="33" spans="1:11" ht="12" customHeight="1">
      <c r="A33" s="100"/>
      <c r="B33" s="137"/>
      <c r="C33" s="135"/>
      <c r="D33" s="135"/>
      <c r="E33" s="79">
        <f t="shared" si="0"/>
        <v>0</v>
      </c>
      <c r="F33" s="79">
        <f t="shared" si="1"/>
        <v>0</v>
      </c>
      <c r="G33" s="79">
        <f t="shared" si="2"/>
        <v>0</v>
      </c>
      <c r="H33" s="79">
        <f t="shared" si="3"/>
        <v>0</v>
      </c>
      <c r="I33" s="79">
        <f t="shared" si="4"/>
        <v>0</v>
      </c>
      <c r="J33" s="79">
        <f t="shared" si="5"/>
        <v>0</v>
      </c>
      <c r="K33" s="79">
        <f t="shared" si="6"/>
        <v>0</v>
      </c>
    </row>
    <row r="34" spans="1:11" ht="12" customHeight="1">
      <c r="A34" s="100"/>
      <c r="B34" s="137"/>
      <c r="C34" s="135"/>
      <c r="D34" s="135"/>
      <c r="E34" s="79">
        <f t="shared" si="0"/>
        <v>0</v>
      </c>
      <c r="F34" s="79">
        <f t="shared" si="1"/>
        <v>0</v>
      </c>
      <c r="G34" s="79">
        <f t="shared" si="2"/>
        <v>0</v>
      </c>
      <c r="H34" s="79">
        <f t="shared" si="3"/>
        <v>0</v>
      </c>
      <c r="I34" s="79">
        <f t="shared" si="4"/>
        <v>0</v>
      </c>
      <c r="J34" s="79">
        <f t="shared" si="5"/>
        <v>0</v>
      </c>
      <c r="K34" s="79">
        <f t="shared" si="6"/>
        <v>0</v>
      </c>
    </row>
    <row r="35" spans="1:14" ht="12" customHeight="1">
      <c r="A35" s="100"/>
      <c r="B35" s="137"/>
      <c r="C35" s="135"/>
      <c r="D35" s="135"/>
      <c r="E35" s="79">
        <f t="shared" si="0"/>
        <v>0</v>
      </c>
      <c r="F35" s="79">
        <f t="shared" si="1"/>
        <v>0</v>
      </c>
      <c r="G35" s="79">
        <f t="shared" si="2"/>
        <v>0</v>
      </c>
      <c r="H35" s="79">
        <f t="shared" si="3"/>
        <v>0</v>
      </c>
      <c r="I35" s="79">
        <f t="shared" si="4"/>
        <v>0</v>
      </c>
      <c r="J35" s="79">
        <f t="shared" si="5"/>
        <v>0</v>
      </c>
      <c r="K35" s="79">
        <f t="shared" si="6"/>
        <v>0</v>
      </c>
      <c r="M35" s="59"/>
      <c r="N35" s="59"/>
    </row>
    <row r="36" spans="1:11" ht="12.75">
      <c r="A36" s="100"/>
      <c r="B36" s="137"/>
      <c r="C36" s="135"/>
      <c r="D36" s="135"/>
      <c r="E36" s="79">
        <f t="shared" si="0"/>
        <v>0</v>
      </c>
      <c r="F36" s="79">
        <f t="shared" si="1"/>
        <v>0</v>
      </c>
      <c r="G36" s="79">
        <f t="shared" si="2"/>
        <v>0</v>
      </c>
      <c r="H36" s="79">
        <f t="shared" si="3"/>
        <v>0</v>
      </c>
      <c r="I36" s="79">
        <f t="shared" si="4"/>
        <v>0</v>
      </c>
      <c r="J36" s="79">
        <f t="shared" si="5"/>
        <v>0</v>
      </c>
      <c r="K36" s="79">
        <f t="shared" si="6"/>
        <v>0</v>
      </c>
    </row>
    <row r="37" spans="1:11" ht="12.75">
      <c r="A37" s="100"/>
      <c r="B37" s="137"/>
      <c r="C37" s="135"/>
      <c r="D37" s="135"/>
      <c r="E37" s="79">
        <f t="shared" si="0"/>
        <v>0</v>
      </c>
      <c r="F37" s="79">
        <f t="shared" si="1"/>
        <v>0</v>
      </c>
      <c r="G37" s="79">
        <f t="shared" si="2"/>
        <v>0</v>
      </c>
      <c r="H37" s="79">
        <f t="shared" si="3"/>
        <v>0</v>
      </c>
      <c r="I37" s="79">
        <f t="shared" si="4"/>
        <v>0</v>
      </c>
      <c r="J37" s="79">
        <f t="shared" si="5"/>
        <v>0</v>
      </c>
      <c r="K37" s="79">
        <f t="shared" si="6"/>
        <v>0</v>
      </c>
    </row>
    <row r="38" spans="1:11" ht="12.75">
      <c r="A38" s="100"/>
      <c r="B38" s="137"/>
      <c r="C38" s="135"/>
      <c r="D38" s="135"/>
      <c r="E38" s="92">
        <f t="shared" si="0"/>
        <v>0</v>
      </c>
      <c r="F38" s="92">
        <f t="shared" si="1"/>
        <v>0</v>
      </c>
      <c r="G38" s="92">
        <f t="shared" si="2"/>
        <v>0</v>
      </c>
      <c r="H38" s="92">
        <f t="shared" si="3"/>
        <v>0</v>
      </c>
      <c r="I38" s="92">
        <f t="shared" si="4"/>
        <v>0</v>
      </c>
      <c r="J38" s="92">
        <f t="shared" si="5"/>
        <v>0</v>
      </c>
      <c r="K38" s="92">
        <f t="shared" si="6"/>
        <v>0</v>
      </c>
    </row>
    <row r="39" spans="1:11" ht="12.75">
      <c r="A39" s="59"/>
      <c r="B39" s="59"/>
      <c r="C39" s="59"/>
      <c r="D39" s="59"/>
      <c r="E39" s="79"/>
      <c r="F39" s="79"/>
      <c r="G39" s="79"/>
      <c r="H39" s="79"/>
      <c r="I39" s="79"/>
      <c r="J39" s="79"/>
      <c r="K39" s="79"/>
    </row>
    <row r="40" spans="1:11" ht="13.5" thickBot="1">
      <c r="A40" s="75" t="s">
        <v>43</v>
      </c>
      <c r="B40" s="75"/>
      <c r="C40" s="59"/>
      <c r="D40" s="59"/>
      <c r="E40" s="134">
        <f>SUM(E8:E38)</f>
        <v>65785</v>
      </c>
      <c r="F40" s="134">
        <f>SUM(F8:F38)</f>
        <v>0</v>
      </c>
      <c r="G40" s="134">
        <f>SUM(G8:G38)</f>
        <v>0</v>
      </c>
      <c r="H40" s="134">
        <f>+E40+F40+G40</f>
        <v>65785</v>
      </c>
      <c r="I40" s="134">
        <f>SUM(I8:I38)</f>
        <v>0</v>
      </c>
      <c r="J40" s="134">
        <f>SUM(J8:J38)</f>
        <v>0</v>
      </c>
      <c r="K40" s="134">
        <f>+H40+I40+J40</f>
        <v>65785</v>
      </c>
    </row>
    <row r="41" spans="5:11" ht="13.5" thickTop="1">
      <c r="E41" s="69"/>
      <c r="F41" s="69"/>
      <c r="G41" s="69"/>
      <c r="H41" s="69"/>
      <c r="I41" s="69"/>
      <c r="J41" s="69"/>
      <c r="K41" s="69"/>
    </row>
    <row r="42" spans="5:11" ht="12.75">
      <c r="E42" s="69"/>
      <c r="F42" s="69"/>
      <c r="G42" s="69"/>
      <c r="H42" s="69"/>
      <c r="I42" s="69"/>
      <c r="J42" s="69"/>
      <c r="K42" s="69"/>
    </row>
    <row r="43" spans="5:11" ht="12.75">
      <c r="E43" s="69"/>
      <c r="F43" s="69"/>
      <c r="G43" s="69"/>
      <c r="H43" s="69"/>
      <c r="I43" s="69"/>
      <c r="J43" s="69"/>
      <c r="K43" s="69"/>
    </row>
    <row r="44" spans="5:11" ht="12.75">
      <c r="E44" s="69"/>
      <c r="F44" s="69"/>
      <c r="G44" s="69"/>
      <c r="H44" s="69"/>
      <c r="I44" s="69"/>
      <c r="J44" s="69"/>
      <c r="K44" s="69"/>
    </row>
    <row r="45" spans="5:11" ht="12.75">
      <c r="E45" s="69"/>
      <c r="F45" s="69"/>
      <c r="G45" s="69"/>
      <c r="H45" s="69"/>
      <c r="I45" s="69"/>
      <c r="J45" s="69"/>
      <c r="K45" s="69"/>
    </row>
    <row r="46" spans="5:11" ht="12.75">
      <c r="E46" s="69"/>
      <c r="F46" s="69"/>
      <c r="G46" s="69"/>
      <c r="H46" s="69"/>
      <c r="I46" s="69"/>
      <c r="J46" s="69"/>
      <c r="K46" s="69"/>
    </row>
    <row r="47" spans="5:11" ht="12.75">
      <c r="E47" s="69"/>
      <c r="F47" s="69"/>
      <c r="G47" s="69"/>
      <c r="H47" s="69"/>
      <c r="I47" s="69"/>
      <c r="J47" s="69"/>
      <c r="K47" s="69"/>
    </row>
    <row r="48" spans="5:11" ht="12.75">
      <c r="E48" s="69"/>
      <c r="F48" s="69"/>
      <c r="G48" s="69"/>
      <c r="H48" s="69"/>
      <c r="I48" s="69"/>
      <c r="J48" s="69"/>
      <c r="K48" s="69"/>
    </row>
    <row r="49" spans="5:11" ht="12.75">
      <c r="E49" s="69"/>
      <c r="F49" s="69"/>
      <c r="G49" s="69"/>
      <c r="H49" s="69"/>
      <c r="I49" s="69"/>
      <c r="J49" s="69"/>
      <c r="K49" s="69"/>
    </row>
    <row r="50" spans="5:11" ht="12.75">
      <c r="E50" s="69"/>
      <c r="F50" s="69"/>
      <c r="G50" s="69"/>
      <c r="H50" s="69"/>
      <c r="I50" s="69"/>
      <c r="J50" s="69"/>
      <c r="K50" s="69"/>
    </row>
    <row r="51" spans="5:11" ht="12.75">
      <c r="E51" s="69"/>
      <c r="F51" s="69"/>
      <c r="G51" s="69"/>
      <c r="H51" s="69"/>
      <c r="I51" s="69"/>
      <c r="J51" s="69"/>
      <c r="K51" s="69"/>
    </row>
    <row r="52" spans="5:11" ht="12.75">
      <c r="E52" s="69"/>
      <c r="F52" s="69"/>
      <c r="G52" s="69"/>
      <c r="H52" s="69"/>
      <c r="I52" s="69"/>
      <c r="J52" s="69"/>
      <c r="K52" s="69"/>
    </row>
    <row r="53" spans="5:11" ht="12.75">
      <c r="E53" s="69"/>
      <c r="F53" s="69"/>
      <c r="G53" s="69"/>
      <c r="H53" s="69"/>
      <c r="I53" s="69"/>
      <c r="J53" s="69"/>
      <c r="K53" s="69"/>
    </row>
    <row r="54" spans="5:11" ht="12.75">
      <c r="E54" s="69"/>
      <c r="F54" s="69"/>
      <c r="G54" s="69"/>
      <c r="H54" s="69"/>
      <c r="I54" s="69"/>
      <c r="J54" s="69"/>
      <c r="K54" s="69"/>
    </row>
    <row r="55" spans="5:11" ht="12.75">
      <c r="E55" s="69"/>
      <c r="F55" s="69"/>
      <c r="G55" s="69"/>
      <c r="H55" s="69"/>
      <c r="I55" s="69"/>
      <c r="J55" s="69"/>
      <c r="K55" s="69"/>
    </row>
    <row r="56" spans="5:11" ht="12.75">
      <c r="E56" s="69"/>
      <c r="F56" s="69"/>
      <c r="G56" s="69"/>
      <c r="H56" s="69"/>
      <c r="I56" s="69"/>
      <c r="J56" s="69"/>
      <c r="K56" s="69"/>
    </row>
    <row r="57" spans="5:11" ht="12.75">
      <c r="E57" s="69"/>
      <c r="F57" s="69"/>
      <c r="G57" s="69"/>
      <c r="H57" s="69"/>
      <c r="I57" s="69"/>
      <c r="J57" s="69"/>
      <c r="K57" s="69"/>
    </row>
    <row r="58" spans="5:11" ht="12.75">
      <c r="E58" s="69"/>
      <c r="F58" s="69"/>
      <c r="G58" s="69"/>
      <c r="H58" s="69"/>
      <c r="I58" s="69"/>
      <c r="J58" s="69"/>
      <c r="K58" s="69"/>
    </row>
    <row r="59" spans="5:11" ht="12.75">
      <c r="E59" s="69"/>
      <c r="F59" s="69"/>
      <c r="G59" s="69"/>
      <c r="H59" s="69"/>
      <c r="I59" s="69"/>
      <c r="J59" s="69"/>
      <c r="K59" s="69"/>
    </row>
    <row r="60" spans="5:11" ht="12.75">
      <c r="E60" s="69"/>
      <c r="F60" s="69"/>
      <c r="G60" s="69"/>
      <c r="H60" s="69"/>
      <c r="I60" s="69"/>
      <c r="J60" s="69"/>
      <c r="K60" s="69"/>
    </row>
    <row r="61" spans="5:11" ht="12.75">
      <c r="E61" s="69"/>
      <c r="F61" s="69"/>
      <c r="G61" s="69"/>
      <c r="H61" s="69"/>
      <c r="I61" s="69"/>
      <c r="J61" s="69"/>
      <c r="K61" s="69"/>
    </row>
    <row r="62" spans="5:11" ht="12.75">
      <c r="E62" s="69"/>
      <c r="F62" s="69"/>
      <c r="G62" s="69"/>
      <c r="H62" s="69"/>
      <c r="I62" s="69"/>
      <c r="J62" s="69"/>
      <c r="K62" s="69"/>
    </row>
    <row r="63" spans="5:11" ht="12.75">
      <c r="E63" s="69"/>
      <c r="F63" s="69"/>
      <c r="G63" s="69"/>
      <c r="H63" s="69"/>
      <c r="I63" s="69"/>
      <c r="J63" s="69"/>
      <c r="K63" s="69"/>
    </row>
    <row r="64" spans="5:11" ht="12.75">
      <c r="E64" s="69"/>
      <c r="F64" s="69"/>
      <c r="G64" s="69"/>
      <c r="H64" s="69"/>
      <c r="I64" s="69"/>
      <c r="J64" s="69"/>
      <c r="K64" s="69"/>
    </row>
    <row r="65" spans="5:11" ht="12.75">
      <c r="E65" s="69"/>
      <c r="F65" s="69"/>
      <c r="G65" s="69"/>
      <c r="H65" s="69"/>
      <c r="I65" s="69"/>
      <c r="J65" s="69"/>
      <c r="K65" s="69"/>
    </row>
    <row r="66" spans="5:11" ht="12.75">
      <c r="E66" s="69"/>
      <c r="F66" s="69"/>
      <c r="G66" s="69"/>
      <c r="H66" s="69"/>
      <c r="I66" s="69"/>
      <c r="J66" s="69"/>
      <c r="K66" s="69"/>
    </row>
    <row r="67" spans="5:11" ht="12.75">
      <c r="E67" s="69"/>
      <c r="F67" s="69"/>
      <c r="G67" s="69"/>
      <c r="H67" s="69"/>
      <c r="I67" s="69"/>
      <c r="J67" s="69"/>
      <c r="K67" s="69"/>
    </row>
    <row r="68" spans="5:11" ht="12.75">
      <c r="E68" s="69"/>
      <c r="F68" s="69"/>
      <c r="G68" s="69"/>
      <c r="H68" s="69"/>
      <c r="I68" s="69"/>
      <c r="J68" s="69"/>
      <c r="K68" s="69"/>
    </row>
    <row r="69" spans="5:11" ht="12.75">
      <c r="E69" s="69"/>
      <c r="F69" s="69"/>
      <c r="G69" s="69"/>
      <c r="H69" s="69"/>
      <c r="I69" s="69"/>
      <c r="J69" s="69"/>
      <c r="K69" s="69"/>
    </row>
    <row r="70" spans="5:11" ht="12.75">
      <c r="E70" s="69"/>
      <c r="F70" s="69"/>
      <c r="G70" s="69"/>
      <c r="H70" s="69"/>
      <c r="I70" s="69"/>
      <c r="J70" s="69"/>
      <c r="K70" s="69"/>
    </row>
    <row r="71" spans="5:11" ht="12.75">
      <c r="E71" s="69"/>
      <c r="F71" s="69"/>
      <c r="G71" s="69"/>
      <c r="H71" s="69"/>
      <c r="I71" s="69"/>
      <c r="J71" s="69"/>
      <c r="K71" s="69"/>
    </row>
    <row r="72" spans="5:11" ht="12.75">
      <c r="E72" s="69"/>
      <c r="F72" s="69"/>
      <c r="G72" s="69"/>
      <c r="H72" s="69"/>
      <c r="I72" s="69"/>
      <c r="J72" s="69"/>
      <c r="K72" s="69"/>
    </row>
    <row r="73" spans="5:11" ht="12.75">
      <c r="E73" s="69"/>
      <c r="F73" s="69"/>
      <c r="G73" s="69"/>
      <c r="H73" s="69"/>
      <c r="I73" s="69"/>
      <c r="J73" s="69"/>
      <c r="K73" s="69"/>
    </row>
    <row r="74" spans="5:11" ht="12.75">
      <c r="E74" s="69"/>
      <c r="F74" s="69"/>
      <c r="G74" s="69"/>
      <c r="H74" s="69"/>
      <c r="I74" s="69"/>
      <c r="J74" s="69"/>
      <c r="K74" s="69"/>
    </row>
    <row r="75" spans="5:11" ht="12.75">
      <c r="E75" s="69"/>
      <c r="F75" s="69"/>
      <c r="G75" s="69"/>
      <c r="H75" s="69"/>
      <c r="I75" s="69"/>
      <c r="J75" s="69"/>
      <c r="K75" s="69"/>
    </row>
    <row r="76" spans="5:11" ht="12.75">
      <c r="E76" s="69"/>
      <c r="F76" s="69"/>
      <c r="G76" s="69"/>
      <c r="H76" s="69"/>
      <c r="I76" s="69"/>
      <c r="J76" s="69"/>
      <c r="K76" s="69"/>
    </row>
    <row r="77" spans="5:11" ht="12.75">
      <c r="E77" s="69"/>
      <c r="F77" s="69"/>
      <c r="G77" s="69"/>
      <c r="H77" s="69"/>
      <c r="I77" s="69"/>
      <c r="J77" s="69"/>
      <c r="K77" s="69"/>
    </row>
  </sheetData>
  <printOptions horizontalCentered="1"/>
  <pageMargins left="0.5" right="0.5" top="0.5" bottom="0.5" header="0.5" footer="0.5"/>
  <pageSetup fitToHeight="1" fitToWidth="1" horizontalDpi="600" verticalDpi="600" orientation="landscape" paperSize="5" scale="96" r:id="rId1"/>
</worksheet>
</file>

<file path=xl/worksheets/sheet11.xml><?xml version="1.0" encoding="utf-8"?>
<worksheet xmlns="http://schemas.openxmlformats.org/spreadsheetml/2006/main" xmlns:r="http://schemas.openxmlformats.org/officeDocument/2006/relationships">
  <sheetPr>
    <pageSetUpPr fitToPage="1"/>
  </sheetPr>
  <dimension ref="A1:V77"/>
  <sheetViews>
    <sheetView zoomScale="75" zoomScaleNormal="75" workbookViewId="0" topLeftCell="A1">
      <selection activeCell="A1" sqref="A1"/>
    </sheetView>
  </sheetViews>
  <sheetFormatPr defaultColWidth="9.140625" defaultRowHeight="12.75"/>
  <cols>
    <col min="1" max="1" width="32.7109375" style="60" customWidth="1"/>
    <col min="2" max="2" width="14.7109375" style="60" customWidth="1"/>
    <col min="3" max="4" width="12.7109375" style="60" customWidth="1"/>
    <col min="5" max="11" width="14.7109375" style="60" customWidth="1"/>
    <col min="12" max="19" width="9.140625" style="60" customWidth="1"/>
    <col min="20" max="16384" width="9.140625" style="58" customWidth="1"/>
  </cols>
  <sheetData>
    <row r="1" spans="1:5" ht="15" customHeight="1">
      <c r="A1" s="74" t="s">
        <v>42</v>
      </c>
      <c r="B1" s="67"/>
      <c r="C1" s="59"/>
      <c r="D1" s="59"/>
      <c r="E1" s="59"/>
    </row>
    <row r="2" spans="1:17" ht="15.75" customHeight="1">
      <c r="A2" s="74" t="s">
        <v>84</v>
      </c>
      <c r="B2" s="67"/>
      <c r="C2" s="59"/>
      <c r="D2" s="59"/>
      <c r="E2" s="59"/>
      <c r="F2" s="59"/>
      <c r="G2" s="59"/>
      <c r="H2" s="59"/>
      <c r="I2" s="59"/>
      <c r="Q2" s="61"/>
    </row>
    <row r="3" spans="1:9" ht="15" customHeight="1">
      <c r="A3" s="139" t="s">
        <v>35</v>
      </c>
      <c r="B3" s="68"/>
      <c r="C3" s="59"/>
      <c r="D3" s="59"/>
      <c r="E3" s="138" t="s">
        <v>58</v>
      </c>
      <c r="F3" s="71"/>
      <c r="G3" s="59"/>
      <c r="H3" s="59"/>
      <c r="I3" s="59"/>
    </row>
    <row r="4" spans="1:19" ht="12.75">
      <c r="A4" s="59"/>
      <c r="B4" s="59"/>
      <c r="C4" s="59"/>
      <c r="D4" s="59"/>
      <c r="E4" s="63"/>
      <c r="F4" s="59"/>
      <c r="G4" s="59"/>
      <c r="H4" s="59"/>
      <c r="I4" s="59"/>
      <c r="K4" s="61"/>
      <c r="R4" s="62"/>
      <c r="S4" s="62"/>
    </row>
    <row r="5" spans="1:11" ht="12.75">
      <c r="A5" s="132"/>
      <c r="B5" s="132"/>
      <c r="C5" s="132" t="s">
        <v>39</v>
      </c>
      <c r="D5" s="132" t="s">
        <v>39</v>
      </c>
      <c r="E5" s="131">
        <v>39448</v>
      </c>
      <c r="F5" s="65"/>
      <c r="G5" s="65"/>
      <c r="H5" s="131">
        <v>39813</v>
      </c>
      <c r="I5" s="65"/>
      <c r="J5" s="65"/>
      <c r="K5" s="131">
        <v>40178</v>
      </c>
    </row>
    <row r="6" spans="1:11" ht="12" customHeight="1" thickBot="1">
      <c r="A6" s="133" t="s">
        <v>38</v>
      </c>
      <c r="B6" s="133" t="s">
        <v>28</v>
      </c>
      <c r="C6" s="133" t="s">
        <v>40</v>
      </c>
      <c r="D6" s="133" t="s">
        <v>82</v>
      </c>
      <c r="E6" s="70" t="s">
        <v>28</v>
      </c>
      <c r="F6" s="70" t="s">
        <v>36</v>
      </c>
      <c r="G6" s="70" t="s">
        <v>82</v>
      </c>
      <c r="H6" s="70" t="s">
        <v>28</v>
      </c>
      <c r="I6" s="70" t="s">
        <v>36</v>
      </c>
      <c r="J6" s="70" t="s">
        <v>82</v>
      </c>
      <c r="K6" s="70" t="s">
        <v>28</v>
      </c>
    </row>
    <row r="7" spans="1:11" ht="15" customHeight="1">
      <c r="A7" s="59"/>
      <c r="B7" s="59"/>
      <c r="C7" s="59"/>
      <c r="D7" s="59"/>
      <c r="E7" s="76"/>
      <c r="F7" s="76"/>
      <c r="G7" s="76"/>
      <c r="H7" s="76"/>
      <c r="I7" s="76"/>
      <c r="J7" s="76"/>
      <c r="K7" s="76"/>
    </row>
    <row r="8" spans="1:11" ht="15" customHeight="1">
      <c r="A8" s="73"/>
      <c r="B8" s="137"/>
      <c r="C8" s="98"/>
      <c r="D8" s="135"/>
      <c r="E8" s="79">
        <f>IF(C8&lt;$E$5,B8,0)</f>
        <v>0</v>
      </c>
      <c r="F8" s="79">
        <f>IF(AND($E$5&lt;C8,C8&lt;$H$5+1),B8,0)</f>
        <v>0</v>
      </c>
      <c r="G8" s="79">
        <f>IF(AND($E$5&lt;D8,D8&lt;$H$5+1),-B8,0)</f>
        <v>0</v>
      </c>
      <c r="H8" s="79">
        <f>+E8+F8+G8</f>
        <v>0</v>
      </c>
      <c r="I8" s="79">
        <f>IF(AND($H$5&lt;C8,C8&lt;$K$5+1),B8,0)</f>
        <v>0</v>
      </c>
      <c r="J8" s="79">
        <f>IF(AND($H$5&lt;D8,D8&lt;$K$5+1),-B8,0)</f>
        <v>0</v>
      </c>
      <c r="K8" s="79">
        <f>+H8+I8+J8</f>
        <v>0</v>
      </c>
    </row>
    <row r="9" spans="1:11" ht="15" customHeight="1">
      <c r="A9" s="73"/>
      <c r="B9" s="137"/>
      <c r="C9" s="98"/>
      <c r="D9" s="135"/>
      <c r="E9" s="79">
        <f aca="true" t="shared" si="0" ref="E9:E38">IF(C9&lt;$E$5,B9,0)</f>
        <v>0</v>
      </c>
      <c r="F9" s="79">
        <f aca="true" t="shared" si="1" ref="F9:F38">IF(AND($E$5&lt;C9,C9&lt;$H$5+1),B9,0)</f>
        <v>0</v>
      </c>
      <c r="G9" s="79">
        <f aca="true" t="shared" si="2" ref="G9:G38">IF(AND($E$5&lt;D9,D9&lt;$H$5+1),-B9,0)</f>
        <v>0</v>
      </c>
      <c r="H9" s="79">
        <f aca="true" t="shared" si="3" ref="H9:H38">+E9+F9+G9</f>
        <v>0</v>
      </c>
      <c r="I9" s="79">
        <f aca="true" t="shared" si="4" ref="I9:I38">IF(AND($H$5&lt;C9,C9&lt;$K$5+1),B9,0)</f>
        <v>0</v>
      </c>
      <c r="J9" s="79">
        <f aca="true" t="shared" si="5" ref="J9:J38">IF(AND($H$5&lt;D9,D9&lt;$K$5+1),-B9,0)</f>
        <v>0</v>
      </c>
      <c r="K9" s="79">
        <f aca="true" t="shared" si="6" ref="K9:K38">+H9+I9+J9</f>
        <v>0</v>
      </c>
    </row>
    <row r="10" spans="1:19" s="66" customFormat="1" ht="13.5" customHeight="1">
      <c r="A10" s="73"/>
      <c r="B10" s="137"/>
      <c r="C10" s="98"/>
      <c r="D10" s="135"/>
      <c r="E10" s="79">
        <f t="shared" si="0"/>
        <v>0</v>
      </c>
      <c r="F10" s="79">
        <f t="shared" si="1"/>
        <v>0</v>
      </c>
      <c r="G10" s="79">
        <f t="shared" si="2"/>
        <v>0</v>
      </c>
      <c r="H10" s="79">
        <f t="shared" si="3"/>
        <v>0</v>
      </c>
      <c r="I10" s="79">
        <f t="shared" si="4"/>
        <v>0</v>
      </c>
      <c r="J10" s="79">
        <f t="shared" si="5"/>
        <v>0</v>
      </c>
      <c r="K10" s="79">
        <f t="shared" si="6"/>
        <v>0</v>
      </c>
      <c r="L10" s="60"/>
      <c r="M10" s="60"/>
      <c r="N10" s="60"/>
      <c r="O10" s="60"/>
      <c r="P10" s="60"/>
      <c r="Q10" s="60"/>
      <c r="R10" s="60"/>
      <c r="S10" s="60"/>
    </row>
    <row r="11" spans="1:19" s="66" customFormat="1" ht="13.5" customHeight="1">
      <c r="A11" s="73"/>
      <c r="B11" s="137"/>
      <c r="C11" s="98"/>
      <c r="D11" s="135"/>
      <c r="E11" s="79">
        <f t="shared" si="0"/>
        <v>0</v>
      </c>
      <c r="F11" s="79">
        <f t="shared" si="1"/>
        <v>0</v>
      </c>
      <c r="G11" s="79">
        <f t="shared" si="2"/>
        <v>0</v>
      </c>
      <c r="H11" s="79">
        <f t="shared" si="3"/>
        <v>0</v>
      </c>
      <c r="I11" s="79">
        <f t="shared" si="4"/>
        <v>0</v>
      </c>
      <c r="J11" s="79">
        <f t="shared" si="5"/>
        <v>0</v>
      </c>
      <c r="K11" s="79">
        <f t="shared" si="6"/>
        <v>0</v>
      </c>
      <c r="L11" s="60"/>
      <c r="M11" s="60"/>
      <c r="N11" s="60"/>
      <c r="O11" s="60"/>
      <c r="P11" s="60"/>
      <c r="Q11" s="64"/>
      <c r="R11" s="60"/>
      <c r="S11" s="64"/>
    </row>
    <row r="12" spans="1:22" ht="12.75" customHeight="1">
      <c r="A12" s="99"/>
      <c r="B12" s="137"/>
      <c r="C12" s="156"/>
      <c r="D12" s="135"/>
      <c r="E12" s="79">
        <f t="shared" si="0"/>
        <v>0</v>
      </c>
      <c r="F12" s="79">
        <f t="shared" si="1"/>
        <v>0</v>
      </c>
      <c r="G12" s="79">
        <f t="shared" si="2"/>
        <v>0</v>
      </c>
      <c r="H12" s="79">
        <f t="shared" si="3"/>
        <v>0</v>
      </c>
      <c r="I12" s="79">
        <f t="shared" si="4"/>
        <v>0</v>
      </c>
      <c r="J12" s="79">
        <f t="shared" si="5"/>
        <v>0</v>
      </c>
      <c r="K12" s="79">
        <f t="shared" si="6"/>
        <v>0</v>
      </c>
      <c r="L12" s="59"/>
      <c r="M12" s="59"/>
      <c r="N12" s="59"/>
      <c r="O12" s="59"/>
      <c r="T12" s="5"/>
      <c r="U12" s="5"/>
      <c r="V12" s="5"/>
    </row>
    <row r="13" spans="1:22" ht="12.75" customHeight="1">
      <c r="A13" s="99"/>
      <c r="B13" s="137"/>
      <c r="C13" s="156"/>
      <c r="D13" s="135"/>
      <c r="E13" s="79">
        <f t="shared" si="0"/>
        <v>0</v>
      </c>
      <c r="F13" s="79">
        <f t="shared" si="1"/>
        <v>0</v>
      </c>
      <c r="G13" s="79">
        <f t="shared" si="2"/>
        <v>0</v>
      </c>
      <c r="H13" s="79">
        <f t="shared" si="3"/>
        <v>0</v>
      </c>
      <c r="I13" s="79">
        <f t="shared" si="4"/>
        <v>0</v>
      </c>
      <c r="J13" s="79">
        <f t="shared" si="5"/>
        <v>0</v>
      </c>
      <c r="K13" s="79">
        <f t="shared" si="6"/>
        <v>0</v>
      </c>
      <c r="L13" s="59"/>
      <c r="M13" s="59"/>
      <c r="N13" s="59"/>
      <c r="O13" s="59"/>
      <c r="T13" s="5"/>
      <c r="U13" s="5"/>
      <c r="V13" s="5"/>
    </row>
    <row r="14" spans="1:22" ht="12.75" customHeight="1">
      <c r="A14" s="99"/>
      <c r="B14" s="137"/>
      <c r="C14" s="135"/>
      <c r="D14" s="135"/>
      <c r="E14" s="79">
        <f t="shared" si="0"/>
        <v>0</v>
      </c>
      <c r="F14" s="79">
        <f t="shared" si="1"/>
        <v>0</v>
      </c>
      <c r="G14" s="79">
        <f t="shared" si="2"/>
        <v>0</v>
      </c>
      <c r="H14" s="79">
        <f t="shared" si="3"/>
        <v>0</v>
      </c>
      <c r="I14" s="79">
        <f t="shared" si="4"/>
        <v>0</v>
      </c>
      <c r="J14" s="79">
        <f t="shared" si="5"/>
        <v>0</v>
      </c>
      <c r="K14" s="79">
        <f t="shared" si="6"/>
        <v>0</v>
      </c>
      <c r="L14" s="59"/>
      <c r="M14" s="59"/>
      <c r="N14" s="59"/>
      <c r="O14" s="59"/>
      <c r="T14" s="5"/>
      <c r="U14" s="5"/>
      <c r="V14" s="5"/>
    </row>
    <row r="15" spans="1:22" ht="13.5" customHeight="1">
      <c r="A15" s="99"/>
      <c r="B15" s="137"/>
      <c r="C15" s="135"/>
      <c r="D15" s="135"/>
      <c r="E15" s="79">
        <f t="shared" si="0"/>
        <v>0</v>
      </c>
      <c r="F15" s="79">
        <f t="shared" si="1"/>
        <v>0</v>
      </c>
      <c r="G15" s="79">
        <f t="shared" si="2"/>
        <v>0</v>
      </c>
      <c r="H15" s="79">
        <f t="shared" si="3"/>
        <v>0</v>
      </c>
      <c r="I15" s="79">
        <f t="shared" si="4"/>
        <v>0</v>
      </c>
      <c r="J15" s="79">
        <f t="shared" si="5"/>
        <v>0</v>
      </c>
      <c r="K15" s="79">
        <f t="shared" si="6"/>
        <v>0</v>
      </c>
      <c r="L15" s="59"/>
      <c r="M15" s="59"/>
      <c r="N15" s="59"/>
      <c r="O15" s="59"/>
      <c r="T15" s="5"/>
      <c r="U15" s="5"/>
      <c r="V15" s="5"/>
    </row>
    <row r="16" spans="1:22" ht="13.5" customHeight="1">
      <c r="A16" s="99"/>
      <c r="B16" s="136"/>
      <c r="C16" s="135"/>
      <c r="D16" s="135"/>
      <c r="E16" s="79">
        <f t="shared" si="0"/>
        <v>0</v>
      </c>
      <c r="F16" s="79">
        <f t="shared" si="1"/>
        <v>0</v>
      </c>
      <c r="G16" s="79">
        <f t="shared" si="2"/>
        <v>0</v>
      </c>
      <c r="H16" s="79">
        <f t="shared" si="3"/>
        <v>0</v>
      </c>
      <c r="I16" s="79">
        <f t="shared" si="4"/>
        <v>0</v>
      </c>
      <c r="J16" s="79">
        <f t="shared" si="5"/>
        <v>0</v>
      </c>
      <c r="K16" s="79">
        <f t="shared" si="6"/>
        <v>0</v>
      </c>
      <c r="L16" s="59"/>
      <c r="M16" s="59"/>
      <c r="N16" s="59"/>
      <c r="O16" s="59"/>
      <c r="T16" s="5"/>
      <c r="U16" s="5"/>
      <c r="V16" s="5"/>
    </row>
    <row r="17" spans="1:22" ht="13.5" customHeight="1">
      <c r="A17" s="99"/>
      <c r="B17" s="136"/>
      <c r="C17" s="135"/>
      <c r="D17" s="135"/>
      <c r="E17" s="79">
        <f t="shared" si="0"/>
        <v>0</v>
      </c>
      <c r="F17" s="79">
        <f t="shared" si="1"/>
        <v>0</v>
      </c>
      <c r="G17" s="79">
        <f t="shared" si="2"/>
        <v>0</v>
      </c>
      <c r="H17" s="79">
        <f t="shared" si="3"/>
        <v>0</v>
      </c>
      <c r="I17" s="79">
        <f t="shared" si="4"/>
        <v>0</v>
      </c>
      <c r="J17" s="79">
        <f t="shared" si="5"/>
        <v>0</v>
      </c>
      <c r="K17" s="79">
        <f t="shared" si="6"/>
        <v>0</v>
      </c>
      <c r="L17" s="59"/>
      <c r="M17" s="59"/>
      <c r="N17" s="59"/>
      <c r="O17" s="59"/>
      <c r="T17" s="5"/>
      <c r="U17" s="5"/>
      <c r="V17" s="5"/>
    </row>
    <row r="18" spans="1:22" ht="13.5" customHeight="1">
      <c r="A18" s="99"/>
      <c r="B18" s="136"/>
      <c r="C18" s="135"/>
      <c r="D18" s="135"/>
      <c r="E18" s="79">
        <f t="shared" si="0"/>
        <v>0</v>
      </c>
      <c r="F18" s="79">
        <f t="shared" si="1"/>
        <v>0</v>
      </c>
      <c r="G18" s="79">
        <f t="shared" si="2"/>
        <v>0</v>
      </c>
      <c r="H18" s="79">
        <f t="shared" si="3"/>
        <v>0</v>
      </c>
      <c r="I18" s="79">
        <f t="shared" si="4"/>
        <v>0</v>
      </c>
      <c r="J18" s="79">
        <f t="shared" si="5"/>
        <v>0</v>
      </c>
      <c r="K18" s="79">
        <f t="shared" si="6"/>
        <v>0</v>
      </c>
      <c r="T18" s="5"/>
      <c r="U18" s="5"/>
      <c r="V18" s="5"/>
    </row>
    <row r="19" spans="1:22" ht="13.5" customHeight="1">
      <c r="A19" s="99"/>
      <c r="B19" s="136"/>
      <c r="C19" s="135"/>
      <c r="D19" s="135"/>
      <c r="E19" s="79">
        <f t="shared" si="0"/>
        <v>0</v>
      </c>
      <c r="F19" s="79">
        <f t="shared" si="1"/>
        <v>0</v>
      </c>
      <c r="G19" s="79">
        <f t="shared" si="2"/>
        <v>0</v>
      </c>
      <c r="H19" s="79">
        <f t="shared" si="3"/>
        <v>0</v>
      </c>
      <c r="I19" s="79">
        <f t="shared" si="4"/>
        <v>0</v>
      </c>
      <c r="J19" s="79">
        <f t="shared" si="5"/>
        <v>0</v>
      </c>
      <c r="K19" s="79">
        <f t="shared" si="6"/>
        <v>0</v>
      </c>
      <c r="T19" s="5"/>
      <c r="U19" s="5"/>
      <c r="V19" s="5"/>
    </row>
    <row r="20" spans="1:22" ht="13.5" customHeight="1">
      <c r="A20" s="100"/>
      <c r="B20" s="137"/>
      <c r="C20" s="135"/>
      <c r="D20" s="135"/>
      <c r="E20" s="79">
        <f t="shared" si="0"/>
        <v>0</v>
      </c>
      <c r="F20" s="79">
        <f t="shared" si="1"/>
        <v>0</v>
      </c>
      <c r="G20" s="79">
        <f t="shared" si="2"/>
        <v>0</v>
      </c>
      <c r="H20" s="79">
        <f t="shared" si="3"/>
        <v>0</v>
      </c>
      <c r="I20" s="79">
        <f t="shared" si="4"/>
        <v>0</v>
      </c>
      <c r="J20" s="79">
        <f t="shared" si="5"/>
        <v>0</v>
      </c>
      <c r="K20" s="79">
        <f t="shared" si="6"/>
        <v>0</v>
      </c>
      <c r="T20" s="5"/>
      <c r="U20" s="5"/>
      <c r="V20" s="5"/>
    </row>
    <row r="21" spans="1:22" ht="13.5" customHeight="1">
      <c r="A21" s="99"/>
      <c r="B21" s="136"/>
      <c r="C21" s="135"/>
      <c r="D21" s="135"/>
      <c r="E21" s="79">
        <f t="shared" si="0"/>
        <v>0</v>
      </c>
      <c r="F21" s="79">
        <f t="shared" si="1"/>
        <v>0</v>
      </c>
      <c r="G21" s="79">
        <f t="shared" si="2"/>
        <v>0</v>
      </c>
      <c r="H21" s="79">
        <f t="shared" si="3"/>
        <v>0</v>
      </c>
      <c r="I21" s="79">
        <f t="shared" si="4"/>
        <v>0</v>
      </c>
      <c r="J21" s="79">
        <f t="shared" si="5"/>
        <v>0</v>
      </c>
      <c r="K21" s="79">
        <f t="shared" si="6"/>
        <v>0</v>
      </c>
      <c r="T21" s="5"/>
      <c r="U21" s="5"/>
      <c r="V21" s="5"/>
    </row>
    <row r="22" spans="1:22" ht="13.5" customHeight="1">
      <c r="A22" s="100"/>
      <c r="B22" s="137"/>
      <c r="C22" s="135"/>
      <c r="D22" s="135"/>
      <c r="E22" s="79">
        <f t="shared" si="0"/>
        <v>0</v>
      </c>
      <c r="F22" s="79">
        <f t="shared" si="1"/>
        <v>0</v>
      </c>
      <c r="G22" s="79">
        <f t="shared" si="2"/>
        <v>0</v>
      </c>
      <c r="H22" s="79">
        <f t="shared" si="3"/>
        <v>0</v>
      </c>
      <c r="I22" s="79">
        <f t="shared" si="4"/>
        <v>0</v>
      </c>
      <c r="J22" s="79">
        <f t="shared" si="5"/>
        <v>0</v>
      </c>
      <c r="K22" s="79">
        <f t="shared" si="6"/>
        <v>0</v>
      </c>
      <c r="T22" s="5"/>
      <c r="U22" s="5"/>
      <c r="V22" s="5"/>
    </row>
    <row r="23" spans="1:22" ht="13.5" customHeight="1">
      <c r="A23" s="100"/>
      <c r="B23" s="137"/>
      <c r="C23" s="135"/>
      <c r="D23" s="135"/>
      <c r="E23" s="79">
        <f t="shared" si="0"/>
        <v>0</v>
      </c>
      <c r="F23" s="79">
        <f t="shared" si="1"/>
        <v>0</v>
      </c>
      <c r="G23" s="79">
        <f t="shared" si="2"/>
        <v>0</v>
      </c>
      <c r="H23" s="79">
        <f t="shared" si="3"/>
        <v>0</v>
      </c>
      <c r="I23" s="79">
        <f t="shared" si="4"/>
        <v>0</v>
      </c>
      <c r="J23" s="79">
        <f t="shared" si="5"/>
        <v>0</v>
      </c>
      <c r="K23" s="79">
        <f t="shared" si="6"/>
        <v>0</v>
      </c>
      <c r="T23" s="5"/>
      <c r="U23" s="5"/>
      <c r="V23" s="5"/>
    </row>
    <row r="24" spans="1:12" ht="13.5" customHeight="1">
      <c r="A24" s="100"/>
      <c r="B24" s="137"/>
      <c r="C24" s="135"/>
      <c r="D24" s="135"/>
      <c r="E24" s="79">
        <f t="shared" si="0"/>
        <v>0</v>
      </c>
      <c r="F24" s="79">
        <f t="shared" si="1"/>
        <v>0</v>
      </c>
      <c r="G24" s="79">
        <f t="shared" si="2"/>
        <v>0</v>
      </c>
      <c r="H24" s="79">
        <f t="shared" si="3"/>
        <v>0</v>
      </c>
      <c r="I24" s="79">
        <f t="shared" si="4"/>
        <v>0</v>
      </c>
      <c r="J24" s="79">
        <f t="shared" si="5"/>
        <v>0</v>
      </c>
      <c r="K24" s="79">
        <f t="shared" si="6"/>
        <v>0</v>
      </c>
      <c r="L24" s="59"/>
    </row>
    <row r="25" spans="1:14" ht="13.5" customHeight="1">
      <c r="A25" s="99"/>
      <c r="B25" s="136"/>
      <c r="C25" s="135"/>
      <c r="D25" s="135"/>
      <c r="E25" s="79">
        <f t="shared" si="0"/>
        <v>0</v>
      </c>
      <c r="F25" s="79">
        <f t="shared" si="1"/>
        <v>0</v>
      </c>
      <c r="G25" s="79">
        <f t="shared" si="2"/>
        <v>0</v>
      </c>
      <c r="H25" s="79">
        <f t="shared" si="3"/>
        <v>0</v>
      </c>
      <c r="I25" s="79">
        <f t="shared" si="4"/>
        <v>0</v>
      </c>
      <c r="J25" s="79">
        <f t="shared" si="5"/>
        <v>0</v>
      </c>
      <c r="K25" s="79">
        <f t="shared" si="6"/>
        <v>0</v>
      </c>
      <c r="L25" s="59"/>
      <c r="M25" s="59"/>
      <c r="N25" s="59"/>
    </row>
    <row r="26" spans="1:14" ht="13.5" customHeight="1">
      <c r="A26" s="73"/>
      <c r="B26" s="81"/>
      <c r="C26" s="135"/>
      <c r="D26" s="135"/>
      <c r="E26" s="79">
        <f t="shared" si="0"/>
        <v>0</v>
      </c>
      <c r="F26" s="79">
        <f t="shared" si="1"/>
        <v>0</v>
      </c>
      <c r="G26" s="79">
        <f t="shared" si="2"/>
        <v>0</v>
      </c>
      <c r="H26" s="79">
        <f t="shared" si="3"/>
        <v>0</v>
      </c>
      <c r="I26" s="79">
        <f t="shared" si="4"/>
        <v>0</v>
      </c>
      <c r="J26" s="79">
        <f t="shared" si="5"/>
        <v>0</v>
      </c>
      <c r="K26" s="79">
        <f t="shared" si="6"/>
        <v>0</v>
      </c>
      <c r="L26" s="59"/>
      <c r="M26" s="59"/>
      <c r="N26" s="59"/>
    </row>
    <row r="27" spans="1:11" ht="13.5" customHeight="1">
      <c r="A27" s="73"/>
      <c r="B27" s="81"/>
      <c r="C27" s="135"/>
      <c r="D27" s="135"/>
      <c r="E27" s="79">
        <f t="shared" si="0"/>
        <v>0</v>
      </c>
      <c r="F27" s="79">
        <f t="shared" si="1"/>
        <v>0</v>
      </c>
      <c r="G27" s="79">
        <f t="shared" si="2"/>
        <v>0</v>
      </c>
      <c r="H27" s="79">
        <f t="shared" si="3"/>
        <v>0</v>
      </c>
      <c r="I27" s="79">
        <f t="shared" si="4"/>
        <v>0</v>
      </c>
      <c r="J27" s="79">
        <f t="shared" si="5"/>
        <v>0</v>
      </c>
      <c r="K27" s="79">
        <f t="shared" si="6"/>
        <v>0</v>
      </c>
    </row>
    <row r="28" spans="1:11" ht="13.5" customHeight="1">
      <c r="A28" s="100"/>
      <c r="B28" s="137"/>
      <c r="C28" s="135"/>
      <c r="D28" s="135"/>
      <c r="E28" s="79">
        <f t="shared" si="0"/>
        <v>0</v>
      </c>
      <c r="F28" s="79">
        <f t="shared" si="1"/>
        <v>0</v>
      </c>
      <c r="G28" s="79">
        <f t="shared" si="2"/>
        <v>0</v>
      </c>
      <c r="H28" s="79">
        <f t="shared" si="3"/>
        <v>0</v>
      </c>
      <c r="I28" s="79">
        <f t="shared" si="4"/>
        <v>0</v>
      </c>
      <c r="J28" s="79">
        <f t="shared" si="5"/>
        <v>0</v>
      </c>
      <c r="K28" s="79">
        <f t="shared" si="6"/>
        <v>0</v>
      </c>
    </row>
    <row r="29" spans="1:11" ht="13.5" customHeight="1">
      <c r="A29" s="100"/>
      <c r="B29" s="137"/>
      <c r="C29" s="135"/>
      <c r="D29" s="135"/>
      <c r="E29" s="79">
        <f t="shared" si="0"/>
        <v>0</v>
      </c>
      <c r="F29" s="79">
        <f t="shared" si="1"/>
        <v>0</v>
      </c>
      <c r="G29" s="79">
        <f t="shared" si="2"/>
        <v>0</v>
      </c>
      <c r="H29" s="79">
        <f t="shared" si="3"/>
        <v>0</v>
      </c>
      <c r="I29" s="79">
        <f t="shared" si="4"/>
        <v>0</v>
      </c>
      <c r="J29" s="79">
        <f t="shared" si="5"/>
        <v>0</v>
      </c>
      <c r="K29" s="79">
        <f t="shared" si="6"/>
        <v>0</v>
      </c>
    </row>
    <row r="30" spans="1:14" ht="13.5" customHeight="1">
      <c r="A30" s="100"/>
      <c r="B30" s="137"/>
      <c r="C30" s="135"/>
      <c r="D30" s="135"/>
      <c r="E30" s="79">
        <f t="shared" si="0"/>
        <v>0</v>
      </c>
      <c r="F30" s="79">
        <f t="shared" si="1"/>
        <v>0</v>
      </c>
      <c r="G30" s="79">
        <f t="shared" si="2"/>
        <v>0</v>
      </c>
      <c r="H30" s="79">
        <f t="shared" si="3"/>
        <v>0</v>
      </c>
      <c r="I30" s="79">
        <f t="shared" si="4"/>
        <v>0</v>
      </c>
      <c r="J30" s="79">
        <f t="shared" si="5"/>
        <v>0</v>
      </c>
      <c r="K30" s="79">
        <f t="shared" si="6"/>
        <v>0</v>
      </c>
      <c r="M30" s="59"/>
      <c r="N30" s="59"/>
    </row>
    <row r="31" spans="1:11" ht="13.5" customHeight="1">
      <c r="A31" s="100"/>
      <c r="B31" s="137"/>
      <c r="C31" s="135"/>
      <c r="D31" s="135"/>
      <c r="E31" s="79">
        <f t="shared" si="0"/>
        <v>0</v>
      </c>
      <c r="F31" s="79">
        <f t="shared" si="1"/>
        <v>0</v>
      </c>
      <c r="G31" s="79">
        <f t="shared" si="2"/>
        <v>0</v>
      </c>
      <c r="H31" s="79">
        <f t="shared" si="3"/>
        <v>0</v>
      </c>
      <c r="I31" s="79">
        <f t="shared" si="4"/>
        <v>0</v>
      </c>
      <c r="J31" s="79">
        <f t="shared" si="5"/>
        <v>0</v>
      </c>
      <c r="K31" s="79">
        <f t="shared" si="6"/>
        <v>0</v>
      </c>
    </row>
    <row r="32" spans="1:11" ht="12" customHeight="1">
      <c r="A32" s="100"/>
      <c r="B32" s="137"/>
      <c r="C32" s="135"/>
      <c r="D32" s="135"/>
      <c r="E32" s="79">
        <f t="shared" si="0"/>
        <v>0</v>
      </c>
      <c r="F32" s="79">
        <f t="shared" si="1"/>
        <v>0</v>
      </c>
      <c r="G32" s="79">
        <f t="shared" si="2"/>
        <v>0</v>
      </c>
      <c r="H32" s="79">
        <f t="shared" si="3"/>
        <v>0</v>
      </c>
      <c r="I32" s="79">
        <f t="shared" si="4"/>
        <v>0</v>
      </c>
      <c r="J32" s="79">
        <f t="shared" si="5"/>
        <v>0</v>
      </c>
      <c r="K32" s="79">
        <f t="shared" si="6"/>
        <v>0</v>
      </c>
    </row>
    <row r="33" spans="1:11" ht="12" customHeight="1">
      <c r="A33" s="100"/>
      <c r="B33" s="137"/>
      <c r="C33" s="135"/>
      <c r="D33" s="135"/>
      <c r="E33" s="79">
        <f t="shared" si="0"/>
        <v>0</v>
      </c>
      <c r="F33" s="79">
        <f t="shared" si="1"/>
        <v>0</v>
      </c>
      <c r="G33" s="79">
        <f t="shared" si="2"/>
        <v>0</v>
      </c>
      <c r="H33" s="79">
        <f t="shared" si="3"/>
        <v>0</v>
      </c>
      <c r="I33" s="79">
        <f t="shared" si="4"/>
        <v>0</v>
      </c>
      <c r="J33" s="79">
        <f t="shared" si="5"/>
        <v>0</v>
      </c>
      <c r="K33" s="79">
        <f t="shared" si="6"/>
        <v>0</v>
      </c>
    </row>
    <row r="34" spans="1:11" ht="12" customHeight="1">
      <c r="A34" s="100"/>
      <c r="B34" s="137"/>
      <c r="C34" s="135"/>
      <c r="D34" s="135"/>
      <c r="E34" s="79">
        <f t="shared" si="0"/>
        <v>0</v>
      </c>
      <c r="F34" s="79">
        <f t="shared" si="1"/>
        <v>0</v>
      </c>
      <c r="G34" s="79">
        <f t="shared" si="2"/>
        <v>0</v>
      </c>
      <c r="H34" s="79">
        <f t="shared" si="3"/>
        <v>0</v>
      </c>
      <c r="I34" s="79">
        <f t="shared" si="4"/>
        <v>0</v>
      </c>
      <c r="J34" s="79">
        <f t="shared" si="5"/>
        <v>0</v>
      </c>
      <c r="K34" s="79">
        <f t="shared" si="6"/>
        <v>0</v>
      </c>
    </row>
    <row r="35" spans="1:14" ht="12" customHeight="1">
      <c r="A35" s="100"/>
      <c r="B35" s="137"/>
      <c r="C35" s="135"/>
      <c r="D35" s="135"/>
      <c r="E35" s="79">
        <f t="shared" si="0"/>
        <v>0</v>
      </c>
      <c r="F35" s="79">
        <f t="shared" si="1"/>
        <v>0</v>
      </c>
      <c r="G35" s="79">
        <f t="shared" si="2"/>
        <v>0</v>
      </c>
      <c r="H35" s="79">
        <f t="shared" si="3"/>
        <v>0</v>
      </c>
      <c r="I35" s="79">
        <f t="shared" si="4"/>
        <v>0</v>
      </c>
      <c r="J35" s="79">
        <f t="shared" si="5"/>
        <v>0</v>
      </c>
      <c r="K35" s="79">
        <f t="shared" si="6"/>
        <v>0</v>
      </c>
      <c r="M35" s="59"/>
      <c r="N35" s="59"/>
    </row>
    <row r="36" spans="1:11" ht="12.75">
      <c r="A36" s="100"/>
      <c r="B36" s="137"/>
      <c r="C36" s="135"/>
      <c r="D36" s="135"/>
      <c r="E36" s="79">
        <f t="shared" si="0"/>
        <v>0</v>
      </c>
      <c r="F36" s="79">
        <f t="shared" si="1"/>
        <v>0</v>
      </c>
      <c r="G36" s="79">
        <f t="shared" si="2"/>
        <v>0</v>
      </c>
      <c r="H36" s="79">
        <f t="shared" si="3"/>
        <v>0</v>
      </c>
      <c r="I36" s="79">
        <f t="shared" si="4"/>
        <v>0</v>
      </c>
      <c r="J36" s="79">
        <f t="shared" si="5"/>
        <v>0</v>
      </c>
      <c r="K36" s="79">
        <f t="shared" si="6"/>
        <v>0</v>
      </c>
    </row>
    <row r="37" spans="1:11" ht="12.75">
      <c r="A37" s="100"/>
      <c r="B37" s="137"/>
      <c r="C37" s="135"/>
      <c r="D37" s="135"/>
      <c r="E37" s="79">
        <f t="shared" si="0"/>
        <v>0</v>
      </c>
      <c r="F37" s="79">
        <f t="shared" si="1"/>
        <v>0</v>
      </c>
      <c r="G37" s="79">
        <f t="shared" si="2"/>
        <v>0</v>
      </c>
      <c r="H37" s="79">
        <f t="shared" si="3"/>
        <v>0</v>
      </c>
      <c r="I37" s="79">
        <f t="shared" si="4"/>
        <v>0</v>
      </c>
      <c r="J37" s="79">
        <f t="shared" si="5"/>
        <v>0</v>
      </c>
      <c r="K37" s="79">
        <f t="shared" si="6"/>
        <v>0</v>
      </c>
    </row>
    <row r="38" spans="1:11" ht="12.75">
      <c r="A38" s="100"/>
      <c r="B38" s="137"/>
      <c r="C38" s="135"/>
      <c r="D38" s="135"/>
      <c r="E38" s="92">
        <f t="shared" si="0"/>
        <v>0</v>
      </c>
      <c r="F38" s="92">
        <f t="shared" si="1"/>
        <v>0</v>
      </c>
      <c r="G38" s="92">
        <f t="shared" si="2"/>
        <v>0</v>
      </c>
      <c r="H38" s="92">
        <f t="shared" si="3"/>
        <v>0</v>
      </c>
      <c r="I38" s="92">
        <f t="shared" si="4"/>
        <v>0</v>
      </c>
      <c r="J38" s="92">
        <f t="shared" si="5"/>
        <v>0</v>
      </c>
      <c r="K38" s="92">
        <f t="shared" si="6"/>
        <v>0</v>
      </c>
    </row>
    <row r="39" spans="1:11" ht="12.75">
      <c r="A39" s="59"/>
      <c r="B39" s="59"/>
      <c r="C39" s="59"/>
      <c r="D39" s="59"/>
      <c r="E39" s="79"/>
      <c r="F39" s="79"/>
      <c r="G39" s="79"/>
      <c r="H39" s="79"/>
      <c r="I39" s="79"/>
      <c r="J39" s="79"/>
      <c r="K39" s="79"/>
    </row>
    <row r="40" spans="1:11" ht="13.5" thickBot="1">
      <c r="A40" s="75" t="s">
        <v>43</v>
      </c>
      <c r="B40" s="75"/>
      <c r="C40" s="59"/>
      <c r="D40" s="59"/>
      <c r="E40" s="134">
        <f>SUM(E8:E38)</f>
        <v>0</v>
      </c>
      <c r="F40" s="134">
        <f>SUM(F8:F38)</f>
        <v>0</v>
      </c>
      <c r="G40" s="134">
        <f>SUM(G8:G38)</f>
        <v>0</v>
      </c>
      <c r="H40" s="134">
        <f>+E40+F40+G40</f>
        <v>0</v>
      </c>
      <c r="I40" s="134">
        <f>SUM(I8:I38)</f>
        <v>0</v>
      </c>
      <c r="J40" s="134">
        <f>SUM(J8:J38)</f>
        <v>0</v>
      </c>
      <c r="K40" s="134">
        <f>+H40+I40+J40</f>
        <v>0</v>
      </c>
    </row>
    <row r="41" spans="5:11" ht="13.5" thickTop="1">
      <c r="E41" s="69"/>
      <c r="F41" s="69"/>
      <c r="G41" s="69"/>
      <c r="H41" s="69"/>
      <c r="I41" s="69"/>
      <c r="J41" s="69"/>
      <c r="K41" s="69"/>
    </row>
    <row r="42" spans="5:11" ht="12.75">
      <c r="E42" s="69"/>
      <c r="F42" s="69"/>
      <c r="G42" s="69"/>
      <c r="H42" s="69"/>
      <c r="I42" s="69"/>
      <c r="J42" s="69"/>
      <c r="K42" s="69"/>
    </row>
    <row r="43" spans="5:11" ht="12.75">
      <c r="E43" s="69"/>
      <c r="F43" s="69"/>
      <c r="G43" s="69"/>
      <c r="H43" s="69"/>
      <c r="I43" s="69"/>
      <c r="J43" s="69"/>
      <c r="K43" s="69"/>
    </row>
    <row r="44" spans="5:11" ht="12.75">
      <c r="E44" s="69"/>
      <c r="F44" s="69"/>
      <c r="G44" s="69"/>
      <c r="H44" s="69"/>
      <c r="I44" s="69"/>
      <c r="J44" s="69"/>
      <c r="K44" s="69"/>
    </row>
    <row r="45" spans="5:11" ht="12.75">
      <c r="E45" s="69"/>
      <c r="F45" s="69"/>
      <c r="G45" s="69"/>
      <c r="H45" s="69"/>
      <c r="I45" s="69"/>
      <c r="J45" s="69"/>
      <c r="K45" s="69"/>
    </row>
    <row r="46" spans="5:11" ht="12.75">
      <c r="E46" s="69"/>
      <c r="F46" s="69"/>
      <c r="G46" s="69"/>
      <c r="H46" s="69"/>
      <c r="I46" s="69"/>
      <c r="J46" s="69"/>
      <c r="K46" s="69"/>
    </row>
    <row r="47" spans="5:11" ht="12.75">
      <c r="E47" s="69"/>
      <c r="F47" s="69"/>
      <c r="G47" s="69"/>
      <c r="H47" s="69"/>
      <c r="I47" s="69"/>
      <c r="J47" s="69"/>
      <c r="K47" s="69"/>
    </row>
    <row r="48" spans="5:11" ht="12.75">
      <c r="E48" s="69"/>
      <c r="F48" s="69"/>
      <c r="G48" s="69"/>
      <c r="H48" s="69"/>
      <c r="I48" s="69"/>
      <c r="J48" s="69"/>
      <c r="K48" s="69"/>
    </row>
    <row r="49" spans="5:11" ht="12.75">
      <c r="E49" s="69"/>
      <c r="F49" s="69"/>
      <c r="G49" s="69"/>
      <c r="H49" s="69"/>
      <c r="I49" s="69"/>
      <c r="J49" s="69"/>
      <c r="K49" s="69"/>
    </row>
    <row r="50" spans="5:11" ht="12.75">
      <c r="E50" s="69"/>
      <c r="F50" s="69"/>
      <c r="G50" s="69"/>
      <c r="H50" s="69"/>
      <c r="I50" s="69"/>
      <c r="J50" s="69"/>
      <c r="K50" s="69"/>
    </row>
    <row r="51" spans="5:11" ht="12.75">
      <c r="E51" s="69"/>
      <c r="F51" s="69"/>
      <c r="G51" s="69"/>
      <c r="H51" s="69"/>
      <c r="I51" s="69"/>
      <c r="J51" s="69"/>
      <c r="K51" s="69"/>
    </row>
    <row r="52" spans="5:11" ht="12.75">
      <c r="E52" s="69"/>
      <c r="F52" s="69"/>
      <c r="G52" s="69"/>
      <c r="H52" s="69"/>
      <c r="I52" s="69"/>
      <c r="J52" s="69"/>
      <c r="K52" s="69"/>
    </row>
    <row r="53" spans="5:11" ht="12.75">
      <c r="E53" s="69"/>
      <c r="F53" s="69"/>
      <c r="G53" s="69"/>
      <c r="H53" s="69"/>
      <c r="I53" s="69"/>
      <c r="J53" s="69"/>
      <c r="K53" s="69"/>
    </row>
    <row r="54" spans="5:11" ht="12.75">
      <c r="E54" s="69"/>
      <c r="F54" s="69"/>
      <c r="G54" s="69"/>
      <c r="H54" s="69"/>
      <c r="I54" s="69"/>
      <c r="J54" s="69"/>
      <c r="K54" s="69"/>
    </row>
    <row r="55" spans="5:11" ht="12.75">
      <c r="E55" s="69"/>
      <c r="F55" s="69"/>
      <c r="G55" s="69"/>
      <c r="H55" s="69"/>
      <c r="I55" s="69"/>
      <c r="J55" s="69"/>
      <c r="K55" s="69"/>
    </row>
    <row r="56" spans="5:11" ht="12.75">
      <c r="E56" s="69"/>
      <c r="F56" s="69"/>
      <c r="G56" s="69"/>
      <c r="H56" s="69"/>
      <c r="I56" s="69"/>
      <c r="J56" s="69"/>
      <c r="K56" s="69"/>
    </row>
    <row r="57" spans="5:11" ht="12.75">
      <c r="E57" s="69"/>
      <c r="F57" s="69"/>
      <c r="G57" s="69"/>
      <c r="H57" s="69"/>
      <c r="I57" s="69"/>
      <c r="J57" s="69"/>
      <c r="K57" s="69"/>
    </row>
    <row r="58" spans="5:11" ht="12.75">
      <c r="E58" s="69"/>
      <c r="F58" s="69"/>
      <c r="G58" s="69"/>
      <c r="H58" s="69"/>
      <c r="I58" s="69"/>
      <c r="J58" s="69"/>
      <c r="K58" s="69"/>
    </row>
    <row r="59" spans="5:11" ht="12.75">
      <c r="E59" s="69"/>
      <c r="F59" s="69"/>
      <c r="G59" s="69"/>
      <c r="H59" s="69"/>
      <c r="I59" s="69"/>
      <c r="J59" s="69"/>
      <c r="K59" s="69"/>
    </row>
    <row r="60" spans="5:11" ht="12.75">
      <c r="E60" s="69"/>
      <c r="F60" s="69"/>
      <c r="G60" s="69"/>
      <c r="H60" s="69"/>
      <c r="I60" s="69"/>
      <c r="J60" s="69"/>
      <c r="K60" s="69"/>
    </row>
    <row r="61" spans="5:11" ht="12.75">
      <c r="E61" s="69"/>
      <c r="F61" s="69"/>
      <c r="G61" s="69"/>
      <c r="H61" s="69"/>
      <c r="I61" s="69"/>
      <c r="J61" s="69"/>
      <c r="K61" s="69"/>
    </row>
    <row r="62" spans="5:11" ht="12.75">
      <c r="E62" s="69"/>
      <c r="F62" s="69"/>
      <c r="G62" s="69"/>
      <c r="H62" s="69"/>
      <c r="I62" s="69"/>
      <c r="J62" s="69"/>
      <c r="K62" s="69"/>
    </row>
    <row r="63" spans="5:11" ht="12.75">
      <c r="E63" s="69"/>
      <c r="F63" s="69"/>
      <c r="G63" s="69"/>
      <c r="H63" s="69"/>
      <c r="I63" s="69"/>
      <c r="J63" s="69"/>
      <c r="K63" s="69"/>
    </row>
    <row r="64" spans="5:11" ht="12.75">
      <c r="E64" s="69"/>
      <c r="F64" s="69"/>
      <c r="G64" s="69"/>
      <c r="H64" s="69"/>
      <c r="I64" s="69"/>
      <c r="J64" s="69"/>
      <c r="K64" s="69"/>
    </row>
    <row r="65" spans="5:11" ht="12.75">
      <c r="E65" s="69"/>
      <c r="F65" s="69"/>
      <c r="G65" s="69"/>
      <c r="H65" s="69"/>
      <c r="I65" s="69"/>
      <c r="J65" s="69"/>
      <c r="K65" s="69"/>
    </row>
    <row r="66" spans="5:11" ht="12.75">
      <c r="E66" s="69"/>
      <c r="F66" s="69"/>
      <c r="G66" s="69"/>
      <c r="H66" s="69"/>
      <c r="I66" s="69"/>
      <c r="J66" s="69"/>
      <c r="K66" s="69"/>
    </row>
    <row r="67" spans="5:11" ht="12.75">
      <c r="E67" s="69"/>
      <c r="F67" s="69"/>
      <c r="G67" s="69"/>
      <c r="H67" s="69"/>
      <c r="I67" s="69"/>
      <c r="J67" s="69"/>
      <c r="K67" s="69"/>
    </row>
    <row r="68" spans="5:11" ht="12.75">
      <c r="E68" s="69"/>
      <c r="F68" s="69"/>
      <c r="G68" s="69"/>
      <c r="H68" s="69"/>
      <c r="I68" s="69"/>
      <c r="J68" s="69"/>
      <c r="K68" s="69"/>
    </row>
    <row r="69" spans="5:11" ht="12.75">
      <c r="E69" s="69"/>
      <c r="F69" s="69"/>
      <c r="G69" s="69"/>
      <c r="H69" s="69"/>
      <c r="I69" s="69"/>
      <c r="J69" s="69"/>
      <c r="K69" s="69"/>
    </row>
    <row r="70" spans="5:11" ht="12.75">
      <c r="E70" s="69"/>
      <c r="F70" s="69"/>
      <c r="G70" s="69"/>
      <c r="H70" s="69"/>
      <c r="I70" s="69"/>
      <c r="J70" s="69"/>
      <c r="K70" s="69"/>
    </row>
    <row r="71" spans="5:11" ht="12.75">
      <c r="E71" s="69"/>
      <c r="F71" s="69"/>
      <c r="G71" s="69"/>
      <c r="H71" s="69"/>
      <c r="I71" s="69"/>
      <c r="J71" s="69"/>
      <c r="K71" s="69"/>
    </row>
    <row r="72" spans="5:11" ht="12.75">
      <c r="E72" s="69"/>
      <c r="F72" s="69"/>
      <c r="G72" s="69"/>
      <c r="H72" s="69"/>
      <c r="I72" s="69"/>
      <c r="J72" s="69"/>
      <c r="K72" s="69"/>
    </row>
    <row r="73" spans="5:11" ht="12.75">
      <c r="E73" s="69"/>
      <c r="F73" s="69"/>
      <c r="G73" s="69"/>
      <c r="H73" s="69"/>
      <c r="I73" s="69"/>
      <c r="J73" s="69"/>
      <c r="K73" s="69"/>
    </row>
    <row r="74" spans="5:11" ht="12.75">
      <c r="E74" s="69"/>
      <c r="F74" s="69"/>
      <c r="G74" s="69"/>
      <c r="H74" s="69"/>
      <c r="I74" s="69"/>
      <c r="J74" s="69"/>
      <c r="K74" s="69"/>
    </row>
    <row r="75" spans="5:11" ht="12.75">
      <c r="E75" s="69"/>
      <c r="F75" s="69"/>
      <c r="G75" s="69"/>
      <c r="H75" s="69"/>
      <c r="I75" s="69"/>
      <c r="J75" s="69"/>
      <c r="K75" s="69"/>
    </row>
    <row r="76" spans="5:11" ht="12.75">
      <c r="E76" s="69"/>
      <c r="F76" s="69"/>
      <c r="G76" s="69"/>
      <c r="H76" s="69"/>
      <c r="I76" s="69"/>
      <c r="J76" s="69"/>
      <c r="K76" s="69"/>
    </row>
    <row r="77" spans="5:11" ht="12.75">
      <c r="E77" s="69"/>
      <c r="F77" s="69"/>
      <c r="G77" s="69"/>
      <c r="H77" s="69"/>
      <c r="I77" s="69"/>
      <c r="J77" s="69"/>
      <c r="K77" s="69"/>
    </row>
  </sheetData>
  <printOptions horizontalCentered="1"/>
  <pageMargins left="0.25" right="0.25" top="0.5" bottom="0.5" header="0.5" footer="0.5"/>
  <pageSetup fitToHeight="1" fitToWidth="1" horizontalDpi="600" verticalDpi="600" orientation="landscape" paperSize="5" r:id="rId1"/>
</worksheet>
</file>

<file path=xl/worksheets/sheet12.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71</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t="s">
        <v>274</v>
      </c>
      <c r="B8" s="98">
        <v>36708</v>
      </c>
      <c r="C8" s="135"/>
      <c r="D8" s="72">
        <v>20</v>
      </c>
      <c r="E8" s="137">
        <v>20000</v>
      </c>
      <c r="F8" s="81">
        <v>0</v>
      </c>
      <c r="G8" s="79">
        <f>+E8-F8</f>
        <v>20000</v>
      </c>
      <c r="H8" s="101">
        <f>+(E8-F8)/(D8*12)</f>
        <v>83.33333333333333</v>
      </c>
      <c r="I8" s="79">
        <f>IF(B8&lt;$I$5,E8,0)</f>
        <v>20000</v>
      </c>
      <c r="J8" s="76">
        <f>IF(B8&gt;$I$5,0,IF(($I$5-B8)/30.4375&gt;(D8*12),(D8*12),($I$5-B8)/30.4375))</f>
        <v>90.02053388090349</v>
      </c>
      <c r="K8" s="79">
        <f>IF(H8*J8&gt;I8,-I8,-H8*J8)</f>
        <v>-7501.711156741957</v>
      </c>
      <c r="L8" s="101">
        <f>+I8+K8</f>
        <v>12498.288843258044</v>
      </c>
      <c r="M8" s="79">
        <f>IF(AND($I$5&lt;B8,B8&lt;$M$5+1),E8,0)</f>
        <v>0</v>
      </c>
      <c r="N8" s="79">
        <f>IF(AND($I$5&lt;C8,C8&lt;$M$5+1),-E8,0)</f>
        <v>0</v>
      </c>
      <c r="O8" s="79">
        <f>+I8+M8+N8</f>
        <v>20000</v>
      </c>
      <c r="P8" s="72">
        <v>12</v>
      </c>
      <c r="Q8" s="79">
        <f>-H8*P8</f>
        <v>-1000</v>
      </c>
      <c r="R8" s="79">
        <f>IF(O8=0,0,K8+Q8)</f>
        <v>-8501.711156741956</v>
      </c>
      <c r="S8" s="101">
        <f>+O8+R8</f>
        <v>11498.288843258044</v>
      </c>
      <c r="T8" s="79">
        <f>IF(AND($M$5&lt;B8,J8&lt;$T$5+1),E8,0)</f>
        <v>0</v>
      </c>
      <c r="U8" s="79">
        <f>IF(AND($M$5&lt;C8,C8&lt;$T$5+1),-E8,0)</f>
        <v>0</v>
      </c>
      <c r="V8" s="79">
        <f>+O8+T8+U8</f>
        <v>20000</v>
      </c>
      <c r="W8" s="72">
        <v>12</v>
      </c>
      <c r="X8" s="79">
        <f>-H8*W8</f>
        <v>-1000</v>
      </c>
      <c r="Y8" s="79">
        <f>IF(V8=0,0,R8+X8)</f>
        <v>-9501.711156741956</v>
      </c>
      <c r="Z8" s="126">
        <f>+V8+Y8</f>
        <v>10498.288843258044</v>
      </c>
      <c r="AA8" s="154" t="str">
        <f>IF(J8+P8+W8&lt;((D8*12)+1),"OK","ERROR")</f>
        <v>OK</v>
      </c>
    </row>
    <row r="9" spans="1:27" ht="15" customHeight="1">
      <c r="A9" s="115" t="s">
        <v>275</v>
      </c>
      <c r="B9" s="98">
        <v>36708</v>
      </c>
      <c r="C9" s="135"/>
      <c r="D9" s="72">
        <v>20</v>
      </c>
      <c r="E9" s="137">
        <v>48000</v>
      </c>
      <c r="F9" s="81">
        <v>0</v>
      </c>
      <c r="G9" s="79">
        <f aca="true" t="shared" si="0" ref="G9:G38">+E9-F9</f>
        <v>48000</v>
      </c>
      <c r="H9" s="101">
        <f aca="true" t="shared" si="1" ref="H9:H38">+(E9-F9)/(D9*12)</f>
        <v>200</v>
      </c>
      <c r="I9" s="79">
        <f aca="true" t="shared" si="2" ref="I9:I38">IF(B9&lt;$I$5,E9,0)</f>
        <v>48000</v>
      </c>
      <c r="J9" s="76">
        <f aca="true" t="shared" si="3" ref="J9:J38">IF(B9&gt;$I$5,0,IF(($I$5-B9)/30.4375&gt;(D9*12),(D9*12),($I$5-B9)/30.4375))</f>
        <v>90.02053388090349</v>
      </c>
      <c r="K9" s="79">
        <f aca="true" t="shared" si="4" ref="K9:K38">IF(H9*J9&gt;I9,-I9,-H9*J9)</f>
        <v>-18004.1067761807</v>
      </c>
      <c r="L9" s="101">
        <f aca="true" t="shared" si="5" ref="L9:L38">+I9+K9</f>
        <v>29995.8932238193</v>
      </c>
      <c r="M9" s="79">
        <f aca="true" t="shared" si="6" ref="M9:M38">IF(AND($I$5&lt;B9,B9&lt;$M$5+1),E9,0)</f>
        <v>0</v>
      </c>
      <c r="N9" s="79">
        <f aca="true" t="shared" si="7" ref="N9:N38">IF(AND($I$5&lt;C9,C9&lt;$M$5+1),-E9,0)</f>
        <v>0</v>
      </c>
      <c r="O9" s="79">
        <f aca="true" t="shared" si="8" ref="O9:O38">+I9+M9+N9</f>
        <v>48000</v>
      </c>
      <c r="P9" s="72">
        <v>12</v>
      </c>
      <c r="Q9" s="79">
        <f aca="true" t="shared" si="9" ref="Q9:Q38">-H9*P9</f>
        <v>-2400</v>
      </c>
      <c r="R9" s="79">
        <f aca="true" t="shared" si="10" ref="R9:R38">IF(O9=0,0,K9+Q9)</f>
        <v>-20404.1067761807</v>
      </c>
      <c r="S9" s="101">
        <f aca="true" t="shared" si="11" ref="S9:S38">+O9+R9</f>
        <v>27595.8932238193</v>
      </c>
      <c r="T9" s="79">
        <f aca="true" t="shared" si="12" ref="T9:T38">IF(AND($M$5&lt;B9,J9&lt;$T$5+1),E9,0)</f>
        <v>0</v>
      </c>
      <c r="U9" s="79">
        <f aca="true" t="shared" si="13" ref="U9:U38">IF(AND($M$5&lt;C9,C9&lt;$T$5+1),-E9,0)</f>
        <v>0</v>
      </c>
      <c r="V9" s="79">
        <f aca="true" t="shared" si="14" ref="V9:V38">+O9+T9+U9</f>
        <v>48000</v>
      </c>
      <c r="W9" s="72">
        <v>12</v>
      </c>
      <c r="X9" s="79">
        <f aca="true" t="shared" si="15" ref="X9:X38">-H9*W9</f>
        <v>-2400</v>
      </c>
      <c r="Y9" s="79">
        <f aca="true" t="shared" si="16" ref="Y9:Y38">IF(V9=0,0,R9+X9)</f>
        <v>-22804.1067761807</v>
      </c>
      <c r="Z9" s="126">
        <f aca="true" t="shared" si="17" ref="Z9:Z38">+V9+Y9</f>
        <v>25195.8932238193</v>
      </c>
      <c r="AA9" s="154" t="str">
        <f aca="true" t="shared" si="18" ref="AA9:AA38">IF(J9+P9+W9&lt;((D9*12)+1),"OK","ERROR")</f>
        <v>OK</v>
      </c>
    </row>
    <row r="10" spans="1:27" ht="15" customHeight="1">
      <c r="A10" s="115" t="s">
        <v>276</v>
      </c>
      <c r="B10" s="98">
        <v>36708</v>
      </c>
      <c r="C10" s="135"/>
      <c r="D10" s="72">
        <v>20</v>
      </c>
      <c r="E10" s="137">
        <v>2800</v>
      </c>
      <c r="F10" s="81">
        <v>0</v>
      </c>
      <c r="G10" s="79">
        <f t="shared" si="0"/>
        <v>2800</v>
      </c>
      <c r="H10" s="101">
        <f t="shared" si="1"/>
        <v>11.666666666666666</v>
      </c>
      <c r="I10" s="79">
        <f t="shared" si="2"/>
        <v>2800</v>
      </c>
      <c r="J10" s="76">
        <f t="shared" si="3"/>
        <v>90.02053388090349</v>
      </c>
      <c r="K10" s="79">
        <f t="shared" si="4"/>
        <v>-1050.239561943874</v>
      </c>
      <c r="L10" s="101">
        <f t="shared" si="5"/>
        <v>1749.760438056126</v>
      </c>
      <c r="M10" s="79">
        <f t="shared" si="6"/>
        <v>0</v>
      </c>
      <c r="N10" s="79">
        <f t="shared" si="7"/>
        <v>0</v>
      </c>
      <c r="O10" s="79">
        <f t="shared" si="8"/>
        <v>2800</v>
      </c>
      <c r="P10" s="72">
        <v>12</v>
      </c>
      <c r="Q10" s="79">
        <f t="shared" si="9"/>
        <v>-140</v>
      </c>
      <c r="R10" s="79">
        <f t="shared" si="10"/>
        <v>-1190.239561943874</v>
      </c>
      <c r="S10" s="101">
        <f t="shared" si="11"/>
        <v>1609.760438056126</v>
      </c>
      <c r="T10" s="79">
        <f t="shared" si="12"/>
        <v>0</v>
      </c>
      <c r="U10" s="79">
        <f t="shared" si="13"/>
        <v>0</v>
      </c>
      <c r="V10" s="79">
        <f t="shared" si="14"/>
        <v>2800</v>
      </c>
      <c r="W10" s="72">
        <v>12</v>
      </c>
      <c r="X10" s="79">
        <f t="shared" si="15"/>
        <v>-140</v>
      </c>
      <c r="Y10" s="79">
        <f t="shared" si="16"/>
        <v>-1330.239561943874</v>
      </c>
      <c r="Z10" s="126">
        <f t="shared" si="17"/>
        <v>1469.760438056126</v>
      </c>
      <c r="AA10" s="154" t="str">
        <f t="shared" si="18"/>
        <v>OK</v>
      </c>
    </row>
    <row r="11" spans="1:31" s="66" customFormat="1" ht="13.5" customHeight="1">
      <c r="A11" s="115" t="s">
        <v>277</v>
      </c>
      <c r="B11" s="98">
        <v>36708</v>
      </c>
      <c r="C11" s="135" t="s">
        <v>59</v>
      </c>
      <c r="D11" s="72">
        <v>20</v>
      </c>
      <c r="E11" s="137">
        <v>8100</v>
      </c>
      <c r="F11" s="81">
        <v>0</v>
      </c>
      <c r="G11" s="79">
        <f t="shared" si="0"/>
        <v>8100</v>
      </c>
      <c r="H11" s="101">
        <f t="shared" si="1"/>
        <v>33.75</v>
      </c>
      <c r="I11" s="79">
        <f t="shared" si="2"/>
        <v>8100</v>
      </c>
      <c r="J11" s="76">
        <f t="shared" si="3"/>
        <v>90.02053388090349</v>
      </c>
      <c r="K11" s="79">
        <f t="shared" si="4"/>
        <v>-3038.193018480493</v>
      </c>
      <c r="L11" s="101">
        <f t="shared" si="5"/>
        <v>5061.806981519507</v>
      </c>
      <c r="M11" s="79">
        <f t="shared" si="6"/>
        <v>0</v>
      </c>
      <c r="N11" s="79">
        <f t="shared" si="7"/>
        <v>0</v>
      </c>
      <c r="O11" s="79">
        <f t="shared" si="8"/>
        <v>8100</v>
      </c>
      <c r="P11" s="72">
        <v>12</v>
      </c>
      <c r="Q11" s="79">
        <f t="shared" si="9"/>
        <v>-405</v>
      </c>
      <c r="R11" s="79">
        <f t="shared" si="10"/>
        <v>-3443.193018480493</v>
      </c>
      <c r="S11" s="101">
        <f t="shared" si="11"/>
        <v>4656.806981519507</v>
      </c>
      <c r="T11" s="79">
        <f t="shared" si="12"/>
        <v>0</v>
      </c>
      <c r="U11" s="79">
        <f t="shared" si="13"/>
        <v>0</v>
      </c>
      <c r="V11" s="79">
        <f t="shared" si="14"/>
        <v>8100</v>
      </c>
      <c r="W11" s="72">
        <v>12</v>
      </c>
      <c r="X11" s="79">
        <f t="shared" si="15"/>
        <v>-405</v>
      </c>
      <c r="Y11" s="79">
        <f t="shared" si="16"/>
        <v>-3848.193018480493</v>
      </c>
      <c r="Z11" s="126">
        <f t="shared" si="17"/>
        <v>4251.806981519507</v>
      </c>
      <c r="AA11" s="154" t="str">
        <f t="shared" si="18"/>
        <v>OK</v>
      </c>
      <c r="AB11" s="60"/>
      <c r="AC11" s="60"/>
      <c r="AD11" s="60"/>
      <c r="AE11" s="60"/>
    </row>
    <row r="12" spans="1:31" s="66" customFormat="1" ht="13.5" customHeight="1">
      <c r="A12" s="115"/>
      <c r="B12" s="156" t="s">
        <v>59</v>
      </c>
      <c r="C12" s="135" t="s">
        <v>59</v>
      </c>
      <c r="D12" s="72">
        <v>20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20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20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20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20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20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20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20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20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20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20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20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20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20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20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20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20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20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20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20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20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20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20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20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20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20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20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78900</v>
      </c>
      <c r="J40" s="79"/>
      <c r="K40" s="80">
        <f>SUM(K8:K38)</f>
        <v>-29594.250513347022</v>
      </c>
      <c r="L40" s="104">
        <f>SUM(L8:L38)</f>
        <v>49305.749486652974</v>
      </c>
      <c r="M40" s="80">
        <f>SUM(M8:M38)</f>
        <v>0</v>
      </c>
      <c r="N40" s="80">
        <f>SUM(N8:N38)</f>
        <v>0</v>
      </c>
      <c r="O40" s="80">
        <f aca="true" t="shared" si="19" ref="O40:U40">SUM(O8:O38)</f>
        <v>78900</v>
      </c>
      <c r="P40" s="79"/>
      <c r="Q40" s="80">
        <f t="shared" si="19"/>
        <v>-3945</v>
      </c>
      <c r="R40" s="80">
        <f t="shared" si="19"/>
        <v>-33539.250513347026</v>
      </c>
      <c r="S40" s="104">
        <f t="shared" si="19"/>
        <v>45360.749486652974</v>
      </c>
      <c r="T40" s="80">
        <f t="shared" si="19"/>
        <v>0</v>
      </c>
      <c r="U40" s="80">
        <f t="shared" si="19"/>
        <v>0</v>
      </c>
      <c r="V40" s="80">
        <f>SUM(V8:V38)</f>
        <v>78900</v>
      </c>
      <c r="W40" s="79"/>
      <c r="X40" s="80">
        <f>SUM(X8:X38)</f>
        <v>-3945</v>
      </c>
      <c r="Y40" s="80">
        <f>SUM(Y8:Y38)</f>
        <v>-37484.250513347026</v>
      </c>
      <c r="Z40" s="128">
        <f>SUM(Z8:Z38)</f>
        <v>41415.749486652974</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4" r:id="rId1"/>
</worksheet>
</file>

<file path=xl/worksheets/sheet13.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72</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40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40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40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40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40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40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40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40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40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40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40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40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40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40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40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40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40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40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40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40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40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40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40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40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40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40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40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40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40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40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40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4" r:id="rId1"/>
</worksheet>
</file>

<file path=xl/worksheets/sheet14.xml><?xml version="1.0" encoding="utf-8"?>
<worksheet xmlns="http://schemas.openxmlformats.org/spreadsheetml/2006/main" xmlns:r="http://schemas.openxmlformats.org/officeDocument/2006/relationships">
  <sheetPr>
    <pageSetUpPr fitToPage="1"/>
  </sheetPr>
  <dimension ref="A1:AH165"/>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73</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t="s">
        <v>229</v>
      </c>
      <c r="B8" s="169">
        <v>27395</v>
      </c>
      <c r="C8" s="135"/>
      <c r="D8" s="72">
        <v>40</v>
      </c>
      <c r="E8" s="163">
        <v>5965</v>
      </c>
      <c r="F8" s="81">
        <v>0</v>
      </c>
      <c r="G8" s="79">
        <f>+E8-F8</f>
        <v>5965</v>
      </c>
      <c r="H8" s="101">
        <f>+(E8-F8)/(D8*12)</f>
        <v>12.427083333333334</v>
      </c>
      <c r="I8" s="79">
        <f>IF(B8&lt;$I$5,E8,0)</f>
        <v>5965</v>
      </c>
      <c r="J8" s="76">
        <f>IF(B8&gt;$I$5,0,IF(($I$5-B8)/30.4375&gt;(D8*12),(D8*12),($I$5-B8)/30.4375))</f>
        <v>395.9917864476386</v>
      </c>
      <c r="K8" s="79">
        <f>IF(H8*J8&gt;I8,-I8,-H8*J8)</f>
        <v>-4921.022929500343</v>
      </c>
      <c r="L8" s="101">
        <f>+I8+K8</f>
        <v>1043.9770704996572</v>
      </c>
      <c r="M8" s="79">
        <f>IF(AND($I$5&lt;B8,B8&lt;$M$5+1),E8,0)</f>
        <v>0</v>
      </c>
      <c r="N8" s="79">
        <f>IF(AND($I$5&lt;C8,C8&lt;$M$5+1),-E8,0)</f>
        <v>0</v>
      </c>
      <c r="O8" s="79">
        <f>+I8+M8+N8</f>
        <v>5965</v>
      </c>
      <c r="P8" s="72">
        <v>12</v>
      </c>
      <c r="Q8" s="79">
        <f>-H8*P8</f>
        <v>-149.125</v>
      </c>
      <c r="R8" s="79">
        <f>IF(O8=0,0,K8+Q8)</f>
        <v>-5070.147929500343</v>
      </c>
      <c r="S8" s="101">
        <f>+O8+R8</f>
        <v>894.8520704996572</v>
      </c>
      <c r="T8" s="79">
        <f>IF(AND($M$5&lt;B8,J8&lt;$T$5+1),E8,0)</f>
        <v>0</v>
      </c>
      <c r="U8" s="79">
        <f>IF(AND($M$5&lt;C8,C8&lt;$T$5+1),-E8,0)</f>
        <v>0</v>
      </c>
      <c r="V8" s="79">
        <f>+O8+T8+U8</f>
        <v>5965</v>
      </c>
      <c r="W8" s="72">
        <v>12</v>
      </c>
      <c r="X8" s="79">
        <f>-H8*W8</f>
        <v>-149.125</v>
      </c>
      <c r="Y8" s="79">
        <f>IF(V8=0,0,R8+X8)</f>
        <v>-5219.272929500343</v>
      </c>
      <c r="Z8" s="126">
        <f>+V8+Y8</f>
        <v>745.7270704996572</v>
      </c>
      <c r="AA8" s="154" t="str">
        <f>IF(J8+P8+W8&lt;((D8*12)+1),"OK","ERROR")</f>
        <v>OK</v>
      </c>
    </row>
    <row r="9" spans="1:27" ht="15" customHeight="1">
      <c r="A9" s="115" t="s">
        <v>230</v>
      </c>
      <c r="B9" s="169">
        <v>27395</v>
      </c>
      <c r="C9" s="135"/>
      <c r="D9" s="72">
        <v>40</v>
      </c>
      <c r="E9" s="163">
        <v>5965</v>
      </c>
      <c r="F9" s="81">
        <v>0</v>
      </c>
      <c r="G9" s="79">
        <f aca="true" t="shared" si="0" ref="G9:G55">+E9-F9</f>
        <v>5965</v>
      </c>
      <c r="H9" s="101">
        <f aca="true" t="shared" si="1" ref="H9:H55">+(E9-F9)/(D9*12)</f>
        <v>12.427083333333334</v>
      </c>
      <c r="I9" s="79">
        <f aca="true" t="shared" si="2" ref="I9:I55">IF(B9&lt;$I$5,E9,0)</f>
        <v>5965</v>
      </c>
      <c r="J9" s="76">
        <f aca="true" t="shared" si="3" ref="J9:J55">IF(B9&gt;$I$5,0,IF(($I$5-B9)/30.4375&gt;(D9*12),(D9*12),($I$5-B9)/30.4375))</f>
        <v>395.9917864476386</v>
      </c>
      <c r="K9" s="79">
        <f aca="true" t="shared" si="4" ref="K9:K55">IF(H9*J9&gt;I9,-I9,-H9*J9)</f>
        <v>-4921.022929500343</v>
      </c>
      <c r="L9" s="101">
        <f aca="true" t="shared" si="5" ref="L9:L55">+I9+K9</f>
        <v>1043.9770704996572</v>
      </c>
      <c r="M9" s="79">
        <f aca="true" t="shared" si="6" ref="M9:M55">IF(AND($I$5&lt;B9,B9&lt;$M$5+1),E9,0)</f>
        <v>0</v>
      </c>
      <c r="N9" s="79">
        <f aca="true" t="shared" si="7" ref="N9:N55">IF(AND($I$5&lt;C9,C9&lt;$M$5+1),-E9,0)</f>
        <v>0</v>
      </c>
      <c r="O9" s="79">
        <f aca="true" t="shared" si="8" ref="O9:O55">+I9+M9+N9</f>
        <v>5965</v>
      </c>
      <c r="P9" s="72">
        <v>12</v>
      </c>
      <c r="Q9" s="79">
        <f aca="true" t="shared" si="9" ref="Q9:Q55">-H9*P9</f>
        <v>-149.125</v>
      </c>
      <c r="R9" s="79">
        <f aca="true" t="shared" si="10" ref="R9:R55">IF(O9=0,0,K9+Q9)</f>
        <v>-5070.147929500343</v>
      </c>
      <c r="S9" s="101">
        <f aca="true" t="shared" si="11" ref="S9:S55">+O9+R9</f>
        <v>894.8520704996572</v>
      </c>
      <c r="T9" s="79">
        <f aca="true" t="shared" si="12" ref="T9:T55">IF(AND($M$5&lt;B9,J9&lt;$T$5+1),E9,0)</f>
        <v>0</v>
      </c>
      <c r="U9" s="79">
        <f aca="true" t="shared" si="13" ref="U9:U55">IF(AND($M$5&lt;C9,C9&lt;$T$5+1),-E9,0)</f>
        <v>0</v>
      </c>
      <c r="V9" s="79">
        <f aca="true" t="shared" si="14" ref="V9:V55">+O9+T9+U9</f>
        <v>5965</v>
      </c>
      <c r="W9" s="72">
        <v>12</v>
      </c>
      <c r="X9" s="79">
        <f aca="true" t="shared" si="15" ref="X9:X55">-H9*W9</f>
        <v>-149.125</v>
      </c>
      <c r="Y9" s="79">
        <f aca="true" t="shared" si="16" ref="Y9:Y55">IF(V9=0,0,R9+X9)</f>
        <v>-5219.272929500343</v>
      </c>
      <c r="Z9" s="126">
        <f aca="true" t="shared" si="17" ref="Z9:Z55">+V9+Y9</f>
        <v>745.7270704996572</v>
      </c>
      <c r="AA9" s="154" t="str">
        <f aca="true" t="shared" si="18" ref="AA9:AA55">IF(J9+P9+W9&lt;((D9*12)+1),"OK","ERROR")</f>
        <v>OK</v>
      </c>
    </row>
    <row r="10" spans="1:27" ht="15" customHeight="1">
      <c r="A10" s="115" t="s">
        <v>231</v>
      </c>
      <c r="B10" s="169">
        <v>27395</v>
      </c>
      <c r="C10" s="135"/>
      <c r="D10" s="72">
        <v>40</v>
      </c>
      <c r="E10" s="163">
        <v>5965</v>
      </c>
      <c r="F10" s="81">
        <v>0</v>
      </c>
      <c r="G10" s="79">
        <f t="shared" si="0"/>
        <v>5965</v>
      </c>
      <c r="H10" s="101">
        <f t="shared" si="1"/>
        <v>12.427083333333334</v>
      </c>
      <c r="I10" s="79">
        <f t="shared" si="2"/>
        <v>5965</v>
      </c>
      <c r="J10" s="76">
        <f t="shared" si="3"/>
        <v>395.9917864476386</v>
      </c>
      <c r="K10" s="79">
        <f t="shared" si="4"/>
        <v>-4921.022929500343</v>
      </c>
      <c r="L10" s="101">
        <f t="shared" si="5"/>
        <v>1043.9770704996572</v>
      </c>
      <c r="M10" s="79">
        <f t="shared" si="6"/>
        <v>0</v>
      </c>
      <c r="N10" s="79">
        <f t="shared" si="7"/>
        <v>0</v>
      </c>
      <c r="O10" s="79">
        <f t="shared" si="8"/>
        <v>5965</v>
      </c>
      <c r="P10" s="72">
        <v>12</v>
      </c>
      <c r="Q10" s="79">
        <f t="shared" si="9"/>
        <v>-149.125</v>
      </c>
      <c r="R10" s="79">
        <f t="shared" si="10"/>
        <v>-5070.147929500343</v>
      </c>
      <c r="S10" s="101">
        <f t="shared" si="11"/>
        <v>894.8520704996572</v>
      </c>
      <c r="T10" s="79">
        <f t="shared" si="12"/>
        <v>0</v>
      </c>
      <c r="U10" s="79">
        <f t="shared" si="13"/>
        <v>0</v>
      </c>
      <c r="V10" s="79">
        <f t="shared" si="14"/>
        <v>5965</v>
      </c>
      <c r="W10" s="72">
        <v>12</v>
      </c>
      <c r="X10" s="79">
        <f t="shared" si="15"/>
        <v>-149.125</v>
      </c>
      <c r="Y10" s="79">
        <f t="shared" si="16"/>
        <v>-5219.272929500343</v>
      </c>
      <c r="Z10" s="126">
        <f t="shared" si="17"/>
        <v>745.7270704996572</v>
      </c>
      <c r="AA10" s="154" t="str">
        <f t="shared" si="18"/>
        <v>OK</v>
      </c>
    </row>
    <row r="11" spans="1:31" s="66" customFormat="1" ht="13.5" customHeight="1">
      <c r="A11" s="115" t="s">
        <v>232</v>
      </c>
      <c r="B11" s="169">
        <v>35796</v>
      </c>
      <c r="C11" s="135" t="s">
        <v>59</v>
      </c>
      <c r="D11" s="72">
        <v>40</v>
      </c>
      <c r="E11" s="163">
        <v>17444</v>
      </c>
      <c r="F11" s="81">
        <v>0</v>
      </c>
      <c r="G11" s="79">
        <f t="shared" si="0"/>
        <v>17444</v>
      </c>
      <c r="H11" s="101">
        <f t="shared" si="1"/>
        <v>36.34166666666667</v>
      </c>
      <c r="I11" s="79">
        <f t="shared" si="2"/>
        <v>17444</v>
      </c>
      <c r="J11" s="76">
        <f t="shared" si="3"/>
        <v>119.9835728952772</v>
      </c>
      <c r="K11" s="79">
        <f t="shared" si="4"/>
        <v>-4360.403011635866</v>
      </c>
      <c r="L11" s="101">
        <f t="shared" si="5"/>
        <v>13083.596988364134</v>
      </c>
      <c r="M11" s="79">
        <f t="shared" si="6"/>
        <v>0</v>
      </c>
      <c r="N11" s="79">
        <f t="shared" si="7"/>
        <v>0</v>
      </c>
      <c r="O11" s="79">
        <f t="shared" si="8"/>
        <v>17444</v>
      </c>
      <c r="P11" s="72">
        <v>12</v>
      </c>
      <c r="Q11" s="79">
        <f t="shared" si="9"/>
        <v>-436.1</v>
      </c>
      <c r="R11" s="79">
        <f t="shared" si="10"/>
        <v>-4796.503011635867</v>
      </c>
      <c r="S11" s="101">
        <f t="shared" si="11"/>
        <v>12647.496988364133</v>
      </c>
      <c r="T11" s="79">
        <f t="shared" si="12"/>
        <v>0</v>
      </c>
      <c r="U11" s="79">
        <f t="shared" si="13"/>
        <v>0</v>
      </c>
      <c r="V11" s="79">
        <f t="shared" si="14"/>
        <v>17444</v>
      </c>
      <c r="W11" s="72">
        <v>12</v>
      </c>
      <c r="X11" s="79">
        <f t="shared" si="15"/>
        <v>-436.1</v>
      </c>
      <c r="Y11" s="79">
        <f t="shared" si="16"/>
        <v>-5232.603011635867</v>
      </c>
      <c r="Z11" s="126">
        <f t="shared" si="17"/>
        <v>12211.396988364133</v>
      </c>
      <c r="AA11" s="154" t="str">
        <f t="shared" si="18"/>
        <v>OK</v>
      </c>
      <c r="AB11" s="60"/>
      <c r="AC11" s="60"/>
      <c r="AD11" s="60"/>
      <c r="AE11" s="60"/>
    </row>
    <row r="12" spans="1:31" s="66" customFormat="1" ht="13.5" customHeight="1">
      <c r="A12" s="115" t="s">
        <v>233</v>
      </c>
      <c r="B12" s="169">
        <v>29221</v>
      </c>
      <c r="C12" s="135" t="s">
        <v>59</v>
      </c>
      <c r="D12" s="72">
        <v>40</v>
      </c>
      <c r="E12" s="163">
        <v>10596</v>
      </c>
      <c r="F12" s="81">
        <v>0</v>
      </c>
      <c r="G12" s="79">
        <f t="shared" si="0"/>
        <v>10596</v>
      </c>
      <c r="H12" s="101">
        <f t="shared" si="1"/>
        <v>22.075</v>
      </c>
      <c r="I12" s="79">
        <f t="shared" si="2"/>
        <v>10596</v>
      </c>
      <c r="J12" s="76">
        <f t="shared" si="3"/>
        <v>336</v>
      </c>
      <c r="K12" s="79">
        <f t="shared" si="4"/>
        <v>-7417.2</v>
      </c>
      <c r="L12" s="101">
        <f t="shared" si="5"/>
        <v>3178.8</v>
      </c>
      <c r="M12" s="79">
        <f t="shared" si="6"/>
        <v>0</v>
      </c>
      <c r="N12" s="79">
        <f t="shared" si="7"/>
        <v>0</v>
      </c>
      <c r="O12" s="79">
        <f t="shared" si="8"/>
        <v>10596</v>
      </c>
      <c r="P12" s="72">
        <v>12</v>
      </c>
      <c r="Q12" s="79">
        <f t="shared" si="9"/>
        <v>-264.9</v>
      </c>
      <c r="R12" s="79">
        <f t="shared" si="10"/>
        <v>-7682.099999999999</v>
      </c>
      <c r="S12" s="101">
        <f t="shared" si="11"/>
        <v>2913.9000000000005</v>
      </c>
      <c r="T12" s="79">
        <f t="shared" si="12"/>
        <v>0</v>
      </c>
      <c r="U12" s="79">
        <f t="shared" si="13"/>
        <v>0</v>
      </c>
      <c r="V12" s="79">
        <f t="shared" si="14"/>
        <v>10596</v>
      </c>
      <c r="W12" s="72">
        <v>12</v>
      </c>
      <c r="X12" s="79">
        <f t="shared" si="15"/>
        <v>-264.9</v>
      </c>
      <c r="Y12" s="79">
        <f t="shared" si="16"/>
        <v>-7946.999999999999</v>
      </c>
      <c r="Z12" s="126">
        <f t="shared" si="17"/>
        <v>2649.000000000001</v>
      </c>
      <c r="AA12" s="154" t="str">
        <f t="shared" si="18"/>
        <v>OK</v>
      </c>
      <c r="AB12" s="60"/>
      <c r="AC12" s="64"/>
      <c r="AD12" s="60"/>
      <c r="AE12" s="64"/>
    </row>
    <row r="13" spans="1:34" ht="12.75" customHeight="1">
      <c r="A13" s="115" t="s">
        <v>234</v>
      </c>
      <c r="B13" s="169">
        <v>29221</v>
      </c>
      <c r="C13" s="99"/>
      <c r="D13" s="72">
        <v>40</v>
      </c>
      <c r="E13" s="163">
        <v>10596</v>
      </c>
      <c r="F13" s="81">
        <v>0</v>
      </c>
      <c r="G13" s="79">
        <f t="shared" si="0"/>
        <v>10596</v>
      </c>
      <c r="H13" s="101">
        <f t="shared" si="1"/>
        <v>22.075</v>
      </c>
      <c r="I13" s="79">
        <f t="shared" si="2"/>
        <v>10596</v>
      </c>
      <c r="J13" s="76">
        <f t="shared" si="3"/>
        <v>336</v>
      </c>
      <c r="K13" s="79">
        <f t="shared" si="4"/>
        <v>-7417.2</v>
      </c>
      <c r="L13" s="101">
        <f t="shared" si="5"/>
        <v>3178.8</v>
      </c>
      <c r="M13" s="79">
        <f t="shared" si="6"/>
        <v>0</v>
      </c>
      <c r="N13" s="79">
        <f t="shared" si="7"/>
        <v>0</v>
      </c>
      <c r="O13" s="79">
        <f t="shared" si="8"/>
        <v>10596</v>
      </c>
      <c r="P13" s="72">
        <v>12</v>
      </c>
      <c r="Q13" s="79">
        <f t="shared" si="9"/>
        <v>-264.9</v>
      </c>
      <c r="R13" s="79">
        <f t="shared" si="10"/>
        <v>-7682.099999999999</v>
      </c>
      <c r="S13" s="101">
        <f t="shared" si="11"/>
        <v>2913.9000000000005</v>
      </c>
      <c r="T13" s="79">
        <f t="shared" si="12"/>
        <v>0</v>
      </c>
      <c r="U13" s="79">
        <f t="shared" si="13"/>
        <v>0</v>
      </c>
      <c r="V13" s="79">
        <f t="shared" si="14"/>
        <v>10596</v>
      </c>
      <c r="W13" s="72">
        <v>12</v>
      </c>
      <c r="X13" s="79">
        <f t="shared" si="15"/>
        <v>-264.9</v>
      </c>
      <c r="Y13" s="79">
        <f t="shared" si="16"/>
        <v>-7946.999999999999</v>
      </c>
      <c r="Z13" s="126">
        <f t="shared" si="17"/>
        <v>2649.000000000001</v>
      </c>
      <c r="AA13" s="154" t="str">
        <f t="shared" si="18"/>
        <v>OK</v>
      </c>
      <c r="AF13" s="5"/>
      <c r="AG13" s="5"/>
      <c r="AH13" s="5"/>
    </row>
    <row r="14" spans="1:34" ht="12.75" customHeight="1">
      <c r="A14" s="115" t="s">
        <v>235</v>
      </c>
      <c r="B14" s="169">
        <v>29221</v>
      </c>
      <c r="C14" s="99"/>
      <c r="D14" s="72">
        <v>40</v>
      </c>
      <c r="E14" s="163">
        <v>10596</v>
      </c>
      <c r="F14" s="81">
        <v>0</v>
      </c>
      <c r="G14" s="79">
        <f t="shared" si="0"/>
        <v>10596</v>
      </c>
      <c r="H14" s="101">
        <f t="shared" si="1"/>
        <v>22.075</v>
      </c>
      <c r="I14" s="79">
        <f t="shared" si="2"/>
        <v>10596</v>
      </c>
      <c r="J14" s="76">
        <f t="shared" si="3"/>
        <v>336</v>
      </c>
      <c r="K14" s="79">
        <f t="shared" si="4"/>
        <v>-7417.2</v>
      </c>
      <c r="L14" s="101">
        <f t="shared" si="5"/>
        <v>3178.8</v>
      </c>
      <c r="M14" s="79">
        <f t="shared" si="6"/>
        <v>0</v>
      </c>
      <c r="N14" s="79">
        <f t="shared" si="7"/>
        <v>0</v>
      </c>
      <c r="O14" s="79">
        <f t="shared" si="8"/>
        <v>10596</v>
      </c>
      <c r="P14" s="72">
        <v>12</v>
      </c>
      <c r="Q14" s="79">
        <f t="shared" si="9"/>
        <v>-264.9</v>
      </c>
      <c r="R14" s="79">
        <f t="shared" si="10"/>
        <v>-7682.099999999999</v>
      </c>
      <c r="S14" s="101">
        <f t="shared" si="11"/>
        <v>2913.9000000000005</v>
      </c>
      <c r="T14" s="79">
        <f t="shared" si="12"/>
        <v>0</v>
      </c>
      <c r="U14" s="79">
        <f t="shared" si="13"/>
        <v>0</v>
      </c>
      <c r="V14" s="79">
        <f t="shared" si="14"/>
        <v>10596</v>
      </c>
      <c r="W14" s="72">
        <v>12</v>
      </c>
      <c r="X14" s="79">
        <f t="shared" si="15"/>
        <v>-264.9</v>
      </c>
      <c r="Y14" s="79">
        <f t="shared" si="16"/>
        <v>-7946.999999999999</v>
      </c>
      <c r="Z14" s="126">
        <f t="shared" si="17"/>
        <v>2649.000000000001</v>
      </c>
      <c r="AA14" s="154" t="str">
        <f t="shared" si="18"/>
        <v>OK</v>
      </c>
      <c r="AF14" s="5"/>
      <c r="AG14" s="5"/>
      <c r="AH14" s="5"/>
    </row>
    <row r="15" spans="1:34" ht="12.75" customHeight="1">
      <c r="A15" s="115" t="s">
        <v>236</v>
      </c>
      <c r="B15" s="169">
        <v>35796</v>
      </c>
      <c r="C15" s="99"/>
      <c r="D15" s="72">
        <v>40</v>
      </c>
      <c r="E15" s="163">
        <v>17444</v>
      </c>
      <c r="F15" s="81">
        <v>0</v>
      </c>
      <c r="G15" s="79">
        <f aca="true" t="shared" si="19" ref="G15:G31">+E15-F15</f>
        <v>17444</v>
      </c>
      <c r="H15" s="101">
        <f aca="true" t="shared" si="20" ref="H15:H31">+(E15-F15)/(D15*12)</f>
        <v>36.34166666666667</v>
      </c>
      <c r="I15" s="79">
        <f aca="true" t="shared" si="21" ref="I15:I31">IF(B15&lt;$I$5,E15,0)</f>
        <v>17444</v>
      </c>
      <c r="J15" s="76">
        <f aca="true" t="shared" si="22" ref="J15:J31">IF(B15&gt;$I$5,0,IF(($I$5-B15)/30.4375&gt;(D15*12),(D15*12),($I$5-B15)/30.4375))</f>
        <v>119.9835728952772</v>
      </c>
      <c r="K15" s="79">
        <f aca="true" t="shared" si="23" ref="K15:K31">IF(H15*J15&gt;I15,-I15,-H15*J15)</f>
        <v>-4360.403011635866</v>
      </c>
      <c r="L15" s="101">
        <f aca="true" t="shared" si="24" ref="L15:L31">+I15+K15</f>
        <v>13083.596988364134</v>
      </c>
      <c r="M15" s="79">
        <f aca="true" t="shared" si="25" ref="M15:M31">IF(AND($I$5&lt;B15,B15&lt;$M$5+1),E15,0)</f>
        <v>0</v>
      </c>
      <c r="N15" s="79">
        <f aca="true" t="shared" si="26" ref="N15:N31">IF(AND($I$5&lt;C15,C15&lt;$M$5+1),-E15,0)</f>
        <v>0</v>
      </c>
      <c r="O15" s="79">
        <f aca="true" t="shared" si="27" ref="O15:O31">+I15+M15+N15</f>
        <v>17444</v>
      </c>
      <c r="P15" s="72">
        <v>12</v>
      </c>
      <c r="Q15" s="79">
        <f aca="true" t="shared" si="28" ref="Q15:Q31">-H15*P15</f>
        <v>-436.1</v>
      </c>
      <c r="R15" s="79">
        <f aca="true" t="shared" si="29" ref="R15:R31">IF(O15=0,0,K15+Q15)</f>
        <v>-4796.503011635867</v>
      </c>
      <c r="S15" s="101">
        <f aca="true" t="shared" si="30" ref="S15:S31">+O15+R15</f>
        <v>12647.496988364133</v>
      </c>
      <c r="T15" s="79">
        <f aca="true" t="shared" si="31" ref="T15:T31">IF(AND($M$5&lt;B15,J15&lt;$T$5+1),E15,0)</f>
        <v>0</v>
      </c>
      <c r="U15" s="79">
        <f aca="true" t="shared" si="32" ref="U15:U31">IF(AND($M$5&lt;C15,C15&lt;$T$5+1),-E15,0)</f>
        <v>0</v>
      </c>
      <c r="V15" s="79">
        <f aca="true" t="shared" si="33" ref="V15:V31">+O15+T15+U15</f>
        <v>17444</v>
      </c>
      <c r="W15" s="72">
        <v>12</v>
      </c>
      <c r="X15" s="79">
        <f aca="true" t="shared" si="34" ref="X15:X31">-H15*W15</f>
        <v>-436.1</v>
      </c>
      <c r="Y15" s="79">
        <f aca="true" t="shared" si="35" ref="Y15:Y31">IF(V15=0,0,R15+X15)</f>
        <v>-5232.603011635867</v>
      </c>
      <c r="Z15" s="126">
        <f aca="true" t="shared" si="36" ref="Z15:Z31">+V15+Y15</f>
        <v>12211.396988364133</v>
      </c>
      <c r="AA15" s="154" t="str">
        <f aca="true" t="shared" si="37" ref="AA15:AA31">IF(J15+P15+W15&lt;((D15*12)+1),"OK","ERROR")</f>
        <v>OK</v>
      </c>
      <c r="AF15" s="5"/>
      <c r="AG15" s="5"/>
      <c r="AH15" s="5"/>
    </row>
    <row r="16" spans="1:34" ht="12.75" customHeight="1">
      <c r="A16" s="115" t="s">
        <v>237</v>
      </c>
      <c r="B16" s="169">
        <v>35796</v>
      </c>
      <c r="C16" s="99"/>
      <c r="D16" s="72">
        <v>40</v>
      </c>
      <c r="E16" s="163">
        <v>17444</v>
      </c>
      <c r="F16" s="81">
        <v>0</v>
      </c>
      <c r="G16" s="79">
        <f t="shared" si="19"/>
        <v>17444</v>
      </c>
      <c r="H16" s="101">
        <f t="shared" si="20"/>
        <v>36.34166666666667</v>
      </c>
      <c r="I16" s="79">
        <f t="shared" si="21"/>
        <v>17444</v>
      </c>
      <c r="J16" s="76">
        <f t="shared" si="22"/>
        <v>119.9835728952772</v>
      </c>
      <c r="K16" s="79">
        <f t="shared" si="23"/>
        <v>-4360.403011635866</v>
      </c>
      <c r="L16" s="101">
        <f t="shared" si="24"/>
        <v>13083.596988364134</v>
      </c>
      <c r="M16" s="79">
        <f t="shared" si="25"/>
        <v>0</v>
      </c>
      <c r="N16" s="79">
        <f t="shared" si="26"/>
        <v>0</v>
      </c>
      <c r="O16" s="79">
        <f t="shared" si="27"/>
        <v>17444</v>
      </c>
      <c r="P16" s="72">
        <v>12</v>
      </c>
      <c r="Q16" s="79">
        <f t="shared" si="28"/>
        <v>-436.1</v>
      </c>
      <c r="R16" s="79">
        <f t="shared" si="29"/>
        <v>-4796.503011635867</v>
      </c>
      <c r="S16" s="101">
        <f t="shared" si="30"/>
        <v>12647.496988364133</v>
      </c>
      <c r="T16" s="79">
        <f t="shared" si="31"/>
        <v>0</v>
      </c>
      <c r="U16" s="79">
        <f t="shared" si="32"/>
        <v>0</v>
      </c>
      <c r="V16" s="79">
        <f t="shared" si="33"/>
        <v>17444</v>
      </c>
      <c r="W16" s="72">
        <v>12</v>
      </c>
      <c r="X16" s="79">
        <f t="shared" si="34"/>
        <v>-436.1</v>
      </c>
      <c r="Y16" s="79">
        <f t="shared" si="35"/>
        <v>-5232.603011635867</v>
      </c>
      <c r="Z16" s="126">
        <f t="shared" si="36"/>
        <v>12211.396988364133</v>
      </c>
      <c r="AA16" s="154" t="str">
        <f t="shared" si="37"/>
        <v>OK</v>
      </c>
      <c r="AF16" s="5"/>
      <c r="AG16" s="5"/>
      <c r="AH16" s="5"/>
    </row>
    <row r="17" spans="1:34" ht="12.75" customHeight="1">
      <c r="A17" s="115" t="s">
        <v>238</v>
      </c>
      <c r="B17" s="169">
        <v>35796</v>
      </c>
      <c r="C17" s="99"/>
      <c r="D17" s="72">
        <v>40</v>
      </c>
      <c r="E17" s="163">
        <v>14574</v>
      </c>
      <c r="F17" s="81">
        <v>0</v>
      </c>
      <c r="G17" s="79">
        <f t="shared" si="19"/>
        <v>14574</v>
      </c>
      <c r="H17" s="101">
        <f t="shared" si="20"/>
        <v>30.3625</v>
      </c>
      <c r="I17" s="79">
        <f t="shared" si="21"/>
        <v>14574</v>
      </c>
      <c r="J17" s="76">
        <f t="shared" si="22"/>
        <v>119.9835728952772</v>
      </c>
      <c r="K17" s="79">
        <f t="shared" si="23"/>
        <v>-3643.001232032854</v>
      </c>
      <c r="L17" s="101">
        <f t="shared" si="24"/>
        <v>10930.998767967147</v>
      </c>
      <c r="M17" s="79">
        <f t="shared" si="25"/>
        <v>0</v>
      </c>
      <c r="N17" s="79">
        <f t="shared" si="26"/>
        <v>0</v>
      </c>
      <c r="O17" s="79">
        <f t="shared" si="27"/>
        <v>14574</v>
      </c>
      <c r="P17" s="72">
        <v>12</v>
      </c>
      <c r="Q17" s="79">
        <f t="shared" si="28"/>
        <v>-364.35</v>
      </c>
      <c r="R17" s="79">
        <f t="shared" si="29"/>
        <v>-4007.351232032854</v>
      </c>
      <c r="S17" s="101">
        <f t="shared" si="30"/>
        <v>10566.648767967146</v>
      </c>
      <c r="T17" s="79">
        <f t="shared" si="31"/>
        <v>0</v>
      </c>
      <c r="U17" s="79">
        <f t="shared" si="32"/>
        <v>0</v>
      </c>
      <c r="V17" s="79">
        <f t="shared" si="33"/>
        <v>14574</v>
      </c>
      <c r="W17" s="72">
        <v>12</v>
      </c>
      <c r="X17" s="79">
        <f t="shared" si="34"/>
        <v>-364.35</v>
      </c>
      <c r="Y17" s="79">
        <f t="shared" si="35"/>
        <v>-4371.701232032854</v>
      </c>
      <c r="Z17" s="126">
        <f t="shared" si="36"/>
        <v>10202.298767967146</v>
      </c>
      <c r="AA17" s="154" t="str">
        <f t="shared" si="37"/>
        <v>OK</v>
      </c>
      <c r="AF17" s="5"/>
      <c r="AG17" s="5"/>
      <c r="AH17" s="5"/>
    </row>
    <row r="18" spans="1:34" ht="12.75" customHeight="1">
      <c r="A18" s="115" t="s">
        <v>264</v>
      </c>
      <c r="B18" s="169">
        <v>27395</v>
      </c>
      <c r="C18" s="99"/>
      <c r="D18" s="72">
        <v>40</v>
      </c>
      <c r="E18" s="163">
        <v>1527</v>
      </c>
      <c r="F18" s="81">
        <v>0</v>
      </c>
      <c r="G18" s="79">
        <f t="shared" si="19"/>
        <v>1527</v>
      </c>
      <c r="H18" s="101">
        <f t="shared" si="20"/>
        <v>3.18125</v>
      </c>
      <c r="I18" s="79">
        <f t="shared" si="21"/>
        <v>1527</v>
      </c>
      <c r="J18" s="76">
        <f t="shared" si="22"/>
        <v>395.9917864476386</v>
      </c>
      <c r="K18" s="79">
        <f t="shared" si="23"/>
        <v>-1259.7488706365502</v>
      </c>
      <c r="L18" s="101">
        <f t="shared" si="24"/>
        <v>267.25112936344976</v>
      </c>
      <c r="M18" s="79">
        <f t="shared" si="25"/>
        <v>0</v>
      </c>
      <c r="N18" s="79">
        <f t="shared" si="26"/>
        <v>0</v>
      </c>
      <c r="O18" s="79">
        <f t="shared" si="27"/>
        <v>1527</v>
      </c>
      <c r="P18" s="72">
        <v>12</v>
      </c>
      <c r="Q18" s="79">
        <f t="shared" si="28"/>
        <v>-38.175</v>
      </c>
      <c r="R18" s="79">
        <f t="shared" si="29"/>
        <v>-1297.9238706365502</v>
      </c>
      <c r="S18" s="101">
        <f t="shared" si="30"/>
        <v>229.0761293634498</v>
      </c>
      <c r="T18" s="79">
        <f t="shared" si="31"/>
        <v>0</v>
      </c>
      <c r="U18" s="79">
        <f t="shared" si="32"/>
        <v>0</v>
      </c>
      <c r="V18" s="79">
        <f t="shared" si="33"/>
        <v>1527</v>
      </c>
      <c r="W18" s="72">
        <v>12</v>
      </c>
      <c r="X18" s="79">
        <f t="shared" si="34"/>
        <v>-38.175</v>
      </c>
      <c r="Y18" s="79">
        <f t="shared" si="35"/>
        <v>-1336.0988706365501</v>
      </c>
      <c r="Z18" s="126">
        <f t="shared" si="36"/>
        <v>190.90112936344985</v>
      </c>
      <c r="AA18" s="154" t="str">
        <f t="shared" si="37"/>
        <v>OK</v>
      </c>
      <c r="AF18" s="5"/>
      <c r="AG18" s="5"/>
      <c r="AH18" s="5"/>
    </row>
    <row r="19" spans="1:34" ht="12.75" customHeight="1">
      <c r="A19" s="115" t="s">
        <v>265</v>
      </c>
      <c r="B19" s="169">
        <v>27395</v>
      </c>
      <c r="C19" s="99"/>
      <c r="D19" s="72">
        <v>40</v>
      </c>
      <c r="E19" s="163">
        <v>1527</v>
      </c>
      <c r="F19" s="81">
        <v>0</v>
      </c>
      <c r="G19" s="79">
        <f t="shared" si="19"/>
        <v>1527</v>
      </c>
      <c r="H19" s="101">
        <f t="shared" si="20"/>
        <v>3.18125</v>
      </c>
      <c r="I19" s="79">
        <f t="shared" si="21"/>
        <v>1527</v>
      </c>
      <c r="J19" s="76">
        <f t="shared" si="22"/>
        <v>395.9917864476386</v>
      </c>
      <c r="K19" s="79">
        <f t="shared" si="23"/>
        <v>-1259.7488706365502</v>
      </c>
      <c r="L19" s="101">
        <f t="shared" si="24"/>
        <v>267.25112936344976</v>
      </c>
      <c r="M19" s="79">
        <f t="shared" si="25"/>
        <v>0</v>
      </c>
      <c r="N19" s="79">
        <f t="shared" si="26"/>
        <v>0</v>
      </c>
      <c r="O19" s="79">
        <f t="shared" si="27"/>
        <v>1527</v>
      </c>
      <c r="P19" s="72">
        <v>12</v>
      </c>
      <c r="Q19" s="79">
        <f t="shared" si="28"/>
        <v>-38.175</v>
      </c>
      <c r="R19" s="79">
        <f t="shared" si="29"/>
        <v>-1297.9238706365502</v>
      </c>
      <c r="S19" s="101">
        <f t="shared" si="30"/>
        <v>229.0761293634498</v>
      </c>
      <c r="T19" s="79">
        <f t="shared" si="31"/>
        <v>0</v>
      </c>
      <c r="U19" s="79">
        <f t="shared" si="32"/>
        <v>0</v>
      </c>
      <c r="V19" s="79">
        <f t="shared" si="33"/>
        <v>1527</v>
      </c>
      <c r="W19" s="72">
        <v>12</v>
      </c>
      <c r="X19" s="79">
        <f t="shared" si="34"/>
        <v>-38.175</v>
      </c>
      <c r="Y19" s="79">
        <f t="shared" si="35"/>
        <v>-1336.0988706365501</v>
      </c>
      <c r="Z19" s="126">
        <f t="shared" si="36"/>
        <v>190.90112936344985</v>
      </c>
      <c r="AA19" s="154" t="str">
        <f t="shared" si="37"/>
        <v>OK</v>
      </c>
      <c r="AF19" s="5"/>
      <c r="AG19" s="5"/>
      <c r="AH19" s="5"/>
    </row>
    <row r="20" spans="1:34" ht="12.75" customHeight="1">
      <c r="A20" s="115" t="s">
        <v>266</v>
      </c>
      <c r="B20" s="169">
        <v>27395</v>
      </c>
      <c r="C20" s="100"/>
      <c r="D20" s="72">
        <v>40</v>
      </c>
      <c r="E20" s="163">
        <v>1527</v>
      </c>
      <c r="F20" s="81">
        <v>0</v>
      </c>
      <c r="G20" s="79">
        <f t="shared" si="19"/>
        <v>1527</v>
      </c>
      <c r="H20" s="101">
        <f t="shared" si="20"/>
        <v>3.18125</v>
      </c>
      <c r="I20" s="79">
        <f t="shared" si="21"/>
        <v>1527</v>
      </c>
      <c r="J20" s="76">
        <f t="shared" si="22"/>
        <v>395.9917864476386</v>
      </c>
      <c r="K20" s="79">
        <f t="shared" si="23"/>
        <v>-1259.7488706365502</v>
      </c>
      <c r="L20" s="101">
        <f t="shared" si="24"/>
        <v>267.25112936344976</v>
      </c>
      <c r="M20" s="79">
        <f t="shared" si="25"/>
        <v>0</v>
      </c>
      <c r="N20" s="79">
        <f t="shared" si="26"/>
        <v>0</v>
      </c>
      <c r="O20" s="79">
        <f t="shared" si="27"/>
        <v>1527</v>
      </c>
      <c r="P20" s="72">
        <v>12</v>
      </c>
      <c r="Q20" s="79">
        <f t="shared" si="28"/>
        <v>-38.175</v>
      </c>
      <c r="R20" s="79">
        <f t="shared" si="29"/>
        <v>-1297.9238706365502</v>
      </c>
      <c r="S20" s="101">
        <f t="shared" si="30"/>
        <v>229.0761293634498</v>
      </c>
      <c r="T20" s="79">
        <f t="shared" si="31"/>
        <v>0</v>
      </c>
      <c r="U20" s="79">
        <f t="shared" si="32"/>
        <v>0</v>
      </c>
      <c r="V20" s="79">
        <f t="shared" si="33"/>
        <v>1527</v>
      </c>
      <c r="W20" s="72">
        <v>12</v>
      </c>
      <c r="X20" s="79">
        <f t="shared" si="34"/>
        <v>-38.175</v>
      </c>
      <c r="Y20" s="79">
        <f t="shared" si="35"/>
        <v>-1336.0988706365501</v>
      </c>
      <c r="Z20" s="126">
        <f t="shared" si="36"/>
        <v>190.90112936344985</v>
      </c>
      <c r="AA20" s="154" t="str">
        <f t="shared" si="37"/>
        <v>OK</v>
      </c>
      <c r="AF20" s="5"/>
      <c r="AG20" s="5"/>
      <c r="AH20" s="5"/>
    </row>
    <row r="21" spans="1:34" ht="12.75" customHeight="1">
      <c r="A21" s="115" t="s">
        <v>267</v>
      </c>
      <c r="B21" s="169">
        <v>27395</v>
      </c>
      <c r="C21" s="99"/>
      <c r="D21" s="72">
        <v>40</v>
      </c>
      <c r="E21" s="163">
        <v>1527</v>
      </c>
      <c r="F21" s="81">
        <v>0</v>
      </c>
      <c r="G21" s="79">
        <f t="shared" si="19"/>
        <v>1527</v>
      </c>
      <c r="H21" s="101">
        <f t="shared" si="20"/>
        <v>3.18125</v>
      </c>
      <c r="I21" s="79">
        <f t="shared" si="21"/>
        <v>1527</v>
      </c>
      <c r="J21" s="76">
        <f t="shared" si="22"/>
        <v>395.9917864476386</v>
      </c>
      <c r="K21" s="79">
        <f t="shared" si="23"/>
        <v>-1259.7488706365502</v>
      </c>
      <c r="L21" s="101">
        <f t="shared" si="24"/>
        <v>267.25112936344976</v>
      </c>
      <c r="M21" s="79">
        <f t="shared" si="25"/>
        <v>0</v>
      </c>
      <c r="N21" s="79">
        <f t="shared" si="26"/>
        <v>0</v>
      </c>
      <c r="O21" s="79">
        <f t="shared" si="27"/>
        <v>1527</v>
      </c>
      <c r="P21" s="72">
        <v>12</v>
      </c>
      <c r="Q21" s="79">
        <f t="shared" si="28"/>
        <v>-38.175</v>
      </c>
      <c r="R21" s="79">
        <f t="shared" si="29"/>
        <v>-1297.9238706365502</v>
      </c>
      <c r="S21" s="101">
        <f t="shared" si="30"/>
        <v>229.0761293634498</v>
      </c>
      <c r="T21" s="79">
        <f t="shared" si="31"/>
        <v>0</v>
      </c>
      <c r="U21" s="79">
        <f t="shared" si="32"/>
        <v>0</v>
      </c>
      <c r="V21" s="79">
        <f t="shared" si="33"/>
        <v>1527</v>
      </c>
      <c r="W21" s="72">
        <v>12</v>
      </c>
      <c r="X21" s="79">
        <f t="shared" si="34"/>
        <v>-38.175</v>
      </c>
      <c r="Y21" s="79">
        <f t="shared" si="35"/>
        <v>-1336.0988706365501</v>
      </c>
      <c r="Z21" s="126">
        <f t="shared" si="36"/>
        <v>190.90112936344985</v>
      </c>
      <c r="AA21" s="154" t="str">
        <f t="shared" si="37"/>
        <v>OK</v>
      </c>
      <c r="AF21" s="5"/>
      <c r="AG21" s="5"/>
      <c r="AH21" s="5"/>
    </row>
    <row r="22" spans="1:34" ht="12.75" customHeight="1">
      <c r="A22" s="115" t="s">
        <v>268</v>
      </c>
      <c r="B22" s="169">
        <v>27395</v>
      </c>
      <c r="C22" s="100"/>
      <c r="D22" s="72">
        <v>40</v>
      </c>
      <c r="E22" s="163">
        <v>763.45</v>
      </c>
      <c r="F22" s="81">
        <v>0</v>
      </c>
      <c r="G22" s="79">
        <f t="shared" si="19"/>
        <v>763.45</v>
      </c>
      <c r="H22" s="101">
        <f t="shared" si="20"/>
        <v>1.5905208333333334</v>
      </c>
      <c r="I22" s="79">
        <f t="shared" si="21"/>
        <v>763.45</v>
      </c>
      <c r="J22" s="76">
        <f t="shared" si="22"/>
        <v>395.9917864476386</v>
      </c>
      <c r="K22" s="79">
        <f t="shared" si="23"/>
        <v>-629.8331861738536</v>
      </c>
      <c r="L22" s="101">
        <f t="shared" si="24"/>
        <v>133.61681382614643</v>
      </c>
      <c r="M22" s="79">
        <f t="shared" si="25"/>
        <v>0</v>
      </c>
      <c r="N22" s="79">
        <f t="shared" si="26"/>
        <v>0</v>
      </c>
      <c r="O22" s="79">
        <f t="shared" si="27"/>
        <v>763.45</v>
      </c>
      <c r="P22" s="72">
        <v>12</v>
      </c>
      <c r="Q22" s="79">
        <f t="shared" si="28"/>
        <v>-19.08625</v>
      </c>
      <c r="R22" s="79">
        <f t="shared" si="29"/>
        <v>-648.9194361738536</v>
      </c>
      <c r="S22" s="101">
        <f t="shared" si="30"/>
        <v>114.53056382614648</v>
      </c>
      <c r="T22" s="79">
        <f t="shared" si="31"/>
        <v>0</v>
      </c>
      <c r="U22" s="79">
        <f t="shared" si="32"/>
        <v>0</v>
      </c>
      <c r="V22" s="79">
        <f t="shared" si="33"/>
        <v>763.45</v>
      </c>
      <c r="W22" s="72">
        <v>12</v>
      </c>
      <c r="X22" s="79">
        <f t="shared" si="34"/>
        <v>-19.08625</v>
      </c>
      <c r="Y22" s="79">
        <f t="shared" si="35"/>
        <v>-668.0056861738535</v>
      </c>
      <c r="Z22" s="126">
        <f t="shared" si="36"/>
        <v>95.44431382614653</v>
      </c>
      <c r="AA22" s="154" t="str">
        <f t="shared" si="37"/>
        <v>OK</v>
      </c>
      <c r="AF22" s="5"/>
      <c r="AG22" s="5"/>
      <c r="AH22" s="5"/>
    </row>
    <row r="23" spans="1:34" ht="12.75" customHeight="1">
      <c r="A23" s="115" t="s">
        <v>269</v>
      </c>
      <c r="B23" s="169">
        <v>28491</v>
      </c>
      <c r="C23" s="100"/>
      <c r="D23" s="72">
        <v>40</v>
      </c>
      <c r="E23" s="163">
        <v>17823</v>
      </c>
      <c r="F23" s="81">
        <v>0</v>
      </c>
      <c r="G23" s="79">
        <f t="shared" si="19"/>
        <v>17823</v>
      </c>
      <c r="H23" s="101">
        <f t="shared" si="20"/>
        <v>37.13125</v>
      </c>
      <c r="I23" s="79">
        <f t="shared" si="21"/>
        <v>17823</v>
      </c>
      <c r="J23" s="76">
        <f t="shared" si="22"/>
        <v>359.98357289527723</v>
      </c>
      <c r="K23" s="79">
        <f t="shared" si="23"/>
        <v>-13366.640041067763</v>
      </c>
      <c r="L23" s="101">
        <f t="shared" si="24"/>
        <v>4456.359958932237</v>
      </c>
      <c r="M23" s="79">
        <f t="shared" si="25"/>
        <v>0</v>
      </c>
      <c r="N23" s="79">
        <f t="shared" si="26"/>
        <v>0</v>
      </c>
      <c r="O23" s="79">
        <f t="shared" si="27"/>
        <v>17823</v>
      </c>
      <c r="P23" s="72">
        <v>12</v>
      </c>
      <c r="Q23" s="79">
        <f t="shared" si="28"/>
        <v>-445.57500000000005</v>
      </c>
      <c r="R23" s="79">
        <f t="shared" si="29"/>
        <v>-13812.215041067764</v>
      </c>
      <c r="S23" s="101">
        <f t="shared" si="30"/>
        <v>4010.784958932236</v>
      </c>
      <c r="T23" s="79">
        <f t="shared" si="31"/>
        <v>0</v>
      </c>
      <c r="U23" s="79">
        <f t="shared" si="32"/>
        <v>0</v>
      </c>
      <c r="V23" s="79">
        <f t="shared" si="33"/>
        <v>17823</v>
      </c>
      <c r="W23" s="72">
        <v>12</v>
      </c>
      <c r="X23" s="79">
        <f t="shared" si="34"/>
        <v>-445.57500000000005</v>
      </c>
      <c r="Y23" s="79">
        <f t="shared" si="35"/>
        <v>-14257.790041067765</v>
      </c>
      <c r="Z23" s="126">
        <f t="shared" si="36"/>
        <v>3565.209958932235</v>
      </c>
      <c r="AA23" s="154" t="str">
        <f t="shared" si="37"/>
        <v>OK</v>
      </c>
      <c r="AF23" s="5"/>
      <c r="AG23" s="5"/>
      <c r="AH23" s="5"/>
    </row>
    <row r="24" spans="1:34" ht="12.75" customHeight="1">
      <c r="A24" s="115" t="s">
        <v>239</v>
      </c>
      <c r="B24" s="169">
        <v>35796</v>
      </c>
      <c r="C24" s="100"/>
      <c r="D24" s="72">
        <v>40</v>
      </c>
      <c r="E24" s="163">
        <v>8722</v>
      </c>
      <c r="F24" s="81">
        <v>0</v>
      </c>
      <c r="G24" s="79">
        <f t="shared" si="19"/>
        <v>8722</v>
      </c>
      <c r="H24" s="101">
        <f t="shared" si="20"/>
        <v>18.170833333333334</v>
      </c>
      <c r="I24" s="79">
        <f t="shared" si="21"/>
        <v>8722</v>
      </c>
      <c r="J24" s="76">
        <f t="shared" si="22"/>
        <v>119.9835728952772</v>
      </c>
      <c r="K24" s="79">
        <f t="shared" si="23"/>
        <v>-2180.201505817933</v>
      </c>
      <c r="L24" s="101">
        <f t="shared" si="24"/>
        <v>6541.798494182067</v>
      </c>
      <c r="M24" s="79">
        <f t="shared" si="25"/>
        <v>0</v>
      </c>
      <c r="N24" s="79">
        <f t="shared" si="26"/>
        <v>0</v>
      </c>
      <c r="O24" s="79">
        <f t="shared" si="27"/>
        <v>8722</v>
      </c>
      <c r="P24" s="72">
        <v>12</v>
      </c>
      <c r="Q24" s="79">
        <f t="shared" si="28"/>
        <v>-218.05</v>
      </c>
      <c r="R24" s="79">
        <f t="shared" si="29"/>
        <v>-2398.2515058179333</v>
      </c>
      <c r="S24" s="101">
        <f t="shared" si="30"/>
        <v>6323.748494182067</v>
      </c>
      <c r="T24" s="79">
        <f t="shared" si="31"/>
        <v>0</v>
      </c>
      <c r="U24" s="79">
        <f t="shared" si="32"/>
        <v>0</v>
      </c>
      <c r="V24" s="79">
        <f t="shared" si="33"/>
        <v>8722</v>
      </c>
      <c r="W24" s="72">
        <v>12</v>
      </c>
      <c r="X24" s="79">
        <f t="shared" si="34"/>
        <v>-218.05</v>
      </c>
      <c r="Y24" s="79">
        <f t="shared" si="35"/>
        <v>-2616.3015058179335</v>
      </c>
      <c r="Z24" s="126">
        <f t="shared" si="36"/>
        <v>6105.6984941820665</v>
      </c>
      <c r="AA24" s="154" t="str">
        <f t="shared" si="37"/>
        <v>OK</v>
      </c>
      <c r="AF24" s="5"/>
      <c r="AG24" s="5"/>
      <c r="AH24" s="5"/>
    </row>
    <row r="25" spans="1:34" ht="12.75" customHeight="1">
      <c r="A25" s="115" t="s">
        <v>240</v>
      </c>
      <c r="B25" s="169">
        <v>27395</v>
      </c>
      <c r="C25" s="99"/>
      <c r="D25" s="72">
        <v>40</v>
      </c>
      <c r="E25" s="163">
        <v>5965</v>
      </c>
      <c r="F25" s="81">
        <v>0</v>
      </c>
      <c r="G25" s="79">
        <f t="shared" si="19"/>
        <v>5965</v>
      </c>
      <c r="H25" s="101">
        <f t="shared" si="20"/>
        <v>12.427083333333334</v>
      </c>
      <c r="I25" s="79">
        <f t="shared" si="21"/>
        <v>5965</v>
      </c>
      <c r="J25" s="76">
        <f t="shared" si="22"/>
        <v>395.9917864476386</v>
      </c>
      <c r="K25" s="79">
        <f t="shared" si="23"/>
        <v>-4921.022929500343</v>
      </c>
      <c r="L25" s="101">
        <f t="shared" si="24"/>
        <v>1043.9770704996572</v>
      </c>
      <c r="M25" s="79">
        <f t="shared" si="25"/>
        <v>0</v>
      </c>
      <c r="N25" s="79">
        <f t="shared" si="26"/>
        <v>0</v>
      </c>
      <c r="O25" s="79">
        <f t="shared" si="27"/>
        <v>5965</v>
      </c>
      <c r="P25" s="72">
        <v>12</v>
      </c>
      <c r="Q25" s="79">
        <f t="shared" si="28"/>
        <v>-149.125</v>
      </c>
      <c r="R25" s="79">
        <f t="shared" si="29"/>
        <v>-5070.147929500343</v>
      </c>
      <c r="S25" s="101">
        <f t="shared" si="30"/>
        <v>894.8520704996572</v>
      </c>
      <c r="T25" s="79">
        <f t="shared" si="31"/>
        <v>0</v>
      </c>
      <c r="U25" s="79">
        <f t="shared" si="32"/>
        <v>0</v>
      </c>
      <c r="V25" s="79">
        <f t="shared" si="33"/>
        <v>5965</v>
      </c>
      <c r="W25" s="72">
        <v>12</v>
      </c>
      <c r="X25" s="79">
        <f t="shared" si="34"/>
        <v>-149.125</v>
      </c>
      <c r="Y25" s="79">
        <f t="shared" si="35"/>
        <v>-5219.272929500343</v>
      </c>
      <c r="Z25" s="126">
        <f t="shared" si="36"/>
        <v>745.7270704996572</v>
      </c>
      <c r="AA25" s="154" t="str">
        <f t="shared" si="37"/>
        <v>OK</v>
      </c>
      <c r="AF25" s="5"/>
      <c r="AG25" s="5"/>
      <c r="AH25" s="5"/>
    </row>
    <row r="26" spans="1:34" ht="12.75" customHeight="1">
      <c r="A26" s="115" t="s">
        <v>241</v>
      </c>
      <c r="B26" s="169">
        <v>27395</v>
      </c>
      <c r="C26" s="73"/>
      <c r="D26" s="72">
        <v>40</v>
      </c>
      <c r="E26" s="163">
        <v>5965</v>
      </c>
      <c r="F26" s="81">
        <v>0</v>
      </c>
      <c r="G26" s="79">
        <f t="shared" si="19"/>
        <v>5965</v>
      </c>
      <c r="H26" s="101">
        <f t="shared" si="20"/>
        <v>12.427083333333334</v>
      </c>
      <c r="I26" s="79">
        <f t="shared" si="21"/>
        <v>5965</v>
      </c>
      <c r="J26" s="76">
        <f t="shared" si="22"/>
        <v>395.9917864476386</v>
      </c>
      <c r="K26" s="79">
        <f t="shared" si="23"/>
        <v>-4921.022929500343</v>
      </c>
      <c r="L26" s="101">
        <f t="shared" si="24"/>
        <v>1043.9770704996572</v>
      </c>
      <c r="M26" s="79">
        <f t="shared" si="25"/>
        <v>0</v>
      </c>
      <c r="N26" s="79">
        <f t="shared" si="26"/>
        <v>0</v>
      </c>
      <c r="O26" s="79">
        <f t="shared" si="27"/>
        <v>5965</v>
      </c>
      <c r="P26" s="72">
        <v>12</v>
      </c>
      <c r="Q26" s="79">
        <f t="shared" si="28"/>
        <v>-149.125</v>
      </c>
      <c r="R26" s="79">
        <f t="shared" si="29"/>
        <v>-5070.147929500343</v>
      </c>
      <c r="S26" s="101">
        <f t="shared" si="30"/>
        <v>894.8520704996572</v>
      </c>
      <c r="T26" s="79">
        <f t="shared" si="31"/>
        <v>0</v>
      </c>
      <c r="U26" s="79">
        <f t="shared" si="32"/>
        <v>0</v>
      </c>
      <c r="V26" s="79">
        <f t="shared" si="33"/>
        <v>5965</v>
      </c>
      <c r="W26" s="72">
        <v>12</v>
      </c>
      <c r="X26" s="79">
        <f t="shared" si="34"/>
        <v>-149.125</v>
      </c>
      <c r="Y26" s="79">
        <f t="shared" si="35"/>
        <v>-5219.272929500343</v>
      </c>
      <c r="Z26" s="126">
        <f t="shared" si="36"/>
        <v>745.7270704996572</v>
      </c>
      <c r="AA26" s="154" t="str">
        <f t="shared" si="37"/>
        <v>OK</v>
      </c>
      <c r="AF26" s="5"/>
      <c r="AG26" s="5"/>
      <c r="AH26" s="5"/>
    </row>
    <row r="27" spans="1:34" ht="12.75" customHeight="1">
      <c r="A27" s="115" t="s">
        <v>242</v>
      </c>
      <c r="B27" s="169">
        <v>27395</v>
      </c>
      <c r="C27" s="73"/>
      <c r="D27" s="72">
        <v>40</v>
      </c>
      <c r="E27" s="163">
        <v>5965</v>
      </c>
      <c r="F27" s="81">
        <v>0</v>
      </c>
      <c r="G27" s="79">
        <f t="shared" si="19"/>
        <v>5965</v>
      </c>
      <c r="H27" s="101">
        <f t="shared" si="20"/>
        <v>12.427083333333334</v>
      </c>
      <c r="I27" s="79">
        <f t="shared" si="21"/>
        <v>5965</v>
      </c>
      <c r="J27" s="76">
        <f t="shared" si="22"/>
        <v>395.9917864476386</v>
      </c>
      <c r="K27" s="79">
        <f t="shared" si="23"/>
        <v>-4921.022929500343</v>
      </c>
      <c r="L27" s="101">
        <f t="shared" si="24"/>
        <v>1043.9770704996572</v>
      </c>
      <c r="M27" s="79">
        <f t="shared" si="25"/>
        <v>0</v>
      </c>
      <c r="N27" s="79">
        <f t="shared" si="26"/>
        <v>0</v>
      </c>
      <c r="O27" s="79">
        <f t="shared" si="27"/>
        <v>5965</v>
      </c>
      <c r="P27" s="72">
        <v>12</v>
      </c>
      <c r="Q27" s="79">
        <f t="shared" si="28"/>
        <v>-149.125</v>
      </c>
      <c r="R27" s="79">
        <f t="shared" si="29"/>
        <v>-5070.147929500343</v>
      </c>
      <c r="S27" s="101">
        <f t="shared" si="30"/>
        <v>894.8520704996572</v>
      </c>
      <c r="T27" s="79">
        <f t="shared" si="31"/>
        <v>0</v>
      </c>
      <c r="U27" s="79">
        <f t="shared" si="32"/>
        <v>0</v>
      </c>
      <c r="V27" s="79">
        <f t="shared" si="33"/>
        <v>5965</v>
      </c>
      <c r="W27" s="72">
        <v>12</v>
      </c>
      <c r="X27" s="79">
        <f t="shared" si="34"/>
        <v>-149.125</v>
      </c>
      <c r="Y27" s="79">
        <f t="shared" si="35"/>
        <v>-5219.272929500343</v>
      </c>
      <c r="Z27" s="126">
        <f t="shared" si="36"/>
        <v>745.7270704996572</v>
      </c>
      <c r="AA27" s="154" t="str">
        <f t="shared" si="37"/>
        <v>OK</v>
      </c>
      <c r="AF27" s="5"/>
      <c r="AG27" s="5"/>
      <c r="AH27" s="5"/>
    </row>
    <row r="28" spans="1:34" ht="12.75" customHeight="1">
      <c r="A28" s="115" t="s">
        <v>243</v>
      </c>
      <c r="B28" s="169">
        <v>27395</v>
      </c>
      <c r="C28" s="100"/>
      <c r="D28" s="72">
        <v>40</v>
      </c>
      <c r="E28" s="163">
        <v>5965</v>
      </c>
      <c r="F28" s="81">
        <v>0</v>
      </c>
      <c r="G28" s="79">
        <f t="shared" si="19"/>
        <v>5965</v>
      </c>
      <c r="H28" s="101">
        <f t="shared" si="20"/>
        <v>12.427083333333334</v>
      </c>
      <c r="I28" s="79">
        <f t="shared" si="21"/>
        <v>5965</v>
      </c>
      <c r="J28" s="76">
        <f t="shared" si="22"/>
        <v>395.9917864476386</v>
      </c>
      <c r="K28" s="79">
        <f t="shared" si="23"/>
        <v>-4921.022929500343</v>
      </c>
      <c r="L28" s="101">
        <f t="shared" si="24"/>
        <v>1043.9770704996572</v>
      </c>
      <c r="M28" s="79">
        <f t="shared" si="25"/>
        <v>0</v>
      </c>
      <c r="N28" s="79">
        <f t="shared" si="26"/>
        <v>0</v>
      </c>
      <c r="O28" s="79">
        <f t="shared" si="27"/>
        <v>5965</v>
      </c>
      <c r="P28" s="72">
        <v>12</v>
      </c>
      <c r="Q28" s="79">
        <f t="shared" si="28"/>
        <v>-149.125</v>
      </c>
      <c r="R28" s="79">
        <f t="shared" si="29"/>
        <v>-5070.147929500343</v>
      </c>
      <c r="S28" s="101">
        <f t="shared" si="30"/>
        <v>894.8520704996572</v>
      </c>
      <c r="T28" s="79">
        <f t="shared" si="31"/>
        <v>0</v>
      </c>
      <c r="U28" s="79">
        <f t="shared" si="32"/>
        <v>0</v>
      </c>
      <c r="V28" s="79">
        <f t="shared" si="33"/>
        <v>5965</v>
      </c>
      <c r="W28" s="72">
        <v>12</v>
      </c>
      <c r="X28" s="79">
        <f t="shared" si="34"/>
        <v>-149.125</v>
      </c>
      <c r="Y28" s="79">
        <f t="shared" si="35"/>
        <v>-5219.272929500343</v>
      </c>
      <c r="Z28" s="126">
        <f t="shared" si="36"/>
        <v>745.7270704996572</v>
      </c>
      <c r="AA28" s="154" t="str">
        <f t="shared" si="37"/>
        <v>OK</v>
      </c>
      <c r="AF28" s="5"/>
      <c r="AG28" s="5"/>
      <c r="AH28" s="5"/>
    </row>
    <row r="29" spans="1:34" ht="12.75" customHeight="1">
      <c r="A29" s="115" t="s">
        <v>244</v>
      </c>
      <c r="B29" s="169">
        <v>27395</v>
      </c>
      <c r="C29" s="99"/>
      <c r="D29" s="72">
        <v>40</v>
      </c>
      <c r="E29" s="163">
        <v>5965</v>
      </c>
      <c r="F29" s="81">
        <v>0</v>
      </c>
      <c r="G29" s="79">
        <f t="shared" si="19"/>
        <v>5965</v>
      </c>
      <c r="H29" s="101">
        <f t="shared" si="20"/>
        <v>12.427083333333334</v>
      </c>
      <c r="I29" s="79">
        <f t="shared" si="21"/>
        <v>5965</v>
      </c>
      <c r="J29" s="76">
        <f t="shared" si="22"/>
        <v>395.9917864476386</v>
      </c>
      <c r="K29" s="79">
        <f t="shared" si="23"/>
        <v>-4921.022929500343</v>
      </c>
      <c r="L29" s="101">
        <f t="shared" si="24"/>
        <v>1043.9770704996572</v>
      </c>
      <c r="M29" s="79">
        <f t="shared" si="25"/>
        <v>0</v>
      </c>
      <c r="N29" s="79">
        <f t="shared" si="26"/>
        <v>0</v>
      </c>
      <c r="O29" s="79">
        <f t="shared" si="27"/>
        <v>5965</v>
      </c>
      <c r="P29" s="72">
        <v>12</v>
      </c>
      <c r="Q29" s="79">
        <f t="shared" si="28"/>
        <v>-149.125</v>
      </c>
      <c r="R29" s="79">
        <f t="shared" si="29"/>
        <v>-5070.147929500343</v>
      </c>
      <c r="S29" s="101">
        <f t="shared" si="30"/>
        <v>894.8520704996572</v>
      </c>
      <c r="T29" s="79">
        <f t="shared" si="31"/>
        <v>0</v>
      </c>
      <c r="U29" s="79">
        <f t="shared" si="32"/>
        <v>0</v>
      </c>
      <c r="V29" s="79">
        <f t="shared" si="33"/>
        <v>5965</v>
      </c>
      <c r="W29" s="72">
        <v>12</v>
      </c>
      <c r="X29" s="79">
        <f t="shared" si="34"/>
        <v>-149.125</v>
      </c>
      <c r="Y29" s="79">
        <f t="shared" si="35"/>
        <v>-5219.272929500343</v>
      </c>
      <c r="Z29" s="126">
        <f t="shared" si="36"/>
        <v>745.7270704996572</v>
      </c>
      <c r="AA29" s="154" t="str">
        <f t="shared" si="37"/>
        <v>OK</v>
      </c>
      <c r="AF29" s="5"/>
      <c r="AG29" s="5"/>
      <c r="AH29" s="5"/>
    </row>
    <row r="30" spans="1:34" ht="12.75" customHeight="1">
      <c r="A30" s="115" t="s">
        <v>245</v>
      </c>
      <c r="B30" s="169">
        <v>27395</v>
      </c>
      <c r="C30" s="99"/>
      <c r="D30" s="72">
        <v>40</v>
      </c>
      <c r="E30" s="163">
        <v>5965</v>
      </c>
      <c r="F30" s="81">
        <v>0</v>
      </c>
      <c r="G30" s="79">
        <f t="shared" si="19"/>
        <v>5965</v>
      </c>
      <c r="H30" s="101">
        <f t="shared" si="20"/>
        <v>12.427083333333334</v>
      </c>
      <c r="I30" s="79">
        <f t="shared" si="21"/>
        <v>5965</v>
      </c>
      <c r="J30" s="76">
        <f t="shared" si="22"/>
        <v>395.9917864476386</v>
      </c>
      <c r="K30" s="79">
        <f t="shared" si="23"/>
        <v>-4921.022929500343</v>
      </c>
      <c r="L30" s="101">
        <f t="shared" si="24"/>
        <v>1043.9770704996572</v>
      </c>
      <c r="M30" s="79">
        <f t="shared" si="25"/>
        <v>0</v>
      </c>
      <c r="N30" s="79">
        <f t="shared" si="26"/>
        <v>0</v>
      </c>
      <c r="O30" s="79">
        <f t="shared" si="27"/>
        <v>5965</v>
      </c>
      <c r="P30" s="72">
        <v>12</v>
      </c>
      <c r="Q30" s="79">
        <f t="shared" si="28"/>
        <v>-149.125</v>
      </c>
      <c r="R30" s="79">
        <f t="shared" si="29"/>
        <v>-5070.147929500343</v>
      </c>
      <c r="S30" s="101">
        <f t="shared" si="30"/>
        <v>894.8520704996572</v>
      </c>
      <c r="T30" s="79">
        <f t="shared" si="31"/>
        <v>0</v>
      </c>
      <c r="U30" s="79">
        <f t="shared" si="32"/>
        <v>0</v>
      </c>
      <c r="V30" s="79">
        <f t="shared" si="33"/>
        <v>5965</v>
      </c>
      <c r="W30" s="72">
        <v>12</v>
      </c>
      <c r="X30" s="79">
        <f t="shared" si="34"/>
        <v>-149.125</v>
      </c>
      <c r="Y30" s="79">
        <f t="shared" si="35"/>
        <v>-5219.272929500343</v>
      </c>
      <c r="Z30" s="126">
        <f t="shared" si="36"/>
        <v>745.7270704996572</v>
      </c>
      <c r="AA30" s="154" t="str">
        <f t="shared" si="37"/>
        <v>OK</v>
      </c>
      <c r="AF30" s="5"/>
      <c r="AG30" s="5"/>
      <c r="AH30" s="5"/>
    </row>
    <row r="31" spans="1:34" ht="12.75" customHeight="1">
      <c r="A31" s="115" t="s">
        <v>246</v>
      </c>
      <c r="B31" s="169">
        <v>27395</v>
      </c>
      <c r="C31" s="99"/>
      <c r="D31" s="72">
        <v>40</v>
      </c>
      <c r="E31" s="163">
        <v>4983</v>
      </c>
      <c r="F31" s="81">
        <v>0</v>
      </c>
      <c r="G31" s="79">
        <f t="shared" si="19"/>
        <v>4983</v>
      </c>
      <c r="H31" s="101">
        <f t="shared" si="20"/>
        <v>10.38125</v>
      </c>
      <c r="I31" s="79">
        <f t="shared" si="21"/>
        <v>4983</v>
      </c>
      <c r="J31" s="76">
        <f t="shared" si="22"/>
        <v>395.9917864476386</v>
      </c>
      <c r="K31" s="79">
        <f t="shared" si="23"/>
        <v>-4110.889733059548</v>
      </c>
      <c r="L31" s="101">
        <f t="shared" si="24"/>
        <v>872.1102669404518</v>
      </c>
      <c r="M31" s="79">
        <f t="shared" si="25"/>
        <v>0</v>
      </c>
      <c r="N31" s="79">
        <f t="shared" si="26"/>
        <v>0</v>
      </c>
      <c r="O31" s="79">
        <f t="shared" si="27"/>
        <v>4983</v>
      </c>
      <c r="P31" s="72">
        <v>12</v>
      </c>
      <c r="Q31" s="79">
        <f t="shared" si="28"/>
        <v>-124.57499999999999</v>
      </c>
      <c r="R31" s="79">
        <f t="shared" si="29"/>
        <v>-4235.464733059548</v>
      </c>
      <c r="S31" s="101">
        <f t="shared" si="30"/>
        <v>747.535266940452</v>
      </c>
      <c r="T31" s="79">
        <f t="shared" si="31"/>
        <v>0</v>
      </c>
      <c r="U31" s="79">
        <f t="shared" si="32"/>
        <v>0</v>
      </c>
      <c r="V31" s="79">
        <f t="shared" si="33"/>
        <v>4983</v>
      </c>
      <c r="W31" s="72">
        <v>12</v>
      </c>
      <c r="X31" s="79">
        <f t="shared" si="34"/>
        <v>-124.57499999999999</v>
      </c>
      <c r="Y31" s="79">
        <f t="shared" si="35"/>
        <v>-4360.039733059548</v>
      </c>
      <c r="Z31" s="126">
        <f t="shared" si="36"/>
        <v>622.9602669404521</v>
      </c>
      <c r="AA31" s="154" t="str">
        <f t="shared" si="37"/>
        <v>OK</v>
      </c>
      <c r="AF31" s="5"/>
      <c r="AG31" s="5"/>
      <c r="AH31" s="5"/>
    </row>
    <row r="32" spans="1:34" ht="13.5" customHeight="1">
      <c r="A32" s="115" t="s">
        <v>270</v>
      </c>
      <c r="B32" s="169">
        <v>27395</v>
      </c>
      <c r="C32" s="99"/>
      <c r="D32" s="72">
        <v>40</v>
      </c>
      <c r="E32" s="163">
        <v>1527</v>
      </c>
      <c r="F32" s="81">
        <v>0</v>
      </c>
      <c r="G32" s="79">
        <f t="shared" si="0"/>
        <v>1527</v>
      </c>
      <c r="H32" s="101">
        <f t="shared" si="1"/>
        <v>3.18125</v>
      </c>
      <c r="I32" s="79">
        <f t="shared" si="2"/>
        <v>1527</v>
      </c>
      <c r="J32" s="76">
        <f t="shared" si="3"/>
        <v>395.9917864476386</v>
      </c>
      <c r="K32" s="79">
        <f t="shared" si="4"/>
        <v>-1259.7488706365502</v>
      </c>
      <c r="L32" s="101">
        <f t="shared" si="5"/>
        <v>267.25112936344976</v>
      </c>
      <c r="M32" s="79">
        <f t="shared" si="6"/>
        <v>0</v>
      </c>
      <c r="N32" s="79">
        <f t="shared" si="7"/>
        <v>0</v>
      </c>
      <c r="O32" s="79">
        <f t="shared" si="8"/>
        <v>1527</v>
      </c>
      <c r="P32" s="72">
        <v>12</v>
      </c>
      <c r="Q32" s="79">
        <f t="shared" si="9"/>
        <v>-38.175</v>
      </c>
      <c r="R32" s="79">
        <f t="shared" si="10"/>
        <v>-1297.9238706365502</v>
      </c>
      <c r="S32" s="101">
        <f t="shared" si="11"/>
        <v>229.0761293634498</v>
      </c>
      <c r="T32" s="79">
        <f t="shared" si="12"/>
        <v>0</v>
      </c>
      <c r="U32" s="79">
        <f t="shared" si="13"/>
        <v>0</v>
      </c>
      <c r="V32" s="79">
        <f t="shared" si="14"/>
        <v>1527</v>
      </c>
      <c r="W32" s="72">
        <v>12</v>
      </c>
      <c r="X32" s="79">
        <f t="shared" si="15"/>
        <v>-38.175</v>
      </c>
      <c r="Y32" s="79">
        <f t="shared" si="16"/>
        <v>-1336.0988706365501</v>
      </c>
      <c r="Z32" s="126">
        <f t="shared" si="17"/>
        <v>190.90112936344985</v>
      </c>
      <c r="AA32" s="154" t="str">
        <f t="shared" si="18"/>
        <v>OK</v>
      </c>
      <c r="AF32" s="5"/>
      <c r="AG32" s="5"/>
      <c r="AH32" s="5"/>
    </row>
    <row r="33" spans="1:34" ht="13.5" customHeight="1">
      <c r="A33" s="115" t="s">
        <v>271</v>
      </c>
      <c r="B33" s="169">
        <v>27395</v>
      </c>
      <c r="C33" s="99"/>
      <c r="D33" s="72">
        <v>40</v>
      </c>
      <c r="E33" s="163">
        <v>1527</v>
      </c>
      <c r="F33" s="81">
        <v>0</v>
      </c>
      <c r="G33" s="79">
        <f t="shared" si="0"/>
        <v>1527</v>
      </c>
      <c r="H33" s="101">
        <f t="shared" si="1"/>
        <v>3.18125</v>
      </c>
      <c r="I33" s="79">
        <f t="shared" si="2"/>
        <v>1527</v>
      </c>
      <c r="J33" s="76">
        <f t="shared" si="3"/>
        <v>395.9917864476386</v>
      </c>
      <c r="K33" s="79">
        <f t="shared" si="4"/>
        <v>-1259.7488706365502</v>
      </c>
      <c r="L33" s="101">
        <f t="shared" si="5"/>
        <v>267.25112936344976</v>
      </c>
      <c r="M33" s="79">
        <f t="shared" si="6"/>
        <v>0</v>
      </c>
      <c r="N33" s="79">
        <f t="shared" si="7"/>
        <v>0</v>
      </c>
      <c r="O33" s="79">
        <f t="shared" si="8"/>
        <v>1527</v>
      </c>
      <c r="P33" s="72">
        <v>12</v>
      </c>
      <c r="Q33" s="79">
        <f t="shared" si="9"/>
        <v>-38.175</v>
      </c>
      <c r="R33" s="79">
        <f t="shared" si="10"/>
        <v>-1297.9238706365502</v>
      </c>
      <c r="S33" s="101">
        <f t="shared" si="11"/>
        <v>229.0761293634498</v>
      </c>
      <c r="T33" s="79">
        <f t="shared" si="12"/>
        <v>0</v>
      </c>
      <c r="U33" s="79">
        <f t="shared" si="13"/>
        <v>0</v>
      </c>
      <c r="V33" s="79">
        <f t="shared" si="14"/>
        <v>1527</v>
      </c>
      <c r="W33" s="72">
        <v>12</v>
      </c>
      <c r="X33" s="79">
        <f t="shared" si="15"/>
        <v>-38.175</v>
      </c>
      <c r="Y33" s="79">
        <f t="shared" si="16"/>
        <v>-1336.0988706365501</v>
      </c>
      <c r="Z33" s="126">
        <f t="shared" si="17"/>
        <v>190.90112936344985</v>
      </c>
      <c r="AA33" s="154" t="str">
        <f t="shared" si="18"/>
        <v>OK</v>
      </c>
      <c r="AF33" s="5"/>
      <c r="AG33" s="5"/>
      <c r="AH33" s="5"/>
    </row>
    <row r="34" spans="1:34" ht="13.5" customHeight="1">
      <c r="A34" s="115" t="s">
        <v>272</v>
      </c>
      <c r="B34" s="169">
        <v>27395</v>
      </c>
      <c r="C34" s="99"/>
      <c r="D34" s="72">
        <v>40</v>
      </c>
      <c r="E34" s="163">
        <v>1527</v>
      </c>
      <c r="F34" s="81">
        <v>0</v>
      </c>
      <c r="G34" s="79">
        <f t="shared" si="0"/>
        <v>1527</v>
      </c>
      <c r="H34" s="101">
        <f t="shared" si="1"/>
        <v>3.18125</v>
      </c>
      <c r="I34" s="79">
        <f t="shared" si="2"/>
        <v>1527</v>
      </c>
      <c r="J34" s="76">
        <f t="shared" si="3"/>
        <v>395.9917864476386</v>
      </c>
      <c r="K34" s="79">
        <f t="shared" si="4"/>
        <v>-1259.7488706365502</v>
      </c>
      <c r="L34" s="101">
        <f t="shared" si="5"/>
        <v>267.25112936344976</v>
      </c>
      <c r="M34" s="79">
        <f t="shared" si="6"/>
        <v>0</v>
      </c>
      <c r="N34" s="79">
        <f t="shared" si="7"/>
        <v>0</v>
      </c>
      <c r="O34" s="79">
        <f t="shared" si="8"/>
        <v>1527</v>
      </c>
      <c r="P34" s="72">
        <v>12</v>
      </c>
      <c r="Q34" s="79">
        <f t="shared" si="9"/>
        <v>-38.175</v>
      </c>
      <c r="R34" s="79">
        <f t="shared" si="10"/>
        <v>-1297.9238706365502</v>
      </c>
      <c r="S34" s="101">
        <f t="shared" si="11"/>
        <v>229.0761293634498</v>
      </c>
      <c r="T34" s="79">
        <f t="shared" si="12"/>
        <v>0</v>
      </c>
      <c r="U34" s="79">
        <f t="shared" si="13"/>
        <v>0</v>
      </c>
      <c r="V34" s="79">
        <f t="shared" si="14"/>
        <v>1527</v>
      </c>
      <c r="W34" s="72">
        <v>12</v>
      </c>
      <c r="X34" s="79">
        <f t="shared" si="15"/>
        <v>-38.175</v>
      </c>
      <c r="Y34" s="79">
        <f t="shared" si="16"/>
        <v>-1336.0988706365501</v>
      </c>
      <c r="Z34" s="126">
        <f t="shared" si="17"/>
        <v>190.90112936344985</v>
      </c>
      <c r="AA34" s="154" t="str">
        <f t="shared" si="18"/>
        <v>OK</v>
      </c>
      <c r="AF34" s="5"/>
      <c r="AG34" s="5"/>
      <c r="AH34" s="5"/>
    </row>
    <row r="35" spans="1:34" ht="13.5" customHeight="1">
      <c r="A35" s="115" t="s">
        <v>273</v>
      </c>
      <c r="B35" s="169">
        <v>27395</v>
      </c>
      <c r="C35" s="99"/>
      <c r="D35" s="72">
        <v>40</v>
      </c>
      <c r="E35" s="163">
        <v>1527</v>
      </c>
      <c r="F35" s="81">
        <v>0</v>
      </c>
      <c r="G35" s="79">
        <f t="shared" si="0"/>
        <v>1527</v>
      </c>
      <c r="H35" s="101">
        <f t="shared" si="1"/>
        <v>3.18125</v>
      </c>
      <c r="I35" s="79">
        <f t="shared" si="2"/>
        <v>1527</v>
      </c>
      <c r="J35" s="76">
        <f t="shared" si="3"/>
        <v>395.9917864476386</v>
      </c>
      <c r="K35" s="79">
        <f t="shared" si="4"/>
        <v>-1259.7488706365502</v>
      </c>
      <c r="L35" s="101">
        <f t="shared" si="5"/>
        <v>267.25112936344976</v>
      </c>
      <c r="M35" s="79">
        <f t="shared" si="6"/>
        <v>0</v>
      </c>
      <c r="N35" s="79">
        <f t="shared" si="7"/>
        <v>0</v>
      </c>
      <c r="O35" s="79">
        <f t="shared" si="8"/>
        <v>1527</v>
      </c>
      <c r="P35" s="72">
        <v>12</v>
      </c>
      <c r="Q35" s="79">
        <f t="shared" si="9"/>
        <v>-38.175</v>
      </c>
      <c r="R35" s="79">
        <f t="shared" si="10"/>
        <v>-1297.9238706365502</v>
      </c>
      <c r="S35" s="101">
        <f t="shared" si="11"/>
        <v>229.0761293634498</v>
      </c>
      <c r="T35" s="79">
        <f t="shared" si="12"/>
        <v>0</v>
      </c>
      <c r="U35" s="79">
        <f t="shared" si="13"/>
        <v>0</v>
      </c>
      <c r="V35" s="79">
        <f t="shared" si="14"/>
        <v>1527</v>
      </c>
      <c r="W35" s="72">
        <v>12</v>
      </c>
      <c r="X35" s="79">
        <f t="shared" si="15"/>
        <v>-38.175</v>
      </c>
      <c r="Y35" s="79">
        <f t="shared" si="16"/>
        <v>-1336.0988706365501</v>
      </c>
      <c r="Z35" s="126">
        <f t="shared" si="17"/>
        <v>190.90112936344985</v>
      </c>
      <c r="AA35" s="154" t="str">
        <f t="shared" si="18"/>
        <v>OK</v>
      </c>
      <c r="AF35" s="5"/>
      <c r="AG35" s="5"/>
      <c r="AH35" s="5"/>
    </row>
    <row r="36" spans="1:34" ht="13.5" customHeight="1">
      <c r="A36" s="115" t="s">
        <v>247</v>
      </c>
      <c r="B36" s="169">
        <v>27395</v>
      </c>
      <c r="C36" s="99"/>
      <c r="D36" s="72">
        <v>40</v>
      </c>
      <c r="E36" s="163">
        <v>5965</v>
      </c>
      <c r="F36" s="81">
        <v>0</v>
      </c>
      <c r="G36" s="79">
        <f t="shared" si="0"/>
        <v>5965</v>
      </c>
      <c r="H36" s="101">
        <f t="shared" si="1"/>
        <v>12.427083333333334</v>
      </c>
      <c r="I36" s="79">
        <f t="shared" si="2"/>
        <v>5965</v>
      </c>
      <c r="J36" s="76">
        <f t="shared" si="3"/>
        <v>395.9917864476386</v>
      </c>
      <c r="K36" s="79">
        <f t="shared" si="4"/>
        <v>-4921.022929500343</v>
      </c>
      <c r="L36" s="101">
        <f t="shared" si="5"/>
        <v>1043.9770704996572</v>
      </c>
      <c r="M36" s="79">
        <f t="shared" si="6"/>
        <v>0</v>
      </c>
      <c r="N36" s="79">
        <f t="shared" si="7"/>
        <v>0</v>
      </c>
      <c r="O36" s="79">
        <f t="shared" si="8"/>
        <v>5965</v>
      </c>
      <c r="P36" s="72">
        <v>12</v>
      </c>
      <c r="Q36" s="79">
        <f t="shared" si="9"/>
        <v>-149.125</v>
      </c>
      <c r="R36" s="79">
        <f t="shared" si="10"/>
        <v>-5070.147929500343</v>
      </c>
      <c r="S36" s="101">
        <f t="shared" si="11"/>
        <v>894.8520704996572</v>
      </c>
      <c r="T36" s="79">
        <f t="shared" si="12"/>
        <v>0</v>
      </c>
      <c r="U36" s="79">
        <f t="shared" si="13"/>
        <v>0</v>
      </c>
      <c r="V36" s="79">
        <f t="shared" si="14"/>
        <v>5965</v>
      </c>
      <c r="W36" s="72">
        <v>12</v>
      </c>
      <c r="X36" s="79">
        <f t="shared" si="15"/>
        <v>-149.125</v>
      </c>
      <c r="Y36" s="79">
        <f t="shared" si="16"/>
        <v>-5219.272929500343</v>
      </c>
      <c r="Z36" s="126">
        <f t="shared" si="17"/>
        <v>745.7270704996572</v>
      </c>
      <c r="AA36" s="154" t="str">
        <f t="shared" si="18"/>
        <v>OK</v>
      </c>
      <c r="AF36" s="5"/>
      <c r="AG36" s="5"/>
      <c r="AH36" s="5"/>
    </row>
    <row r="37" spans="1:34" ht="13.5" customHeight="1">
      <c r="A37" s="115" t="s">
        <v>248</v>
      </c>
      <c r="B37" s="169">
        <v>27395</v>
      </c>
      <c r="C37" s="99"/>
      <c r="D37" s="72">
        <v>40</v>
      </c>
      <c r="E37" s="163">
        <v>10140</v>
      </c>
      <c r="F37" s="81">
        <v>0</v>
      </c>
      <c r="G37" s="79">
        <f t="shared" si="0"/>
        <v>10140</v>
      </c>
      <c r="H37" s="101">
        <f t="shared" si="1"/>
        <v>21.125</v>
      </c>
      <c r="I37" s="79">
        <f t="shared" si="2"/>
        <v>10140</v>
      </c>
      <c r="J37" s="76">
        <f t="shared" si="3"/>
        <v>395.9917864476386</v>
      </c>
      <c r="K37" s="79">
        <f t="shared" si="4"/>
        <v>-8365.326488706365</v>
      </c>
      <c r="L37" s="101">
        <f t="shared" si="5"/>
        <v>1774.6735112936349</v>
      </c>
      <c r="M37" s="79">
        <f t="shared" si="6"/>
        <v>0</v>
      </c>
      <c r="N37" s="79">
        <f t="shared" si="7"/>
        <v>0</v>
      </c>
      <c r="O37" s="79">
        <f t="shared" si="8"/>
        <v>10140</v>
      </c>
      <c r="P37" s="72">
        <v>12</v>
      </c>
      <c r="Q37" s="79">
        <f t="shared" si="9"/>
        <v>-253.5</v>
      </c>
      <c r="R37" s="79">
        <f t="shared" si="10"/>
        <v>-8618.826488706365</v>
      </c>
      <c r="S37" s="101">
        <f t="shared" si="11"/>
        <v>1521.1735112936349</v>
      </c>
      <c r="T37" s="79">
        <f t="shared" si="12"/>
        <v>0</v>
      </c>
      <c r="U37" s="79">
        <f t="shared" si="13"/>
        <v>0</v>
      </c>
      <c r="V37" s="79">
        <f t="shared" si="14"/>
        <v>10140</v>
      </c>
      <c r="W37" s="72">
        <v>12</v>
      </c>
      <c r="X37" s="79">
        <f t="shared" si="15"/>
        <v>-253.5</v>
      </c>
      <c r="Y37" s="79">
        <f t="shared" si="16"/>
        <v>-8872.326488706365</v>
      </c>
      <c r="Z37" s="126">
        <f t="shared" si="17"/>
        <v>1267.6735112936349</v>
      </c>
      <c r="AA37" s="154" t="str">
        <f t="shared" si="18"/>
        <v>OK</v>
      </c>
      <c r="AF37" s="5"/>
      <c r="AG37" s="5"/>
      <c r="AH37" s="5"/>
    </row>
    <row r="38" spans="1:34" ht="13.5" customHeight="1">
      <c r="A38" s="115" t="s">
        <v>249</v>
      </c>
      <c r="B38" s="169">
        <v>27395</v>
      </c>
      <c r="C38" s="99"/>
      <c r="D38" s="72">
        <v>40</v>
      </c>
      <c r="E38" s="163">
        <v>5965</v>
      </c>
      <c r="F38" s="81">
        <v>0</v>
      </c>
      <c r="G38" s="79">
        <f t="shared" si="0"/>
        <v>5965</v>
      </c>
      <c r="H38" s="101">
        <f t="shared" si="1"/>
        <v>12.427083333333334</v>
      </c>
      <c r="I38" s="79">
        <f t="shared" si="2"/>
        <v>5965</v>
      </c>
      <c r="J38" s="76">
        <f t="shared" si="3"/>
        <v>395.9917864476386</v>
      </c>
      <c r="K38" s="79">
        <f t="shared" si="4"/>
        <v>-4921.022929500343</v>
      </c>
      <c r="L38" s="101">
        <f t="shared" si="5"/>
        <v>1043.9770704996572</v>
      </c>
      <c r="M38" s="79">
        <f t="shared" si="6"/>
        <v>0</v>
      </c>
      <c r="N38" s="79">
        <f t="shared" si="7"/>
        <v>0</v>
      </c>
      <c r="O38" s="79">
        <f t="shared" si="8"/>
        <v>5965</v>
      </c>
      <c r="P38" s="72">
        <v>12</v>
      </c>
      <c r="Q38" s="79">
        <f t="shared" si="9"/>
        <v>-149.125</v>
      </c>
      <c r="R38" s="79">
        <f t="shared" si="10"/>
        <v>-5070.147929500343</v>
      </c>
      <c r="S38" s="101">
        <f t="shared" si="11"/>
        <v>894.8520704996572</v>
      </c>
      <c r="T38" s="79">
        <f t="shared" si="12"/>
        <v>0</v>
      </c>
      <c r="U38" s="79">
        <f t="shared" si="13"/>
        <v>0</v>
      </c>
      <c r="V38" s="79">
        <f t="shared" si="14"/>
        <v>5965</v>
      </c>
      <c r="W38" s="72">
        <v>12</v>
      </c>
      <c r="X38" s="79">
        <f t="shared" si="15"/>
        <v>-149.125</v>
      </c>
      <c r="Y38" s="79">
        <f t="shared" si="16"/>
        <v>-5219.272929500343</v>
      </c>
      <c r="Z38" s="126">
        <f t="shared" si="17"/>
        <v>745.7270704996572</v>
      </c>
      <c r="AA38" s="154" t="str">
        <f t="shared" si="18"/>
        <v>OK</v>
      </c>
      <c r="AF38" s="5"/>
      <c r="AG38" s="5"/>
      <c r="AH38" s="5"/>
    </row>
    <row r="39" spans="1:34" ht="13.5" customHeight="1">
      <c r="A39" s="115" t="s">
        <v>250</v>
      </c>
      <c r="B39" s="169">
        <v>27395</v>
      </c>
      <c r="C39" s="99"/>
      <c r="D39" s="72">
        <v>40</v>
      </c>
      <c r="E39" s="163">
        <v>5965</v>
      </c>
      <c r="F39" s="81">
        <v>0</v>
      </c>
      <c r="G39" s="79">
        <f t="shared" si="0"/>
        <v>5965</v>
      </c>
      <c r="H39" s="101">
        <f t="shared" si="1"/>
        <v>12.427083333333334</v>
      </c>
      <c r="I39" s="79">
        <f t="shared" si="2"/>
        <v>5965</v>
      </c>
      <c r="J39" s="76">
        <f t="shared" si="3"/>
        <v>395.9917864476386</v>
      </c>
      <c r="K39" s="79">
        <f t="shared" si="4"/>
        <v>-4921.022929500343</v>
      </c>
      <c r="L39" s="101">
        <f t="shared" si="5"/>
        <v>1043.9770704996572</v>
      </c>
      <c r="M39" s="79">
        <f t="shared" si="6"/>
        <v>0</v>
      </c>
      <c r="N39" s="79">
        <f t="shared" si="7"/>
        <v>0</v>
      </c>
      <c r="O39" s="79">
        <f t="shared" si="8"/>
        <v>5965</v>
      </c>
      <c r="P39" s="72">
        <v>12</v>
      </c>
      <c r="Q39" s="79">
        <f t="shared" si="9"/>
        <v>-149.125</v>
      </c>
      <c r="R39" s="79">
        <f t="shared" si="10"/>
        <v>-5070.147929500343</v>
      </c>
      <c r="S39" s="101">
        <f t="shared" si="11"/>
        <v>894.8520704996572</v>
      </c>
      <c r="T39" s="79">
        <f t="shared" si="12"/>
        <v>0</v>
      </c>
      <c r="U39" s="79">
        <f t="shared" si="13"/>
        <v>0</v>
      </c>
      <c r="V39" s="79">
        <f t="shared" si="14"/>
        <v>5965</v>
      </c>
      <c r="W39" s="72">
        <v>12</v>
      </c>
      <c r="X39" s="79">
        <f t="shared" si="15"/>
        <v>-149.125</v>
      </c>
      <c r="Y39" s="79">
        <f t="shared" si="16"/>
        <v>-5219.272929500343</v>
      </c>
      <c r="Z39" s="126">
        <f t="shared" si="17"/>
        <v>745.7270704996572</v>
      </c>
      <c r="AA39" s="154" t="str">
        <f t="shared" si="18"/>
        <v>OK</v>
      </c>
      <c r="AF39" s="5"/>
      <c r="AG39" s="5"/>
      <c r="AH39" s="5"/>
    </row>
    <row r="40" spans="1:34" ht="13.5" customHeight="1">
      <c r="A40" s="115" t="s">
        <v>251</v>
      </c>
      <c r="B40" s="169">
        <v>27395</v>
      </c>
      <c r="C40" s="99"/>
      <c r="D40" s="72">
        <v>40</v>
      </c>
      <c r="E40" s="163">
        <v>5965</v>
      </c>
      <c r="F40" s="81">
        <v>0</v>
      </c>
      <c r="G40" s="79">
        <f t="shared" si="0"/>
        <v>5965</v>
      </c>
      <c r="H40" s="101">
        <f t="shared" si="1"/>
        <v>12.427083333333334</v>
      </c>
      <c r="I40" s="79">
        <f t="shared" si="2"/>
        <v>5965</v>
      </c>
      <c r="J40" s="76">
        <f t="shared" si="3"/>
        <v>395.9917864476386</v>
      </c>
      <c r="K40" s="79">
        <f t="shared" si="4"/>
        <v>-4921.022929500343</v>
      </c>
      <c r="L40" s="101">
        <f t="shared" si="5"/>
        <v>1043.9770704996572</v>
      </c>
      <c r="M40" s="79">
        <f t="shared" si="6"/>
        <v>0</v>
      </c>
      <c r="N40" s="79">
        <f t="shared" si="7"/>
        <v>0</v>
      </c>
      <c r="O40" s="79">
        <f t="shared" si="8"/>
        <v>5965</v>
      </c>
      <c r="P40" s="72">
        <v>12</v>
      </c>
      <c r="Q40" s="79">
        <f t="shared" si="9"/>
        <v>-149.125</v>
      </c>
      <c r="R40" s="79">
        <f t="shared" si="10"/>
        <v>-5070.147929500343</v>
      </c>
      <c r="S40" s="101">
        <f t="shared" si="11"/>
        <v>894.8520704996572</v>
      </c>
      <c r="T40" s="79">
        <f t="shared" si="12"/>
        <v>0</v>
      </c>
      <c r="U40" s="79">
        <f t="shared" si="13"/>
        <v>0</v>
      </c>
      <c r="V40" s="79">
        <f t="shared" si="14"/>
        <v>5965</v>
      </c>
      <c r="W40" s="72">
        <v>12</v>
      </c>
      <c r="X40" s="79">
        <f t="shared" si="15"/>
        <v>-149.125</v>
      </c>
      <c r="Y40" s="79">
        <f t="shared" si="16"/>
        <v>-5219.272929500343</v>
      </c>
      <c r="Z40" s="126">
        <f t="shared" si="17"/>
        <v>745.7270704996572</v>
      </c>
      <c r="AA40" s="154" t="str">
        <f t="shared" si="18"/>
        <v>OK</v>
      </c>
      <c r="AF40" s="5"/>
      <c r="AG40" s="5"/>
      <c r="AH40" s="5"/>
    </row>
    <row r="41" spans="1:27" ht="13.5" customHeight="1">
      <c r="A41" s="115" t="s">
        <v>252</v>
      </c>
      <c r="B41" s="169">
        <v>27395</v>
      </c>
      <c r="C41" s="99"/>
      <c r="D41" s="72">
        <v>40</v>
      </c>
      <c r="E41" s="163">
        <v>5965</v>
      </c>
      <c r="F41" s="81">
        <v>0</v>
      </c>
      <c r="G41" s="79">
        <f t="shared" si="0"/>
        <v>5965</v>
      </c>
      <c r="H41" s="101">
        <f t="shared" si="1"/>
        <v>12.427083333333334</v>
      </c>
      <c r="I41" s="79">
        <f t="shared" si="2"/>
        <v>5965</v>
      </c>
      <c r="J41" s="76">
        <f t="shared" si="3"/>
        <v>395.9917864476386</v>
      </c>
      <c r="K41" s="79">
        <f t="shared" si="4"/>
        <v>-4921.022929500343</v>
      </c>
      <c r="L41" s="101">
        <f t="shared" si="5"/>
        <v>1043.9770704996572</v>
      </c>
      <c r="M41" s="79">
        <f t="shared" si="6"/>
        <v>0</v>
      </c>
      <c r="N41" s="79">
        <f t="shared" si="7"/>
        <v>0</v>
      </c>
      <c r="O41" s="79">
        <f t="shared" si="8"/>
        <v>5965</v>
      </c>
      <c r="P41" s="72">
        <v>12</v>
      </c>
      <c r="Q41" s="79">
        <f t="shared" si="9"/>
        <v>-149.125</v>
      </c>
      <c r="R41" s="79">
        <f t="shared" si="10"/>
        <v>-5070.147929500343</v>
      </c>
      <c r="S41" s="101">
        <f t="shared" si="11"/>
        <v>894.8520704996572</v>
      </c>
      <c r="T41" s="79">
        <f t="shared" si="12"/>
        <v>0</v>
      </c>
      <c r="U41" s="79">
        <f t="shared" si="13"/>
        <v>0</v>
      </c>
      <c r="V41" s="79">
        <f t="shared" si="14"/>
        <v>5965</v>
      </c>
      <c r="W41" s="72">
        <v>12</v>
      </c>
      <c r="X41" s="79">
        <f t="shared" si="15"/>
        <v>-149.125</v>
      </c>
      <c r="Y41" s="79">
        <f t="shared" si="16"/>
        <v>-5219.272929500343</v>
      </c>
      <c r="Z41" s="126">
        <f t="shared" si="17"/>
        <v>745.7270704996572</v>
      </c>
      <c r="AA41" s="154" t="str">
        <f t="shared" si="18"/>
        <v>OK</v>
      </c>
    </row>
    <row r="42" spans="1:27" ht="13.5" customHeight="1">
      <c r="A42" s="115" t="s">
        <v>253</v>
      </c>
      <c r="B42" s="169">
        <v>27395</v>
      </c>
      <c r="C42" s="99"/>
      <c r="D42" s="72">
        <v>40</v>
      </c>
      <c r="E42" s="163">
        <v>5965</v>
      </c>
      <c r="F42" s="81">
        <v>0</v>
      </c>
      <c r="G42" s="79">
        <f t="shared" si="0"/>
        <v>5965</v>
      </c>
      <c r="H42" s="101">
        <f t="shared" si="1"/>
        <v>12.427083333333334</v>
      </c>
      <c r="I42" s="79">
        <f t="shared" si="2"/>
        <v>5965</v>
      </c>
      <c r="J42" s="76">
        <f t="shared" si="3"/>
        <v>395.9917864476386</v>
      </c>
      <c r="K42" s="79">
        <f t="shared" si="4"/>
        <v>-4921.022929500343</v>
      </c>
      <c r="L42" s="101">
        <f t="shared" si="5"/>
        <v>1043.9770704996572</v>
      </c>
      <c r="M42" s="79">
        <f t="shared" si="6"/>
        <v>0</v>
      </c>
      <c r="N42" s="79">
        <f t="shared" si="7"/>
        <v>0</v>
      </c>
      <c r="O42" s="79">
        <f t="shared" si="8"/>
        <v>5965</v>
      </c>
      <c r="P42" s="72">
        <v>12</v>
      </c>
      <c r="Q42" s="79">
        <f t="shared" si="9"/>
        <v>-149.125</v>
      </c>
      <c r="R42" s="79">
        <f t="shared" si="10"/>
        <v>-5070.147929500343</v>
      </c>
      <c r="S42" s="101">
        <f t="shared" si="11"/>
        <v>894.8520704996572</v>
      </c>
      <c r="T42" s="79">
        <f t="shared" si="12"/>
        <v>0</v>
      </c>
      <c r="U42" s="79">
        <f t="shared" si="13"/>
        <v>0</v>
      </c>
      <c r="V42" s="79">
        <f t="shared" si="14"/>
        <v>5965</v>
      </c>
      <c r="W42" s="72">
        <v>12</v>
      </c>
      <c r="X42" s="79">
        <f t="shared" si="15"/>
        <v>-149.125</v>
      </c>
      <c r="Y42" s="79">
        <f t="shared" si="16"/>
        <v>-5219.272929500343</v>
      </c>
      <c r="Z42" s="126">
        <f t="shared" si="17"/>
        <v>745.7270704996572</v>
      </c>
      <c r="AA42" s="154" t="str">
        <f t="shared" si="18"/>
        <v>OK</v>
      </c>
    </row>
    <row r="43" spans="1:27" ht="13.5" customHeight="1">
      <c r="A43" s="115" t="s">
        <v>254</v>
      </c>
      <c r="B43" s="169">
        <v>29221</v>
      </c>
      <c r="C43" s="99"/>
      <c r="D43" s="72">
        <v>40</v>
      </c>
      <c r="E43" s="163">
        <v>10596</v>
      </c>
      <c r="F43" s="81">
        <v>0</v>
      </c>
      <c r="G43" s="79">
        <f t="shared" si="0"/>
        <v>10596</v>
      </c>
      <c r="H43" s="101">
        <f t="shared" si="1"/>
        <v>22.075</v>
      </c>
      <c r="I43" s="79">
        <f t="shared" si="2"/>
        <v>10596</v>
      </c>
      <c r="J43" s="76">
        <f t="shared" si="3"/>
        <v>336</v>
      </c>
      <c r="K43" s="79">
        <f t="shared" si="4"/>
        <v>-7417.2</v>
      </c>
      <c r="L43" s="101">
        <f t="shared" si="5"/>
        <v>3178.8</v>
      </c>
      <c r="M43" s="79">
        <f t="shared" si="6"/>
        <v>0</v>
      </c>
      <c r="N43" s="79">
        <f t="shared" si="7"/>
        <v>0</v>
      </c>
      <c r="O43" s="79">
        <f t="shared" si="8"/>
        <v>10596</v>
      </c>
      <c r="P43" s="72">
        <v>12</v>
      </c>
      <c r="Q43" s="79">
        <f t="shared" si="9"/>
        <v>-264.9</v>
      </c>
      <c r="R43" s="79">
        <f t="shared" si="10"/>
        <v>-7682.099999999999</v>
      </c>
      <c r="S43" s="101">
        <f t="shared" si="11"/>
        <v>2913.9000000000005</v>
      </c>
      <c r="T43" s="79">
        <f t="shared" si="12"/>
        <v>0</v>
      </c>
      <c r="U43" s="79">
        <f t="shared" si="13"/>
        <v>0</v>
      </c>
      <c r="V43" s="79">
        <f t="shared" si="14"/>
        <v>10596</v>
      </c>
      <c r="W43" s="72">
        <v>12</v>
      </c>
      <c r="X43" s="79">
        <f t="shared" si="15"/>
        <v>-264.9</v>
      </c>
      <c r="Y43" s="79">
        <f t="shared" si="16"/>
        <v>-7946.999999999999</v>
      </c>
      <c r="Z43" s="126">
        <f t="shared" si="17"/>
        <v>2649.000000000001</v>
      </c>
      <c r="AA43" s="154" t="str">
        <f t="shared" si="18"/>
        <v>OK</v>
      </c>
    </row>
    <row r="44" spans="1:27" ht="13.5" customHeight="1">
      <c r="A44" s="115" t="s">
        <v>255</v>
      </c>
      <c r="B44" s="169">
        <v>29221</v>
      </c>
      <c r="C44" s="99"/>
      <c r="D44" s="72">
        <v>40</v>
      </c>
      <c r="E44" s="163">
        <v>5298</v>
      </c>
      <c r="F44" s="81">
        <v>0</v>
      </c>
      <c r="G44" s="79">
        <f t="shared" si="0"/>
        <v>5298</v>
      </c>
      <c r="H44" s="101">
        <f t="shared" si="1"/>
        <v>11.0375</v>
      </c>
      <c r="I44" s="79">
        <f t="shared" si="2"/>
        <v>5298</v>
      </c>
      <c r="J44" s="76">
        <f t="shared" si="3"/>
        <v>336</v>
      </c>
      <c r="K44" s="79">
        <f t="shared" si="4"/>
        <v>-3708.6</v>
      </c>
      <c r="L44" s="101">
        <f t="shared" si="5"/>
        <v>1589.4</v>
      </c>
      <c r="M44" s="79">
        <f t="shared" si="6"/>
        <v>0</v>
      </c>
      <c r="N44" s="79">
        <f t="shared" si="7"/>
        <v>0</v>
      </c>
      <c r="O44" s="79">
        <f t="shared" si="8"/>
        <v>5298</v>
      </c>
      <c r="P44" s="72">
        <v>12</v>
      </c>
      <c r="Q44" s="79">
        <f t="shared" si="9"/>
        <v>-132.45</v>
      </c>
      <c r="R44" s="79">
        <f t="shared" si="10"/>
        <v>-3841.0499999999997</v>
      </c>
      <c r="S44" s="101">
        <f t="shared" si="11"/>
        <v>1456.9500000000003</v>
      </c>
      <c r="T44" s="79">
        <f t="shared" si="12"/>
        <v>0</v>
      </c>
      <c r="U44" s="79">
        <f t="shared" si="13"/>
        <v>0</v>
      </c>
      <c r="V44" s="79">
        <f t="shared" si="14"/>
        <v>5298</v>
      </c>
      <c r="W44" s="72">
        <v>12</v>
      </c>
      <c r="X44" s="79">
        <f t="shared" si="15"/>
        <v>-132.45</v>
      </c>
      <c r="Y44" s="79">
        <f t="shared" si="16"/>
        <v>-3973.4999999999995</v>
      </c>
      <c r="Z44" s="126">
        <f t="shared" si="17"/>
        <v>1324.5000000000005</v>
      </c>
      <c r="AA44" s="154" t="str">
        <f t="shared" si="18"/>
        <v>OK</v>
      </c>
    </row>
    <row r="45" spans="1:27" ht="13.5" customHeight="1">
      <c r="A45" s="115" t="s">
        <v>256</v>
      </c>
      <c r="B45" s="169">
        <v>29221</v>
      </c>
      <c r="C45" s="99"/>
      <c r="D45" s="72">
        <v>40</v>
      </c>
      <c r="E45" s="163">
        <v>5298</v>
      </c>
      <c r="F45" s="81">
        <v>0</v>
      </c>
      <c r="G45" s="79">
        <f t="shared" si="0"/>
        <v>5298</v>
      </c>
      <c r="H45" s="101">
        <f t="shared" si="1"/>
        <v>11.0375</v>
      </c>
      <c r="I45" s="79">
        <f t="shared" si="2"/>
        <v>5298</v>
      </c>
      <c r="J45" s="76">
        <f t="shared" si="3"/>
        <v>336</v>
      </c>
      <c r="K45" s="79">
        <f t="shared" si="4"/>
        <v>-3708.6</v>
      </c>
      <c r="L45" s="101">
        <f t="shared" si="5"/>
        <v>1589.4</v>
      </c>
      <c r="M45" s="79">
        <f t="shared" si="6"/>
        <v>0</v>
      </c>
      <c r="N45" s="79">
        <f t="shared" si="7"/>
        <v>0</v>
      </c>
      <c r="O45" s="79">
        <f t="shared" si="8"/>
        <v>5298</v>
      </c>
      <c r="P45" s="72">
        <v>12</v>
      </c>
      <c r="Q45" s="79">
        <f t="shared" si="9"/>
        <v>-132.45</v>
      </c>
      <c r="R45" s="79">
        <f t="shared" si="10"/>
        <v>-3841.0499999999997</v>
      </c>
      <c r="S45" s="101">
        <f t="shared" si="11"/>
        <v>1456.9500000000003</v>
      </c>
      <c r="T45" s="79">
        <f t="shared" si="12"/>
        <v>0</v>
      </c>
      <c r="U45" s="79">
        <f t="shared" si="13"/>
        <v>0</v>
      </c>
      <c r="V45" s="79">
        <f t="shared" si="14"/>
        <v>5298</v>
      </c>
      <c r="W45" s="72">
        <v>12</v>
      </c>
      <c r="X45" s="79">
        <f t="shared" si="15"/>
        <v>-132.45</v>
      </c>
      <c r="Y45" s="79">
        <f t="shared" si="16"/>
        <v>-3973.4999999999995</v>
      </c>
      <c r="Z45" s="126">
        <f t="shared" si="17"/>
        <v>1324.5000000000005</v>
      </c>
      <c r="AA45" s="154" t="str">
        <f t="shared" si="18"/>
        <v>OK</v>
      </c>
    </row>
    <row r="46" spans="1:27" ht="13.5" customHeight="1">
      <c r="A46" s="115" t="s">
        <v>257</v>
      </c>
      <c r="B46" s="169">
        <v>29221</v>
      </c>
      <c r="C46" s="99"/>
      <c r="D46" s="72">
        <v>40</v>
      </c>
      <c r="E46" s="163">
        <v>10596</v>
      </c>
      <c r="F46" s="81">
        <v>0</v>
      </c>
      <c r="G46" s="79">
        <f t="shared" si="0"/>
        <v>10596</v>
      </c>
      <c r="H46" s="101">
        <f t="shared" si="1"/>
        <v>22.075</v>
      </c>
      <c r="I46" s="79">
        <f t="shared" si="2"/>
        <v>10596</v>
      </c>
      <c r="J46" s="76">
        <f t="shared" si="3"/>
        <v>336</v>
      </c>
      <c r="K46" s="79">
        <f t="shared" si="4"/>
        <v>-7417.2</v>
      </c>
      <c r="L46" s="101">
        <f t="shared" si="5"/>
        <v>3178.8</v>
      </c>
      <c r="M46" s="79">
        <f t="shared" si="6"/>
        <v>0</v>
      </c>
      <c r="N46" s="79">
        <f t="shared" si="7"/>
        <v>0</v>
      </c>
      <c r="O46" s="79">
        <f t="shared" si="8"/>
        <v>10596</v>
      </c>
      <c r="P46" s="72">
        <v>12</v>
      </c>
      <c r="Q46" s="79">
        <f t="shared" si="9"/>
        <v>-264.9</v>
      </c>
      <c r="R46" s="79">
        <f t="shared" si="10"/>
        <v>-7682.099999999999</v>
      </c>
      <c r="S46" s="101">
        <f t="shared" si="11"/>
        <v>2913.9000000000005</v>
      </c>
      <c r="T46" s="79">
        <f t="shared" si="12"/>
        <v>0</v>
      </c>
      <c r="U46" s="79">
        <f t="shared" si="13"/>
        <v>0</v>
      </c>
      <c r="V46" s="79">
        <f t="shared" si="14"/>
        <v>10596</v>
      </c>
      <c r="W46" s="72">
        <v>12</v>
      </c>
      <c r="X46" s="79">
        <f t="shared" si="15"/>
        <v>-264.9</v>
      </c>
      <c r="Y46" s="79">
        <f t="shared" si="16"/>
        <v>-7946.999999999999</v>
      </c>
      <c r="Z46" s="126">
        <f t="shared" si="17"/>
        <v>2649.000000000001</v>
      </c>
      <c r="AA46" s="154" t="str">
        <f t="shared" si="18"/>
        <v>OK</v>
      </c>
    </row>
    <row r="47" spans="1:27" ht="13.5" customHeight="1">
      <c r="A47" s="115" t="s">
        <v>258</v>
      </c>
      <c r="B47" s="169">
        <v>29221</v>
      </c>
      <c r="C47" s="99"/>
      <c r="D47" s="72">
        <v>40</v>
      </c>
      <c r="E47" s="163">
        <v>10596</v>
      </c>
      <c r="F47" s="81">
        <v>0</v>
      </c>
      <c r="G47" s="79">
        <f t="shared" si="0"/>
        <v>10596</v>
      </c>
      <c r="H47" s="101">
        <f t="shared" si="1"/>
        <v>22.075</v>
      </c>
      <c r="I47" s="79">
        <f t="shared" si="2"/>
        <v>10596</v>
      </c>
      <c r="J47" s="76">
        <f t="shared" si="3"/>
        <v>336</v>
      </c>
      <c r="K47" s="79">
        <f t="shared" si="4"/>
        <v>-7417.2</v>
      </c>
      <c r="L47" s="101">
        <f t="shared" si="5"/>
        <v>3178.8</v>
      </c>
      <c r="M47" s="79">
        <f t="shared" si="6"/>
        <v>0</v>
      </c>
      <c r="N47" s="79">
        <f t="shared" si="7"/>
        <v>0</v>
      </c>
      <c r="O47" s="79">
        <f t="shared" si="8"/>
        <v>10596</v>
      </c>
      <c r="P47" s="72">
        <v>12</v>
      </c>
      <c r="Q47" s="79">
        <f t="shared" si="9"/>
        <v>-264.9</v>
      </c>
      <c r="R47" s="79">
        <f t="shared" si="10"/>
        <v>-7682.099999999999</v>
      </c>
      <c r="S47" s="101">
        <f t="shared" si="11"/>
        <v>2913.9000000000005</v>
      </c>
      <c r="T47" s="79">
        <f t="shared" si="12"/>
        <v>0</v>
      </c>
      <c r="U47" s="79">
        <f t="shared" si="13"/>
        <v>0</v>
      </c>
      <c r="V47" s="79">
        <f t="shared" si="14"/>
        <v>10596</v>
      </c>
      <c r="W47" s="72">
        <v>12</v>
      </c>
      <c r="X47" s="79">
        <f t="shared" si="15"/>
        <v>-264.9</v>
      </c>
      <c r="Y47" s="79">
        <f t="shared" si="16"/>
        <v>-7946.999999999999</v>
      </c>
      <c r="Z47" s="126">
        <f t="shared" si="17"/>
        <v>2649.000000000001</v>
      </c>
      <c r="AA47" s="154" t="str">
        <f t="shared" si="18"/>
        <v>OK</v>
      </c>
    </row>
    <row r="48" spans="1:27" ht="13.5" customHeight="1">
      <c r="A48" s="115" t="s">
        <v>259</v>
      </c>
      <c r="B48" s="169">
        <v>29221</v>
      </c>
      <c r="C48" s="99"/>
      <c r="D48" s="72">
        <v>40</v>
      </c>
      <c r="E48" s="163">
        <v>10596</v>
      </c>
      <c r="F48" s="81">
        <v>0</v>
      </c>
      <c r="G48" s="79">
        <f t="shared" si="0"/>
        <v>10596</v>
      </c>
      <c r="H48" s="101">
        <f t="shared" si="1"/>
        <v>22.075</v>
      </c>
      <c r="I48" s="79">
        <f t="shared" si="2"/>
        <v>10596</v>
      </c>
      <c r="J48" s="76">
        <f t="shared" si="3"/>
        <v>336</v>
      </c>
      <c r="K48" s="79">
        <f t="shared" si="4"/>
        <v>-7417.2</v>
      </c>
      <c r="L48" s="101">
        <f t="shared" si="5"/>
        <v>3178.8</v>
      </c>
      <c r="M48" s="79">
        <f t="shared" si="6"/>
        <v>0</v>
      </c>
      <c r="N48" s="79">
        <f t="shared" si="7"/>
        <v>0</v>
      </c>
      <c r="O48" s="79">
        <f t="shared" si="8"/>
        <v>10596</v>
      </c>
      <c r="P48" s="72">
        <v>12</v>
      </c>
      <c r="Q48" s="79">
        <f t="shared" si="9"/>
        <v>-264.9</v>
      </c>
      <c r="R48" s="79">
        <f t="shared" si="10"/>
        <v>-7682.099999999999</v>
      </c>
      <c r="S48" s="101">
        <f t="shared" si="11"/>
        <v>2913.9000000000005</v>
      </c>
      <c r="T48" s="79">
        <f t="shared" si="12"/>
        <v>0</v>
      </c>
      <c r="U48" s="79">
        <f t="shared" si="13"/>
        <v>0</v>
      </c>
      <c r="V48" s="79">
        <f t="shared" si="14"/>
        <v>10596</v>
      </c>
      <c r="W48" s="72">
        <v>12</v>
      </c>
      <c r="X48" s="79">
        <f t="shared" si="15"/>
        <v>-264.9</v>
      </c>
      <c r="Y48" s="79">
        <f t="shared" si="16"/>
        <v>-7946.999999999999</v>
      </c>
      <c r="Z48" s="126">
        <f t="shared" si="17"/>
        <v>2649.000000000001</v>
      </c>
      <c r="AA48" s="154" t="str">
        <f t="shared" si="18"/>
        <v>OK</v>
      </c>
    </row>
    <row r="49" spans="1:27" ht="12" customHeight="1">
      <c r="A49" s="115" t="s">
        <v>260</v>
      </c>
      <c r="B49" s="169">
        <v>29221</v>
      </c>
      <c r="C49" s="99"/>
      <c r="D49" s="72">
        <v>40</v>
      </c>
      <c r="E49" s="163">
        <v>10596</v>
      </c>
      <c r="F49" s="81">
        <v>0</v>
      </c>
      <c r="G49" s="79">
        <f t="shared" si="0"/>
        <v>10596</v>
      </c>
      <c r="H49" s="101">
        <f t="shared" si="1"/>
        <v>22.075</v>
      </c>
      <c r="I49" s="79">
        <f t="shared" si="2"/>
        <v>10596</v>
      </c>
      <c r="J49" s="76">
        <f t="shared" si="3"/>
        <v>336</v>
      </c>
      <c r="K49" s="79">
        <f t="shared" si="4"/>
        <v>-7417.2</v>
      </c>
      <c r="L49" s="101">
        <f t="shared" si="5"/>
        <v>3178.8</v>
      </c>
      <c r="M49" s="79">
        <f t="shared" si="6"/>
        <v>0</v>
      </c>
      <c r="N49" s="79">
        <f t="shared" si="7"/>
        <v>0</v>
      </c>
      <c r="O49" s="79">
        <f t="shared" si="8"/>
        <v>10596</v>
      </c>
      <c r="P49" s="72">
        <v>12</v>
      </c>
      <c r="Q49" s="79">
        <f t="shared" si="9"/>
        <v>-264.9</v>
      </c>
      <c r="R49" s="79">
        <f t="shared" si="10"/>
        <v>-7682.099999999999</v>
      </c>
      <c r="S49" s="101">
        <f t="shared" si="11"/>
        <v>2913.9000000000005</v>
      </c>
      <c r="T49" s="79">
        <f t="shared" si="12"/>
        <v>0</v>
      </c>
      <c r="U49" s="79">
        <f t="shared" si="13"/>
        <v>0</v>
      </c>
      <c r="V49" s="79">
        <f t="shared" si="14"/>
        <v>10596</v>
      </c>
      <c r="W49" s="72">
        <v>12</v>
      </c>
      <c r="X49" s="79">
        <f t="shared" si="15"/>
        <v>-264.9</v>
      </c>
      <c r="Y49" s="79">
        <f t="shared" si="16"/>
        <v>-7946.999999999999</v>
      </c>
      <c r="Z49" s="126">
        <f t="shared" si="17"/>
        <v>2649.000000000001</v>
      </c>
      <c r="AA49" s="154" t="str">
        <f t="shared" si="18"/>
        <v>OK</v>
      </c>
    </row>
    <row r="50" spans="1:27" ht="12" customHeight="1">
      <c r="A50" s="115" t="s">
        <v>261</v>
      </c>
      <c r="B50" s="169">
        <v>29221</v>
      </c>
      <c r="C50" s="99"/>
      <c r="D50" s="72">
        <v>40</v>
      </c>
      <c r="E50" s="163">
        <v>10596</v>
      </c>
      <c r="F50" s="81">
        <v>0</v>
      </c>
      <c r="G50" s="79">
        <f t="shared" si="0"/>
        <v>10596</v>
      </c>
      <c r="H50" s="101">
        <f t="shared" si="1"/>
        <v>22.075</v>
      </c>
      <c r="I50" s="79">
        <f t="shared" si="2"/>
        <v>10596</v>
      </c>
      <c r="J50" s="76">
        <f t="shared" si="3"/>
        <v>336</v>
      </c>
      <c r="K50" s="79">
        <f t="shared" si="4"/>
        <v>-7417.2</v>
      </c>
      <c r="L50" s="101">
        <f t="shared" si="5"/>
        <v>3178.8</v>
      </c>
      <c r="M50" s="79">
        <f t="shared" si="6"/>
        <v>0</v>
      </c>
      <c r="N50" s="79">
        <f t="shared" si="7"/>
        <v>0</v>
      </c>
      <c r="O50" s="79">
        <f t="shared" si="8"/>
        <v>10596</v>
      </c>
      <c r="P50" s="72">
        <v>12</v>
      </c>
      <c r="Q50" s="79">
        <f t="shared" si="9"/>
        <v>-264.9</v>
      </c>
      <c r="R50" s="79">
        <f t="shared" si="10"/>
        <v>-7682.099999999999</v>
      </c>
      <c r="S50" s="101">
        <f t="shared" si="11"/>
        <v>2913.9000000000005</v>
      </c>
      <c r="T50" s="79">
        <f t="shared" si="12"/>
        <v>0</v>
      </c>
      <c r="U50" s="79">
        <f t="shared" si="13"/>
        <v>0</v>
      </c>
      <c r="V50" s="79">
        <f t="shared" si="14"/>
        <v>10596</v>
      </c>
      <c r="W50" s="72">
        <v>12</v>
      </c>
      <c r="X50" s="79">
        <f t="shared" si="15"/>
        <v>-264.9</v>
      </c>
      <c r="Y50" s="79">
        <f t="shared" si="16"/>
        <v>-7946.999999999999</v>
      </c>
      <c r="Z50" s="126">
        <f t="shared" si="17"/>
        <v>2649.000000000001</v>
      </c>
      <c r="AA50" s="154" t="str">
        <f t="shared" si="18"/>
        <v>OK</v>
      </c>
    </row>
    <row r="51" spans="1:27" ht="12" customHeight="1">
      <c r="A51" s="115" t="s">
        <v>262</v>
      </c>
      <c r="B51" s="169">
        <v>29221</v>
      </c>
      <c r="C51" s="99"/>
      <c r="D51" s="72">
        <v>40</v>
      </c>
      <c r="E51" s="163">
        <v>10596</v>
      </c>
      <c r="F51" s="81">
        <v>0</v>
      </c>
      <c r="G51" s="79">
        <f t="shared" si="0"/>
        <v>10596</v>
      </c>
      <c r="H51" s="101">
        <f t="shared" si="1"/>
        <v>22.075</v>
      </c>
      <c r="I51" s="79">
        <f t="shared" si="2"/>
        <v>10596</v>
      </c>
      <c r="J51" s="76">
        <f t="shared" si="3"/>
        <v>336</v>
      </c>
      <c r="K51" s="79">
        <f t="shared" si="4"/>
        <v>-7417.2</v>
      </c>
      <c r="L51" s="101">
        <f t="shared" si="5"/>
        <v>3178.8</v>
      </c>
      <c r="M51" s="79">
        <f t="shared" si="6"/>
        <v>0</v>
      </c>
      <c r="N51" s="79">
        <f t="shared" si="7"/>
        <v>0</v>
      </c>
      <c r="O51" s="79">
        <f t="shared" si="8"/>
        <v>10596</v>
      </c>
      <c r="P51" s="72">
        <v>12</v>
      </c>
      <c r="Q51" s="79">
        <f t="shared" si="9"/>
        <v>-264.9</v>
      </c>
      <c r="R51" s="79">
        <f t="shared" si="10"/>
        <v>-7682.099999999999</v>
      </c>
      <c r="S51" s="101">
        <f t="shared" si="11"/>
        <v>2913.9000000000005</v>
      </c>
      <c r="T51" s="79">
        <f t="shared" si="12"/>
        <v>0</v>
      </c>
      <c r="U51" s="79">
        <f t="shared" si="13"/>
        <v>0</v>
      </c>
      <c r="V51" s="79">
        <f t="shared" si="14"/>
        <v>10596</v>
      </c>
      <c r="W51" s="72">
        <v>12</v>
      </c>
      <c r="X51" s="79">
        <f t="shared" si="15"/>
        <v>-264.9</v>
      </c>
      <c r="Y51" s="79">
        <f t="shared" si="16"/>
        <v>-7946.999999999999</v>
      </c>
      <c r="Z51" s="126">
        <f t="shared" si="17"/>
        <v>2649.000000000001</v>
      </c>
      <c r="AA51" s="154" t="str">
        <f t="shared" si="18"/>
        <v>OK</v>
      </c>
    </row>
    <row r="52" spans="1:27" ht="12" customHeight="1">
      <c r="A52" s="115" t="s">
        <v>263</v>
      </c>
      <c r="B52" s="169">
        <v>35796</v>
      </c>
      <c r="C52" s="99"/>
      <c r="D52" s="72">
        <v>40</v>
      </c>
      <c r="E52" s="163">
        <v>8722</v>
      </c>
      <c r="F52" s="81">
        <v>0</v>
      </c>
      <c r="G52" s="79">
        <f t="shared" si="0"/>
        <v>8722</v>
      </c>
      <c r="H52" s="101">
        <f t="shared" si="1"/>
        <v>18.170833333333334</v>
      </c>
      <c r="I52" s="79">
        <f t="shared" si="2"/>
        <v>8722</v>
      </c>
      <c r="J52" s="76">
        <f t="shared" si="3"/>
        <v>119.9835728952772</v>
      </c>
      <c r="K52" s="79">
        <f t="shared" si="4"/>
        <v>-2180.201505817933</v>
      </c>
      <c r="L52" s="101">
        <f t="shared" si="5"/>
        <v>6541.798494182067</v>
      </c>
      <c r="M52" s="79">
        <f t="shared" si="6"/>
        <v>0</v>
      </c>
      <c r="N52" s="79">
        <f t="shared" si="7"/>
        <v>0</v>
      </c>
      <c r="O52" s="79">
        <f t="shared" si="8"/>
        <v>8722</v>
      </c>
      <c r="P52" s="72">
        <v>12</v>
      </c>
      <c r="Q52" s="79">
        <f t="shared" si="9"/>
        <v>-218.05</v>
      </c>
      <c r="R52" s="79">
        <f t="shared" si="10"/>
        <v>-2398.2515058179333</v>
      </c>
      <c r="S52" s="101">
        <f t="shared" si="11"/>
        <v>6323.748494182067</v>
      </c>
      <c r="T52" s="79">
        <f t="shared" si="12"/>
        <v>0</v>
      </c>
      <c r="U52" s="79">
        <f t="shared" si="13"/>
        <v>0</v>
      </c>
      <c r="V52" s="79">
        <f t="shared" si="14"/>
        <v>8722</v>
      </c>
      <c r="W52" s="72">
        <v>12</v>
      </c>
      <c r="X52" s="79">
        <f t="shared" si="15"/>
        <v>-218.05</v>
      </c>
      <c r="Y52" s="79">
        <f t="shared" si="16"/>
        <v>-2616.3015058179335</v>
      </c>
      <c r="Z52" s="126">
        <f t="shared" si="17"/>
        <v>6105.6984941820665</v>
      </c>
      <c r="AA52" s="154" t="str">
        <f t="shared" si="18"/>
        <v>OK</v>
      </c>
    </row>
    <row r="53" spans="1:27" ht="12.75">
      <c r="A53" s="117"/>
      <c r="B53" s="98" t="s">
        <v>59</v>
      </c>
      <c r="C53" s="100"/>
      <c r="D53" s="72">
        <v>40</v>
      </c>
      <c r="E53" s="81"/>
      <c r="F53" s="81">
        <v>0</v>
      </c>
      <c r="G53" s="79">
        <f t="shared" si="0"/>
        <v>0</v>
      </c>
      <c r="H53" s="101">
        <f t="shared" si="1"/>
        <v>0</v>
      </c>
      <c r="I53" s="79">
        <f t="shared" si="2"/>
        <v>0</v>
      </c>
      <c r="J53" s="76">
        <f t="shared" si="3"/>
        <v>0</v>
      </c>
      <c r="K53" s="79">
        <f t="shared" si="4"/>
        <v>0</v>
      </c>
      <c r="L53" s="101">
        <f t="shared" si="5"/>
        <v>0</v>
      </c>
      <c r="M53" s="79">
        <f t="shared" si="6"/>
        <v>0</v>
      </c>
      <c r="N53" s="79">
        <f t="shared" si="7"/>
        <v>0</v>
      </c>
      <c r="O53" s="79">
        <f t="shared" si="8"/>
        <v>0</v>
      </c>
      <c r="P53" s="72"/>
      <c r="Q53" s="79">
        <f t="shared" si="9"/>
        <v>0</v>
      </c>
      <c r="R53" s="79">
        <f t="shared" si="10"/>
        <v>0</v>
      </c>
      <c r="S53" s="101">
        <f t="shared" si="11"/>
        <v>0</v>
      </c>
      <c r="T53" s="79">
        <f t="shared" si="12"/>
        <v>0</v>
      </c>
      <c r="U53" s="79">
        <f t="shared" si="13"/>
        <v>0</v>
      </c>
      <c r="V53" s="79">
        <f t="shared" si="14"/>
        <v>0</v>
      </c>
      <c r="W53" s="72"/>
      <c r="X53" s="79">
        <f t="shared" si="15"/>
        <v>0</v>
      </c>
      <c r="Y53" s="79">
        <f t="shared" si="16"/>
        <v>0</v>
      </c>
      <c r="Z53" s="126">
        <f t="shared" si="17"/>
        <v>0</v>
      </c>
      <c r="AA53" s="154" t="str">
        <f t="shared" si="18"/>
        <v>OK</v>
      </c>
    </row>
    <row r="54" spans="1:27" ht="12.75">
      <c r="A54" s="117"/>
      <c r="B54" s="98" t="s">
        <v>59</v>
      </c>
      <c r="C54" s="100"/>
      <c r="D54" s="72">
        <v>40</v>
      </c>
      <c r="E54" s="81"/>
      <c r="F54" s="81">
        <v>0</v>
      </c>
      <c r="G54" s="79">
        <f t="shared" si="0"/>
        <v>0</v>
      </c>
      <c r="H54" s="101">
        <f t="shared" si="1"/>
        <v>0</v>
      </c>
      <c r="I54" s="79">
        <f t="shared" si="2"/>
        <v>0</v>
      </c>
      <c r="J54" s="76">
        <f t="shared" si="3"/>
        <v>0</v>
      </c>
      <c r="K54" s="79">
        <f t="shared" si="4"/>
        <v>0</v>
      </c>
      <c r="L54" s="101">
        <f t="shared" si="5"/>
        <v>0</v>
      </c>
      <c r="M54" s="79">
        <f t="shared" si="6"/>
        <v>0</v>
      </c>
      <c r="N54" s="79">
        <f t="shared" si="7"/>
        <v>0</v>
      </c>
      <c r="O54" s="79">
        <f t="shared" si="8"/>
        <v>0</v>
      </c>
      <c r="P54" s="72"/>
      <c r="Q54" s="79">
        <f t="shared" si="9"/>
        <v>0</v>
      </c>
      <c r="R54" s="79">
        <f t="shared" si="10"/>
        <v>0</v>
      </c>
      <c r="S54" s="101">
        <f t="shared" si="11"/>
        <v>0</v>
      </c>
      <c r="T54" s="79">
        <f t="shared" si="12"/>
        <v>0</v>
      </c>
      <c r="U54" s="79">
        <f t="shared" si="13"/>
        <v>0</v>
      </c>
      <c r="V54" s="79">
        <f t="shared" si="14"/>
        <v>0</v>
      </c>
      <c r="W54" s="72"/>
      <c r="X54" s="79">
        <f t="shared" si="15"/>
        <v>0</v>
      </c>
      <c r="Y54" s="79">
        <f t="shared" si="16"/>
        <v>0</v>
      </c>
      <c r="Z54" s="126">
        <f t="shared" si="17"/>
        <v>0</v>
      </c>
      <c r="AA54" s="154" t="str">
        <f t="shared" si="18"/>
        <v>OK</v>
      </c>
    </row>
    <row r="55" spans="1:27" ht="12.75">
      <c r="A55" s="117"/>
      <c r="B55" s="98" t="s">
        <v>59</v>
      </c>
      <c r="C55" s="100"/>
      <c r="D55" s="72">
        <v>40</v>
      </c>
      <c r="E55" s="81"/>
      <c r="F55" s="81">
        <v>0</v>
      </c>
      <c r="G55" s="79">
        <f t="shared" si="0"/>
        <v>0</v>
      </c>
      <c r="H55" s="101">
        <f t="shared" si="1"/>
        <v>0</v>
      </c>
      <c r="I55" s="102">
        <f t="shared" si="2"/>
        <v>0</v>
      </c>
      <c r="J55" s="76">
        <f t="shared" si="3"/>
        <v>0</v>
      </c>
      <c r="K55" s="92">
        <f t="shared" si="4"/>
        <v>0</v>
      </c>
      <c r="L55" s="103">
        <f t="shared" si="5"/>
        <v>0</v>
      </c>
      <c r="M55" s="102">
        <f t="shared" si="6"/>
        <v>0</v>
      </c>
      <c r="N55" s="92">
        <f t="shared" si="7"/>
        <v>0</v>
      </c>
      <c r="O55" s="92">
        <f t="shared" si="8"/>
        <v>0</v>
      </c>
      <c r="P55" s="72"/>
      <c r="Q55" s="92">
        <f t="shared" si="9"/>
        <v>0</v>
      </c>
      <c r="R55" s="92">
        <f t="shared" si="10"/>
        <v>0</v>
      </c>
      <c r="S55" s="103">
        <f t="shared" si="11"/>
        <v>0</v>
      </c>
      <c r="T55" s="102">
        <f t="shared" si="12"/>
        <v>0</v>
      </c>
      <c r="U55" s="92">
        <f t="shared" si="13"/>
        <v>0</v>
      </c>
      <c r="V55" s="92">
        <f t="shared" si="14"/>
        <v>0</v>
      </c>
      <c r="W55" s="72"/>
      <c r="X55" s="92">
        <f t="shared" si="15"/>
        <v>0</v>
      </c>
      <c r="Y55" s="92">
        <f t="shared" si="16"/>
        <v>0</v>
      </c>
      <c r="Z55" s="127">
        <f t="shared" si="17"/>
        <v>0</v>
      </c>
      <c r="AA55" s="154" t="str">
        <f t="shared" si="18"/>
        <v>OK</v>
      </c>
    </row>
    <row r="56" spans="1:27" ht="12.75">
      <c r="A56" s="114"/>
      <c r="D56" s="69"/>
      <c r="E56" s="69"/>
      <c r="F56" s="78"/>
      <c r="G56" s="78"/>
      <c r="H56" s="97"/>
      <c r="I56" s="79"/>
      <c r="J56" s="79"/>
      <c r="K56" s="79"/>
      <c r="L56" s="101"/>
      <c r="M56" s="79"/>
      <c r="N56" s="79"/>
      <c r="O56" s="79"/>
      <c r="P56" s="79"/>
      <c r="Q56" s="79"/>
      <c r="R56" s="79"/>
      <c r="S56" s="101"/>
      <c r="T56" s="79"/>
      <c r="U56" s="79"/>
      <c r="V56" s="79"/>
      <c r="W56" s="79"/>
      <c r="X56" s="79"/>
      <c r="Y56" s="79"/>
      <c r="Z56" s="126"/>
      <c r="AA56" s="153"/>
    </row>
    <row r="57" spans="1:27" ht="13.5" thickBot="1">
      <c r="A57" s="118" t="s">
        <v>62</v>
      </c>
      <c r="B57" s="61"/>
      <c r="C57" s="61"/>
      <c r="D57" s="69"/>
      <c r="E57" s="69"/>
      <c r="F57" s="78"/>
      <c r="G57" s="78"/>
      <c r="H57" s="97"/>
      <c r="I57" s="80">
        <f>SUM(I8:I55)</f>
        <v>336306.45</v>
      </c>
      <c r="J57" s="79"/>
      <c r="K57" s="80">
        <f>SUM(K8:K55)</f>
        <v>-213039.8376351815</v>
      </c>
      <c r="L57" s="104">
        <f>SUM(L8:L55)</f>
        <v>123266.61236481866</v>
      </c>
      <c r="M57" s="80">
        <f>SUM(M8:M55)</f>
        <v>0</v>
      </c>
      <c r="N57" s="80">
        <f>SUM(N8:N55)</f>
        <v>0</v>
      </c>
      <c r="O57" s="80">
        <f aca="true" t="shared" si="38" ref="O57:U57">SUM(O8:O55)</f>
        <v>336306.45</v>
      </c>
      <c r="P57" s="79"/>
      <c r="Q57" s="80">
        <f t="shared" si="38"/>
        <v>-8407.661249999997</v>
      </c>
      <c r="R57" s="80">
        <f t="shared" si="38"/>
        <v>-221447.49888518138</v>
      </c>
      <c r="S57" s="104">
        <f t="shared" si="38"/>
        <v>114858.95111481866</v>
      </c>
      <c r="T57" s="80">
        <f t="shared" si="38"/>
        <v>0</v>
      </c>
      <c r="U57" s="80">
        <f t="shared" si="38"/>
        <v>0</v>
      </c>
      <c r="V57" s="80">
        <f>SUM(V8:V55)</f>
        <v>336306.45</v>
      </c>
      <c r="W57" s="79"/>
      <c r="X57" s="80">
        <f>SUM(X8:X55)</f>
        <v>-8407.661249999997</v>
      </c>
      <c r="Y57" s="80">
        <f>SUM(Y8:Y55)</f>
        <v>-229855.16013518142</v>
      </c>
      <c r="Z57" s="128">
        <f>SUM(Z8:Z55)</f>
        <v>106451.28986481868</v>
      </c>
      <c r="AA57" s="153"/>
    </row>
    <row r="58" spans="1:27" ht="14.25" thickBot="1" thickTop="1">
      <c r="A58" s="122"/>
      <c r="B58" s="119"/>
      <c r="C58" s="119"/>
      <c r="D58" s="120"/>
      <c r="E58" s="120"/>
      <c r="F58" s="121"/>
      <c r="G58" s="121"/>
      <c r="H58" s="90"/>
      <c r="I58" s="90"/>
      <c r="J58" s="90"/>
      <c r="K58" s="90"/>
      <c r="L58" s="90"/>
      <c r="M58" s="91"/>
      <c r="N58" s="91"/>
      <c r="O58" s="91"/>
      <c r="P58" s="91"/>
      <c r="Q58" s="91"/>
      <c r="R58" s="91"/>
      <c r="S58" s="91"/>
      <c r="T58" s="91"/>
      <c r="U58" s="91"/>
      <c r="V58" s="91"/>
      <c r="W58" s="91"/>
      <c r="X58" s="91"/>
      <c r="Y58" s="91"/>
      <c r="Z58" s="129"/>
      <c r="AA58" s="155"/>
    </row>
    <row r="59" spans="4:26" ht="12.75">
      <c r="D59" s="69"/>
      <c r="E59" s="69"/>
      <c r="F59" s="78"/>
      <c r="G59" s="78"/>
      <c r="H59" s="79"/>
      <c r="I59" s="79"/>
      <c r="J59" s="79"/>
      <c r="K59" s="79"/>
      <c r="L59" s="79"/>
      <c r="M59" s="59"/>
      <c r="N59" s="59"/>
      <c r="O59" s="59"/>
      <c r="P59" s="59"/>
      <c r="Q59" s="59"/>
      <c r="R59" s="59"/>
      <c r="S59" s="59"/>
      <c r="T59" s="59"/>
      <c r="U59" s="59"/>
      <c r="V59" s="59"/>
      <c r="W59" s="59"/>
      <c r="X59" s="59"/>
      <c r="Y59" s="59"/>
      <c r="Z59" s="59"/>
    </row>
    <row r="60" spans="4:26" ht="12.75">
      <c r="D60" s="69"/>
      <c r="E60" s="69"/>
      <c r="F60" s="78"/>
      <c r="G60" s="78"/>
      <c r="H60" s="79"/>
      <c r="I60" s="79"/>
      <c r="J60" s="79"/>
      <c r="K60" s="79"/>
      <c r="L60" s="79"/>
      <c r="M60" s="59"/>
      <c r="N60" s="59"/>
      <c r="O60" s="59"/>
      <c r="P60" s="59"/>
      <c r="Q60" s="59"/>
      <c r="R60" s="59"/>
      <c r="S60" s="59"/>
      <c r="T60" s="59"/>
      <c r="U60" s="59"/>
      <c r="V60" s="59"/>
      <c r="W60" s="59"/>
      <c r="X60" s="59"/>
      <c r="Y60" s="59"/>
      <c r="Z60" s="59"/>
    </row>
    <row r="61" spans="4:26" ht="12.75">
      <c r="D61" s="69"/>
      <c r="E61" s="69"/>
      <c r="F61" s="78"/>
      <c r="G61" s="78"/>
      <c r="H61" s="79"/>
      <c r="I61" s="79"/>
      <c r="J61" s="79"/>
      <c r="K61" s="79"/>
      <c r="L61" s="79"/>
      <c r="M61" s="59"/>
      <c r="N61" s="59"/>
      <c r="O61" s="59"/>
      <c r="P61" s="59"/>
      <c r="Q61" s="59"/>
      <c r="R61" s="59"/>
      <c r="S61" s="59"/>
      <c r="T61" s="59"/>
      <c r="U61" s="59"/>
      <c r="V61" s="59"/>
      <c r="W61" s="59"/>
      <c r="X61" s="59"/>
      <c r="Y61" s="59"/>
      <c r="Z61" s="59"/>
    </row>
    <row r="62" spans="4:26" ht="12.75">
      <c r="D62" s="69"/>
      <c r="E62" s="69"/>
      <c r="F62" s="78"/>
      <c r="G62" s="78"/>
      <c r="H62" s="79"/>
      <c r="I62" s="79"/>
      <c r="J62" s="79"/>
      <c r="K62" s="79"/>
      <c r="L62" s="79"/>
      <c r="M62" s="59"/>
      <c r="N62" s="59"/>
      <c r="O62" s="59"/>
      <c r="P62" s="59"/>
      <c r="Q62" s="59"/>
      <c r="R62" s="59"/>
      <c r="S62" s="59"/>
      <c r="T62" s="59"/>
      <c r="U62" s="59"/>
      <c r="V62" s="59"/>
      <c r="W62" s="59"/>
      <c r="X62" s="59"/>
      <c r="Y62" s="59"/>
      <c r="Z62" s="59"/>
    </row>
    <row r="63" spans="4:26" ht="12.75">
      <c r="D63" s="69"/>
      <c r="E63" s="69"/>
      <c r="F63" s="78"/>
      <c r="G63" s="78"/>
      <c r="H63" s="79"/>
      <c r="I63" s="79"/>
      <c r="J63" s="79"/>
      <c r="K63" s="79"/>
      <c r="L63" s="79"/>
      <c r="M63" s="59"/>
      <c r="N63" s="59"/>
      <c r="O63" s="59"/>
      <c r="P63" s="59"/>
      <c r="Q63" s="59"/>
      <c r="R63" s="59"/>
      <c r="S63" s="59"/>
      <c r="T63" s="59"/>
      <c r="U63" s="59"/>
      <c r="V63" s="59"/>
      <c r="W63" s="59"/>
      <c r="X63" s="59"/>
      <c r="Y63" s="59"/>
      <c r="Z63" s="59"/>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69"/>
      <c r="E69" s="69"/>
      <c r="F69" s="78"/>
      <c r="G69" s="78"/>
      <c r="H69" s="78"/>
      <c r="I69" s="78"/>
      <c r="J69" s="78"/>
      <c r="K69" s="78"/>
      <c r="L69" s="78"/>
    </row>
    <row r="70" spans="4:12" ht="12.75">
      <c r="D70" s="69"/>
      <c r="E70" s="69"/>
      <c r="F70" s="78"/>
      <c r="G70" s="78"/>
      <c r="H70" s="78"/>
      <c r="I70" s="78"/>
      <c r="J70" s="78"/>
      <c r="K70" s="78"/>
      <c r="L70" s="78"/>
    </row>
    <row r="71" spans="4:12" ht="12.75">
      <c r="D71" s="69"/>
      <c r="E71" s="69"/>
      <c r="F71" s="78"/>
      <c r="G71" s="78"/>
      <c r="H71" s="78"/>
      <c r="I71" s="78"/>
      <c r="J71" s="78"/>
      <c r="K71" s="78"/>
      <c r="L71" s="78"/>
    </row>
    <row r="72" spans="4:12" ht="12.75">
      <c r="D72" s="69"/>
      <c r="E72" s="69"/>
      <c r="F72" s="78"/>
      <c r="G72" s="78"/>
      <c r="H72" s="78"/>
      <c r="I72" s="78"/>
      <c r="J72" s="78"/>
      <c r="K72" s="78"/>
      <c r="L72" s="78"/>
    </row>
    <row r="73" spans="4:12" ht="12.75">
      <c r="D73" s="69"/>
      <c r="E73" s="69"/>
      <c r="F73" s="78"/>
      <c r="G73" s="78"/>
      <c r="H73" s="78"/>
      <c r="I73" s="78"/>
      <c r="J73" s="78"/>
      <c r="K73" s="78"/>
      <c r="L73" s="78"/>
    </row>
    <row r="74" spans="4:12" ht="12.75">
      <c r="D74" s="69"/>
      <c r="E74" s="69"/>
      <c r="F74" s="78"/>
      <c r="G74" s="78"/>
      <c r="H74" s="78"/>
      <c r="I74" s="78"/>
      <c r="J74" s="78"/>
      <c r="K74" s="78"/>
      <c r="L74" s="78"/>
    </row>
    <row r="75" spans="4:12" ht="12.75">
      <c r="D75" s="69"/>
      <c r="E75" s="69"/>
      <c r="F75" s="78"/>
      <c r="G75" s="78"/>
      <c r="H75" s="78"/>
      <c r="I75" s="78"/>
      <c r="J75" s="78"/>
      <c r="K75" s="78"/>
      <c r="L75" s="78"/>
    </row>
    <row r="76" spans="4:12" ht="12.75">
      <c r="D76" s="69"/>
      <c r="E76" s="69"/>
      <c r="F76" s="78"/>
      <c r="G76" s="78"/>
      <c r="H76" s="78"/>
      <c r="I76" s="78"/>
      <c r="J76" s="78"/>
      <c r="K76" s="78"/>
      <c r="L76" s="78"/>
    </row>
    <row r="77" spans="4:12" ht="12.75">
      <c r="D77" s="69"/>
      <c r="E77" s="69"/>
      <c r="F77" s="78"/>
      <c r="G77" s="78"/>
      <c r="H77" s="78"/>
      <c r="I77" s="78"/>
      <c r="J77" s="78"/>
      <c r="K77" s="78"/>
      <c r="L77" s="78"/>
    </row>
    <row r="78" spans="4:12" ht="12.75">
      <c r="D78" s="69"/>
      <c r="E78" s="69"/>
      <c r="F78" s="78"/>
      <c r="G78" s="78"/>
      <c r="H78" s="78"/>
      <c r="I78" s="78"/>
      <c r="J78" s="78"/>
      <c r="K78" s="78"/>
      <c r="L78" s="78"/>
    </row>
    <row r="79" spans="4:12" ht="12.75">
      <c r="D79" s="69"/>
      <c r="E79" s="69"/>
      <c r="F79" s="78"/>
      <c r="G79" s="78"/>
      <c r="H79" s="78"/>
      <c r="I79" s="78"/>
      <c r="J79" s="78"/>
      <c r="K79" s="78"/>
      <c r="L79" s="78"/>
    </row>
    <row r="80" spans="4:12" ht="12.75">
      <c r="D80" s="69"/>
      <c r="E80" s="69"/>
      <c r="F80" s="78"/>
      <c r="G80" s="78"/>
      <c r="H80" s="78"/>
      <c r="I80" s="78"/>
      <c r="J80" s="78"/>
      <c r="K80" s="78"/>
      <c r="L80" s="78"/>
    </row>
    <row r="81" spans="4:12" ht="12.75">
      <c r="D81" s="69"/>
      <c r="E81" s="69"/>
      <c r="F81" s="78"/>
      <c r="G81" s="78"/>
      <c r="H81" s="78"/>
      <c r="I81" s="78"/>
      <c r="J81" s="78"/>
      <c r="K81" s="78"/>
      <c r="L81" s="78"/>
    </row>
    <row r="82" spans="4:12" ht="12.75">
      <c r="D82" s="69"/>
      <c r="E82" s="69"/>
      <c r="F82" s="78"/>
      <c r="G82" s="78"/>
      <c r="H82" s="78"/>
      <c r="I82" s="78"/>
      <c r="J82" s="78"/>
      <c r="K82" s="78"/>
      <c r="L82" s="78"/>
    </row>
    <row r="83" spans="4:12" ht="12.75">
      <c r="D83" s="69"/>
      <c r="E83" s="69"/>
      <c r="F83" s="78"/>
      <c r="G83" s="78"/>
      <c r="H83" s="78"/>
      <c r="I83" s="78"/>
      <c r="J83" s="78"/>
      <c r="K83" s="78"/>
      <c r="L83" s="78"/>
    </row>
    <row r="84" spans="4:12" ht="12.75">
      <c r="D84" s="69"/>
      <c r="E84" s="69"/>
      <c r="F84" s="78"/>
      <c r="G84" s="78"/>
      <c r="H84" s="78"/>
      <c r="I84" s="78"/>
      <c r="J84" s="78"/>
      <c r="K84" s="78"/>
      <c r="L84" s="78"/>
    </row>
    <row r="85" spans="4:12" ht="12.75">
      <c r="D85" s="69"/>
      <c r="E85" s="69"/>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row r="149" spans="4:12" ht="12.75">
      <c r="D149" s="78"/>
      <c r="E149" s="78"/>
      <c r="F149" s="78"/>
      <c r="G149" s="78"/>
      <c r="H149" s="78"/>
      <c r="I149" s="78"/>
      <c r="J149" s="78"/>
      <c r="K149" s="78"/>
      <c r="L149" s="78"/>
    </row>
    <row r="150" spans="4:12" ht="12.75">
      <c r="D150" s="78"/>
      <c r="E150" s="78"/>
      <c r="F150" s="78"/>
      <c r="G150" s="78"/>
      <c r="H150" s="78"/>
      <c r="I150" s="78"/>
      <c r="J150" s="78"/>
      <c r="K150" s="78"/>
      <c r="L150" s="78"/>
    </row>
    <row r="151" spans="4:12" ht="12.75">
      <c r="D151" s="78"/>
      <c r="E151" s="78"/>
      <c r="F151" s="78"/>
      <c r="G151" s="78"/>
      <c r="H151" s="78"/>
      <c r="I151" s="78"/>
      <c r="J151" s="78"/>
      <c r="K151" s="78"/>
      <c r="L151" s="78"/>
    </row>
    <row r="152" spans="4:12" ht="12.75">
      <c r="D152" s="78"/>
      <c r="E152" s="78"/>
      <c r="F152" s="78"/>
      <c r="G152" s="78"/>
      <c r="H152" s="78"/>
      <c r="I152" s="78"/>
      <c r="J152" s="78"/>
      <c r="K152" s="78"/>
      <c r="L152" s="78"/>
    </row>
    <row r="153" spans="4:12" ht="12.75">
      <c r="D153" s="78"/>
      <c r="E153" s="78"/>
      <c r="F153" s="78"/>
      <c r="G153" s="78"/>
      <c r="H153" s="78"/>
      <c r="I153" s="78"/>
      <c r="J153" s="78"/>
      <c r="K153" s="78"/>
      <c r="L153" s="78"/>
    </row>
    <row r="154" spans="4:12" ht="12.75">
      <c r="D154" s="78"/>
      <c r="E154" s="78"/>
      <c r="F154" s="78"/>
      <c r="G154" s="78"/>
      <c r="H154" s="78"/>
      <c r="I154" s="78"/>
      <c r="J154" s="78"/>
      <c r="K154" s="78"/>
      <c r="L154" s="78"/>
    </row>
    <row r="155" spans="4:12" ht="12.75">
      <c r="D155" s="78"/>
      <c r="E155" s="78"/>
      <c r="F155" s="78"/>
      <c r="G155" s="78"/>
      <c r="H155" s="78"/>
      <c r="I155" s="78"/>
      <c r="J155" s="78"/>
      <c r="K155" s="78"/>
      <c r="L155" s="78"/>
    </row>
    <row r="156" spans="4:12" ht="12.75">
      <c r="D156" s="78"/>
      <c r="E156" s="78"/>
      <c r="F156" s="78"/>
      <c r="G156" s="78"/>
      <c r="H156" s="78"/>
      <c r="I156" s="78"/>
      <c r="J156" s="78"/>
      <c r="K156" s="78"/>
      <c r="L156" s="78"/>
    </row>
    <row r="157" spans="4:12" ht="12.75">
      <c r="D157" s="78"/>
      <c r="E157" s="78"/>
      <c r="F157" s="78"/>
      <c r="G157" s="78"/>
      <c r="H157" s="78"/>
      <c r="I157" s="78"/>
      <c r="J157" s="78"/>
      <c r="K157" s="78"/>
      <c r="L157" s="78"/>
    </row>
    <row r="158" spans="4:12" ht="12.75">
      <c r="D158" s="78"/>
      <c r="E158" s="78"/>
      <c r="F158" s="78"/>
      <c r="G158" s="78"/>
      <c r="H158" s="78"/>
      <c r="I158" s="78"/>
      <c r="J158" s="78"/>
      <c r="K158" s="78"/>
      <c r="L158" s="78"/>
    </row>
    <row r="159" spans="4:12" ht="12.75">
      <c r="D159" s="78"/>
      <c r="E159" s="78"/>
      <c r="F159" s="78"/>
      <c r="G159" s="78"/>
      <c r="H159" s="78"/>
      <c r="I159" s="78"/>
      <c r="J159" s="78"/>
      <c r="K159" s="78"/>
      <c r="L159" s="78"/>
    </row>
    <row r="160" spans="4:12" ht="12.75">
      <c r="D160" s="78"/>
      <c r="E160" s="78"/>
      <c r="F160" s="78"/>
      <c r="G160" s="78"/>
      <c r="H160" s="78"/>
      <c r="I160" s="78"/>
      <c r="J160" s="78"/>
      <c r="K160" s="78"/>
      <c r="L160" s="78"/>
    </row>
    <row r="161" spans="4:12" ht="12.75">
      <c r="D161" s="78"/>
      <c r="E161" s="78"/>
      <c r="F161" s="78"/>
      <c r="G161" s="78"/>
      <c r="H161" s="78"/>
      <c r="I161" s="78"/>
      <c r="J161" s="78"/>
      <c r="K161" s="78"/>
      <c r="L161" s="78"/>
    </row>
    <row r="162" spans="4:12" ht="12.75">
      <c r="D162" s="78"/>
      <c r="E162" s="78"/>
      <c r="F162" s="78"/>
      <c r="G162" s="78"/>
      <c r="H162" s="78"/>
      <c r="I162" s="78"/>
      <c r="J162" s="78"/>
      <c r="K162" s="78"/>
      <c r="L162" s="78"/>
    </row>
    <row r="163" spans="4:12" ht="12.75">
      <c r="D163" s="78"/>
      <c r="E163" s="78"/>
      <c r="F163" s="78"/>
      <c r="G163" s="78"/>
      <c r="H163" s="78"/>
      <c r="I163" s="78"/>
      <c r="J163" s="78"/>
      <c r="K163" s="78"/>
      <c r="L163" s="78"/>
    </row>
    <row r="164" spans="4:12" ht="12.75">
      <c r="D164" s="78"/>
      <c r="E164" s="78"/>
      <c r="F164" s="78"/>
      <c r="G164" s="78"/>
      <c r="H164" s="78"/>
      <c r="I164" s="78"/>
      <c r="J164" s="78"/>
      <c r="K164" s="78"/>
      <c r="L164" s="78"/>
    </row>
    <row r="165" spans="4:12" ht="12.75">
      <c r="D165" s="78"/>
      <c r="E165" s="78"/>
      <c r="F165" s="78"/>
      <c r="G165" s="78"/>
      <c r="H165" s="78"/>
      <c r="I165" s="78"/>
      <c r="J165" s="78"/>
      <c r="K165" s="78"/>
      <c r="L165" s="78"/>
    </row>
  </sheetData>
  <printOptions horizontalCentered="1"/>
  <pageMargins left="0.25" right="0.25" top="0.5" bottom="0.5" header="0.5" footer="0.5"/>
  <pageSetup fitToHeight="1" fitToWidth="1" horizontalDpi="600" verticalDpi="600" orientation="landscape" paperSize="5" scale="54" r:id="rId1"/>
</worksheet>
</file>

<file path=xl/worksheets/sheet15.xml><?xml version="1.0" encoding="utf-8"?>
<worksheet xmlns="http://schemas.openxmlformats.org/spreadsheetml/2006/main" xmlns:r="http://schemas.openxmlformats.org/officeDocument/2006/relationships">
  <sheetPr>
    <pageSetUpPr fitToPage="1"/>
  </sheetPr>
  <dimension ref="A1:AH161"/>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74</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t="s">
        <v>229</v>
      </c>
      <c r="B8" s="169">
        <v>27395</v>
      </c>
      <c r="C8" s="135" t="s">
        <v>59</v>
      </c>
      <c r="D8" s="72">
        <v>20</v>
      </c>
      <c r="E8" s="163">
        <v>4505</v>
      </c>
      <c r="F8" s="81">
        <v>0</v>
      </c>
      <c r="G8" s="79">
        <f>+E8-F8</f>
        <v>4505</v>
      </c>
      <c r="H8" s="101">
        <f>+(E8-F8)/(D8*12)</f>
        <v>18.770833333333332</v>
      </c>
      <c r="I8" s="79">
        <f>IF(B8&lt;$I$5,E8,0)</f>
        <v>4505</v>
      </c>
      <c r="J8" s="76">
        <f>IF(B8&gt;$I$5,0,IF(($I$5-B8)/30.4375&gt;(D8*12),(D8*12),($I$5-B8)/30.4375))</f>
        <v>240</v>
      </c>
      <c r="K8" s="79">
        <f>IF(H8*J8&gt;I8,-I8,-H8*J8)</f>
        <v>-4505</v>
      </c>
      <c r="L8" s="101">
        <f>+I8+K8</f>
        <v>0</v>
      </c>
      <c r="M8" s="79">
        <f>IF(AND($I$5&lt;B8,B8&lt;$M$5+1),E8,0)</f>
        <v>0</v>
      </c>
      <c r="N8" s="79">
        <f>IF(AND($I$5&lt;C8,C8&lt;$M$5+1),-E8,0)</f>
        <v>0</v>
      </c>
      <c r="O8" s="79">
        <f>+I8+M8+N8</f>
        <v>4505</v>
      </c>
      <c r="P8" s="72"/>
      <c r="Q8" s="79">
        <f>-H8*P8</f>
        <v>0</v>
      </c>
      <c r="R8" s="79">
        <f>IF(O8=0,0,K8+Q8)</f>
        <v>-4505</v>
      </c>
      <c r="S8" s="101">
        <f>+O8+R8</f>
        <v>0</v>
      </c>
      <c r="T8" s="79">
        <f>IF(AND($M$5&lt;B8,J8&lt;$T$5+1),E8,0)</f>
        <v>0</v>
      </c>
      <c r="U8" s="79">
        <f>IF(AND($M$5&lt;C8,C8&lt;$T$5+1),-E8,0)</f>
        <v>0</v>
      </c>
      <c r="V8" s="79">
        <f>+O8+T8+U8</f>
        <v>4505</v>
      </c>
      <c r="W8" s="72"/>
      <c r="X8" s="79">
        <f>-H8*W8</f>
        <v>0</v>
      </c>
      <c r="Y8" s="79">
        <f>IF(V8=0,0,R8+X8)</f>
        <v>-4505</v>
      </c>
      <c r="Z8" s="126">
        <f>+V8+Y8</f>
        <v>0</v>
      </c>
      <c r="AA8" s="154" t="str">
        <f>IF(J8+P8+W8&lt;((D8*12)+1),"OK","ERROR")</f>
        <v>OK</v>
      </c>
    </row>
    <row r="9" spans="1:27" ht="15" customHeight="1">
      <c r="A9" s="115" t="s">
        <v>230</v>
      </c>
      <c r="B9" s="169">
        <v>27395</v>
      </c>
      <c r="C9" s="99"/>
      <c r="D9" s="72">
        <v>20</v>
      </c>
      <c r="E9" s="163">
        <v>4505</v>
      </c>
      <c r="F9" s="81">
        <v>0</v>
      </c>
      <c r="G9" s="79">
        <f aca="true" t="shared" si="0" ref="G9:G51">+E9-F9</f>
        <v>4505</v>
      </c>
      <c r="H9" s="101">
        <f aca="true" t="shared" si="1" ref="H9:H51">+(E9-F9)/(D9*12)</f>
        <v>18.770833333333332</v>
      </c>
      <c r="I9" s="79">
        <f aca="true" t="shared" si="2" ref="I9:I51">IF(B9&lt;$I$5,E9,0)</f>
        <v>4505</v>
      </c>
      <c r="J9" s="76">
        <f aca="true" t="shared" si="3" ref="J9:J51">IF(B9&gt;$I$5,0,IF(($I$5-B9)/30.4375&gt;(D9*12),(D9*12),($I$5-B9)/30.4375))</f>
        <v>240</v>
      </c>
      <c r="K9" s="79">
        <f aca="true" t="shared" si="4" ref="K9:K51">IF(H9*J9&gt;I9,-I9,-H9*J9)</f>
        <v>-4505</v>
      </c>
      <c r="L9" s="101">
        <f aca="true" t="shared" si="5" ref="L9:L51">+I9+K9</f>
        <v>0</v>
      </c>
      <c r="M9" s="79">
        <f aca="true" t="shared" si="6" ref="M9:M51">IF(AND($I$5&lt;B9,B9&lt;$M$5+1),E9,0)</f>
        <v>0</v>
      </c>
      <c r="N9" s="79">
        <f aca="true" t="shared" si="7" ref="N9:N51">IF(AND($I$5&lt;C9,C9&lt;$M$5+1),-E9,0)</f>
        <v>0</v>
      </c>
      <c r="O9" s="79">
        <f aca="true" t="shared" si="8" ref="O9:O51">+I9+M9+N9</f>
        <v>4505</v>
      </c>
      <c r="P9" s="72"/>
      <c r="Q9" s="79">
        <f aca="true" t="shared" si="9" ref="Q9:Q51">-H9*P9</f>
        <v>0</v>
      </c>
      <c r="R9" s="79">
        <f aca="true" t="shared" si="10" ref="R9:R51">IF(O9=0,0,K9+Q9)</f>
        <v>-4505</v>
      </c>
      <c r="S9" s="101">
        <f aca="true" t="shared" si="11" ref="S9:S51">+O9+R9</f>
        <v>0</v>
      </c>
      <c r="T9" s="79">
        <f aca="true" t="shared" si="12" ref="T9:T51">IF(AND($M$5&lt;B9,J9&lt;$T$5+1),E9,0)</f>
        <v>0</v>
      </c>
      <c r="U9" s="79">
        <f aca="true" t="shared" si="13" ref="U9:U51">IF(AND($M$5&lt;C9,C9&lt;$T$5+1),-E9,0)</f>
        <v>0</v>
      </c>
      <c r="V9" s="79">
        <f aca="true" t="shared" si="14" ref="V9:V51">+O9+T9+U9</f>
        <v>4505</v>
      </c>
      <c r="W9" s="72"/>
      <c r="X9" s="79">
        <f aca="true" t="shared" si="15" ref="X9:X51">-H9*W9</f>
        <v>0</v>
      </c>
      <c r="Y9" s="79">
        <f aca="true" t="shared" si="16" ref="Y9:Y51">IF(V9=0,0,R9+X9)</f>
        <v>-4505</v>
      </c>
      <c r="Z9" s="126">
        <f aca="true" t="shared" si="17" ref="Z9:Z51">+V9+Y9</f>
        <v>0</v>
      </c>
      <c r="AA9" s="154" t="str">
        <f aca="true" t="shared" si="18" ref="AA9:AA51">IF(J9+P9+W9&lt;((D9*12)+1),"OK","ERROR")</f>
        <v>OK</v>
      </c>
    </row>
    <row r="10" spans="1:27" ht="15" customHeight="1">
      <c r="A10" s="115" t="s">
        <v>231</v>
      </c>
      <c r="B10" s="169">
        <v>27395</v>
      </c>
      <c r="C10" s="99"/>
      <c r="D10" s="72">
        <v>20</v>
      </c>
      <c r="E10" s="163">
        <v>4505</v>
      </c>
      <c r="F10" s="81">
        <v>0</v>
      </c>
      <c r="G10" s="79">
        <f t="shared" si="0"/>
        <v>4505</v>
      </c>
      <c r="H10" s="101">
        <f t="shared" si="1"/>
        <v>18.770833333333332</v>
      </c>
      <c r="I10" s="79">
        <f t="shared" si="2"/>
        <v>4505</v>
      </c>
      <c r="J10" s="76">
        <f t="shared" si="3"/>
        <v>240</v>
      </c>
      <c r="K10" s="79">
        <f t="shared" si="4"/>
        <v>-4505</v>
      </c>
      <c r="L10" s="101">
        <f t="shared" si="5"/>
        <v>0</v>
      </c>
      <c r="M10" s="79">
        <f t="shared" si="6"/>
        <v>0</v>
      </c>
      <c r="N10" s="79">
        <f t="shared" si="7"/>
        <v>0</v>
      </c>
      <c r="O10" s="79">
        <f t="shared" si="8"/>
        <v>4505</v>
      </c>
      <c r="P10" s="72"/>
      <c r="Q10" s="79">
        <f t="shared" si="9"/>
        <v>0</v>
      </c>
      <c r="R10" s="79">
        <f t="shared" si="10"/>
        <v>-4505</v>
      </c>
      <c r="S10" s="101">
        <f t="shared" si="11"/>
        <v>0</v>
      </c>
      <c r="T10" s="79">
        <f t="shared" si="12"/>
        <v>0</v>
      </c>
      <c r="U10" s="79">
        <f t="shared" si="13"/>
        <v>0</v>
      </c>
      <c r="V10" s="79">
        <f t="shared" si="14"/>
        <v>4505</v>
      </c>
      <c r="W10" s="72"/>
      <c r="X10" s="79">
        <f t="shared" si="15"/>
        <v>0</v>
      </c>
      <c r="Y10" s="79">
        <f t="shared" si="16"/>
        <v>-4505</v>
      </c>
      <c r="Z10" s="126">
        <f t="shared" si="17"/>
        <v>0</v>
      </c>
      <c r="AA10" s="154" t="str">
        <f t="shared" si="18"/>
        <v>OK</v>
      </c>
    </row>
    <row r="11" spans="1:31" s="66" customFormat="1" ht="13.5" customHeight="1">
      <c r="A11" s="115" t="s">
        <v>232</v>
      </c>
      <c r="B11" s="169">
        <v>35796</v>
      </c>
      <c r="C11" s="99"/>
      <c r="D11" s="72">
        <v>20</v>
      </c>
      <c r="E11" s="163">
        <v>8921</v>
      </c>
      <c r="F11" s="81">
        <v>0</v>
      </c>
      <c r="G11" s="79">
        <f t="shared" si="0"/>
        <v>8921</v>
      </c>
      <c r="H11" s="101">
        <f t="shared" si="1"/>
        <v>37.170833333333334</v>
      </c>
      <c r="I11" s="79">
        <f t="shared" si="2"/>
        <v>8921</v>
      </c>
      <c r="J11" s="76">
        <f t="shared" si="3"/>
        <v>119.9835728952772</v>
      </c>
      <c r="K11" s="79">
        <f t="shared" si="4"/>
        <v>-4459.8893908282</v>
      </c>
      <c r="L11" s="101">
        <f t="shared" si="5"/>
        <v>4461.1106091718</v>
      </c>
      <c r="M11" s="79">
        <f t="shared" si="6"/>
        <v>0</v>
      </c>
      <c r="N11" s="79">
        <f t="shared" si="7"/>
        <v>0</v>
      </c>
      <c r="O11" s="79">
        <f t="shared" si="8"/>
        <v>8921</v>
      </c>
      <c r="P11" s="72">
        <v>12</v>
      </c>
      <c r="Q11" s="79">
        <f t="shared" si="9"/>
        <v>-446.05</v>
      </c>
      <c r="R11" s="79">
        <f t="shared" si="10"/>
        <v>-4905.9393908282</v>
      </c>
      <c r="S11" s="101">
        <f t="shared" si="11"/>
        <v>4015.0606091718</v>
      </c>
      <c r="T11" s="79">
        <f t="shared" si="12"/>
        <v>0</v>
      </c>
      <c r="U11" s="79">
        <f t="shared" si="13"/>
        <v>0</v>
      </c>
      <c r="V11" s="79">
        <f t="shared" si="14"/>
        <v>8921</v>
      </c>
      <c r="W11" s="72">
        <v>12</v>
      </c>
      <c r="X11" s="79">
        <f t="shared" si="15"/>
        <v>-446.05</v>
      </c>
      <c r="Y11" s="79">
        <f t="shared" si="16"/>
        <v>-5351.9893908282</v>
      </c>
      <c r="Z11" s="126">
        <f t="shared" si="17"/>
        <v>3569.0106091718</v>
      </c>
      <c r="AA11" s="154" t="str">
        <f t="shared" si="18"/>
        <v>OK</v>
      </c>
      <c r="AB11" s="60"/>
      <c r="AC11" s="60"/>
      <c r="AD11" s="60"/>
      <c r="AE11" s="60"/>
    </row>
    <row r="12" spans="1:31" s="66" customFormat="1" ht="13.5" customHeight="1">
      <c r="A12" s="115" t="s">
        <v>233</v>
      </c>
      <c r="B12" s="169">
        <v>29221</v>
      </c>
      <c r="C12" s="99"/>
      <c r="D12" s="72">
        <v>20</v>
      </c>
      <c r="E12" s="163">
        <v>7548</v>
      </c>
      <c r="F12" s="81">
        <v>0</v>
      </c>
      <c r="G12" s="79">
        <f t="shared" si="0"/>
        <v>7548</v>
      </c>
      <c r="H12" s="101">
        <f t="shared" si="1"/>
        <v>31.45</v>
      </c>
      <c r="I12" s="79">
        <f t="shared" si="2"/>
        <v>7548</v>
      </c>
      <c r="J12" s="76">
        <f t="shared" si="3"/>
        <v>240</v>
      </c>
      <c r="K12" s="79">
        <f t="shared" si="4"/>
        <v>-7548</v>
      </c>
      <c r="L12" s="101">
        <f t="shared" si="5"/>
        <v>0</v>
      </c>
      <c r="M12" s="79">
        <f t="shared" si="6"/>
        <v>0</v>
      </c>
      <c r="N12" s="79">
        <f t="shared" si="7"/>
        <v>0</v>
      </c>
      <c r="O12" s="79">
        <f t="shared" si="8"/>
        <v>7548</v>
      </c>
      <c r="P12" s="72"/>
      <c r="Q12" s="79">
        <f t="shared" si="9"/>
        <v>0</v>
      </c>
      <c r="R12" s="79">
        <f t="shared" si="10"/>
        <v>-7548</v>
      </c>
      <c r="S12" s="101">
        <f t="shared" si="11"/>
        <v>0</v>
      </c>
      <c r="T12" s="79">
        <f t="shared" si="12"/>
        <v>0</v>
      </c>
      <c r="U12" s="79">
        <f t="shared" si="13"/>
        <v>0</v>
      </c>
      <c r="V12" s="79">
        <f t="shared" si="14"/>
        <v>7548</v>
      </c>
      <c r="W12" s="72"/>
      <c r="X12" s="79">
        <f t="shared" si="15"/>
        <v>0</v>
      </c>
      <c r="Y12" s="79">
        <f t="shared" si="16"/>
        <v>-7548</v>
      </c>
      <c r="Z12" s="126">
        <f t="shared" si="17"/>
        <v>0</v>
      </c>
      <c r="AA12" s="154" t="str">
        <f t="shared" si="18"/>
        <v>OK</v>
      </c>
      <c r="AB12" s="60"/>
      <c r="AC12" s="64"/>
      <c r="AD12" s="60"/>
      <c r="AE12" s="64"/>
    </row>
    <row r="13" spans="1:34" ht="12.75" customHeight="1">
      <c r="A13" s="115" t="s">
        <v>234</v>
      </c>
      <c r="B13" s="169">
        <v>29221</v>
      </c>
      <c r="C13" s="99"/>
      <c r="D13" s="72">
        <v>20</v>
      </c>
      <c r="E13" s="163">
        <v>7548</v>
      </c>
      <c r="F13" s="81">
        <v>0</v>
      </c>
      <c r="G13" s="79">
        <f t="shared" si="0"/>
        <v>7548</v>
      </c>
      <c r="H13" s="101">
        <f t="shared" si="1"/>
        <v>31.45</v>
      </c>
      <c r="I13" s="79">
        <f t="shared" si="2"/>
        <v>7548</v>
      </c>
      <c r="J13" s="76">
        <f t="shared" si="3"/>
        <v>240</v>
      </c>
      <c r="K13" s="79">
        <f t="shared" si="4"/>
        <v>-7548</v>
      </c>
      <c r="L13" s="101">
        <f t="shared" si="5"/>
        <v>0</v>
      </c>
      <c r="M13" s="79">
        <f t="shared" si="6"/>
        <v>0</v>
      </c>
      <c r="N13" s="79">
        <f t="shared" si="7"/>
        <v>0</v>
      </c>
      <c r="O13" s="79">
        <f t="shared" si="8"/>
        <v>7548</v>
      </c>
      <c r="P13" s="72"/>
      <c r="Q13" s="79">
        <f t="shared" si="9"/>
        <v>0</v>
      </c>
      <c r="R13" s="79">
        <f t="shared" si="10"/>
        <v>-7548</v>
      </c>
      <c r="S13" s="101">
        <f t="shared" si="11"/>
        <v>0</v>
      </c>
      <c r="T13" s="79">
        <f t="shared" si="12"/>
        <v>0</v>
      </c>
      <c r="U13" s="79">
        <f t="shared" si="13"/>
        <v>0</v>
      </c>
      <c r="V13" s="79">
        <f t="shared" si="14"/>
        <v>7548</v>
      </c>
      <c r="W13" s="72"/>
      <c r="X13" s="79">
        <f t="shared" si="15"/>
        <v>0</v>
      </c>
      <c r="Y13" s="79">
        <f t="shared" si="16"/>
        <v>-7548</v>
      </c>
      <c r="Z13" s="126">
        <f t="shared" si="17"/>
        <v>0</v>
      </c>
      <c r="AA13" s="154" t="str">
        <f t="shared" si="18"/>
        <v>OK</v>
      </c>
      <c r="AF13" s="5"/>
      <c r="AG13" s="5"/>
      <c r="AH13" s="5"/>
    </row>
    <row r="14" spans="1:34" ht="12.75" customHeight="1">
      <c r="A14" s="115" t="s">
        <v>235</v>
      </c>
      <c r="B14" s="169">
        <v>29221</v>
      </c>
      <c r="C14" s="99"/>
      <c r="D14" s="72">
        <v>20</v>
      </c>
      <c r="E14" s="163">
        <v>7548</v>
      </c>
      <c r="F14" s="81">
        <v>0</v>
      </c>
      <c r="G14" s="79">
        <f t="shared" si="0"/>
        <v>7548</v>
      </c>
      <c r="H14" s="101">
        <f t="shared" si="1"/>
        <v>31.45</v>
      </c>
      <c r="I14" s="79">
        <f t="shared" si="2"/>
        <v>7548</v>
      </c>
      <c r="J14" s="76">
        <f t="shared" si="3"/>
        <v>240</v>
      </c>
      <c r="K14" s="79">
        <f t="shared" si="4"/>
        <v>-7548</v>
      </c>
      <c r="L14" s="101">
        <f t="shared" si="5"/>
        <v>0</v>
      </c>
      <c r="M14" s="79">
        <f t="shared" si="6"/>
        <v>0</v>
      </c>
      <c r="N14" s="79">
        <f t="shared" si="7"/>
        <v>0</v>
      </c>
      <c r="O14" s="79">
        <f t="shared" si="8"/>
        <v>7548</v>
      </c>
      <c r="P14" s="72"/>
      <c r="Q14" s="79">
        <f t="shared" si="9"/>
        <v>0</v>
      </c>
      <c r="R14" s="79">
        <f t="shared" si="10"/>
        <v>-7548</v>
      </c>
      <c r="S14" s="101">
        <f t="shared" si="11"/>
        <v>0</v>
      </c>
      <c r="T14" s="79">
        <f t="shared" si="12"/>
        <v>0</v>
      </c>
      <c r="U14" s="79">
        <f t="shared" si="13"/>
        <v>0</v>
      </c>
      <c r="V14" s="79">
        <f t="shared" si="14"/>
        <v>7548</v>
      </c>
      <c r="W14" s="72"/>
      <c r="X14" s="79">
        <f t="shared" si="15"/>
        <v>0</v>
      </c>
      <c r="Y14" s="79">
        <f t="shared" si="16"/>
        <v>-7548</v>
      </c>
      <c r="Z14" s="126">
        <f t="shared" si="17"/>
        <v>0</v>
      </c>
      <c r="AA14" s="154" t="str">
        <f t="shared" si="18"/>
        <v>OK</v>
      </c>
      <c r="AF14" s="5"/>
      <c r="AG14" s="5"/>
      <c r="AH14" s="5"/>
    </row>
    <row r="15" spans="1:34" ht="13.5" customHeight="1">
      <c r="A15" s="115" t="s">
        <v>236</v>
      </c>
      <c r="B15" s="169">
        <v>35796</v>
      </c>
      <c r="C15" s="99"/>
      <c r="D15" s="72">
        <v>20</v>
      </c>
      <c r="E15" s="163">
        <v>8921</v>
      </c>
      <c r="F15" s="81">
        <v>0</v>
      </c>
      <c r="G15" s="79">
        <f t="shared" si="0"/>
        <v>8921</v>
      </c>
      <c r="H15" s="101">
        <f t="shared" si="1"/>
        <v>37.170833333333334</v>
      </c>
      <c r="I15" s="79">
        <f t="shared" si="2"/>
        <v>8921</v>
      </c>
      <c r="J15" s="76">
        <f t="shared" si="3"/>
        <v>119.9835728952772</v>
      </c>
      <c r="K15" s="79">
        <f t="shared" si="4"/>
        <v>-4459.8893908282</v>
      </c>
      <c r="L15" s="101">
        <f t="shared" si="5"/>
        <v>4461.1106091718</v>
      </c>
      <c r="M15" s="79">
        <f t="shared" si="6"/>
        <v>0</v>
      </c>
      <c r="N15" s="79">
        <f t="shared" si="7"/>
        <v>0</v>
      </c>
      <c r="O15" s="79">
        <f t="shared" si="8"/>
        <v>8921</v>
      </c>
      <c r="P15" s="72">
        <v>12</v>
      </c>
      <c r="Q15" s="79">
        <f t="shared" si="9"/>
        <v>-446.05</v>
      </c>
      <c r="R15" s="79">
        <f t="shared" si="10"/>
        <v>-4905.9393908282</v>
      </c>
      <c r="S15" s="101">
        <f t="shared" si="11"/>
        <v>4015.0606091718</v>
      </c>
      <c r="T15" s="79">
        <f t="shared" si="12"/>
        <v>0</v>
      </c>
      <c r="U15" s="79">
        <f t="shared" si="13"/>
        <v>0</v>
      </c>
      <c r="V15" s="79">
        <f t="shared" si="14"/>
        <v>8921</v>
      </c>
      <c r="W15" s="72">
        <v>12</v>
      </c>
      <c r="X15" s="79">
        <f t="shared" si="15"/>
        <v>-446.05</v>
      </c>
      <c r="Y15" s="79">
        <f t="shared" si="16"/>
        <v>-5351.9893908282</v>
      </c>
      <c r="Z15" s="126">
        <f t="shared" si="17"/>
        <v>3569.0106091718</v>
      </c>
      <c r="AA15" s="154" t="str">
        <f t="shared" si="18"/>
        <v>OK</v>
      </c>
      <c r="AF15" s="5"/>
      <c r="AG15" s="5"/>
      <c r="AH15" s="5"/>
    </row>
    <row r="16" spans="1:34" ht="13.5" customHeight="1">
      <c r="A16" s="115" t="s">
        <v>237</v>
      </c>
      <c r="B16" s="169">
        <v>35796</v>
      </c>
      <c r="C16" s="100"/>
      <c r="D16" s="72">
        <v>20</v>
      </c>
      <c r="E16" s="163">
        <v>8921</v>
      </c>
      <c r="F16" s="81">
        <v>0</v>
      </c>
      <c r="G16" s="79">
        <f t="shared" si="0"/>
        <v>8921</v>
      </c>
      <c r="H16" s="101">
        <f t="shared" si="1"/>
        <v>37.170833333333334</v>
      </c>
      <c r="I16" s="79">
        <f t="shared" si="2"/>
        <v>8921</v>
      </c>
      <c r="J16" s="76">
        <f t="shared" si="3"/>
        <v>119.9835728952772</v>
      </c>
      <c r="K16" s="79">
        <f t="shared" si="4"/>
        <v>-4459.8893908282</v>
      </c>
      <c r="L16" s="101">
        <f t="shared" si="5"/>
        <v>4461.1106091718</v>
      </c>
      <c r="M16" s="79">
        <f t="shared" si="6"/>
        <v>0</v>
      </c>
      <c r="N16" s="79">
        <f t="shared" si="7"/>
        <v>0</v>
      </c>
      <c r="O16" s="79">
        <f t="shared" si="8"/>
        <v>8921</v>
      </c>
      <c r="P16" s="72">
        <v>12</v>
      </c>
      <c r="Q16" s="79">
        <f t="shared" si="9"/>
        <v>-446.05</v>
      </c>
      <c r="R16" s="79">
        <f t="shared" si="10"/>
        <v>-4905.9393908282</v>
      </c>
      <c r="S16" s="101">
        <f t="shared" si="11"/>
        <v>4015.0606091718</v>
      </c>
      <c r="T16" s="79">
        <f t="shared" si="12"/>
        <v>0</v>
      </c>
      <c r="U16" s="79">
        <f t="shared" si="13"/>
        <v>0</v>
      </c>
      <c r="V16" s="79">
        <f t="shared" si="14"/>
        <v>8921</v>
      </c>
      <c r="W16" s="72">
        <v>12</v>
      </c>
      <c r="X16" s="79">
        <f t="shared" si="15"/>
        <v>-446.05</v>
      </c>
      <c r="Y16" s="79">
        <f t="shared" si="16"/>
        <v>-5351.9893908282</v>
      </c>
      <c r="Z16" s="126">
        <f t="shared" si="17"/>
        <v>3569.0106091718</v>
      </c>
      <c r="AA16" s="154" t="str">
        <f t="shared" si="18"/>
        <v>OK</v>
      </c>
      <c r="AF16" s="5"/>
      <c r="AG16" s="5"/>
      <c r="AH16" s="5"/>
    </row>
    <row r="17" spans="1:34" ht="13.5" customHeight="1">
      <c r="A17" s="115" t="s">
        <v>238</v>
      </c>
      <c r="B17" s="169">
        <v>35796</v>
      </c>
      <c r="C17" s="99"/>
      <c r="D17" s="72">
        <v>20</v>
      </c>
      <c r="E17" s="163">
        <v>8921</v>
      </c>
      <c r="F17" s="81">
        <v>0</v>
      </c>
      <c r="G17" s="79">
        <f aca="true" t="shared" si="19" ref="G17:G29">+E17-F17</f>
        <v>8921</v>
      </c>
      <c r="H17" s="101">
        <f aca="true" t="shared" si="20" ref="H17:H29">+(E17-F17)/(D17*12)</f>
        <v>37.170833333333334</v>
      </c>
      <c r="I17" s="79">
        <f aca="true" t="shared" si="21" ref="I17:I29">IF(B17&lt;$I$5,E17,0)</f>
        <v>8921</v>
      </c>
      <c r="J17" s="76">
        <f aca="true" t="shared" si="22" ref="J17:J29">IF(B17&gt;$I$5,0,IF(($I$5-B17)/30.4375&gt;(D17*12),(D17*12),($I$5-B17)/30.4375))</f>
        <v>119.9835728952772</v>
      </c>
      <c r="K17" s="79">
        <f aca="true" t="shared" si="23" ref="K17:K29">IF(H17*J17&gt;I17,-I17,-H17*J17)</f>
        <v>-4459.8893908282</v>
      </c>
      <c r="L17" s="101">
        <f aca="true" t="shared" si="24" ref="L17:L29">+I17+K17</f>
        <v>4461.1106091718</v>
      </c>
      <c r="M17" s="79">
        <f aca="true" t="shared" si="25" ref="M17:M29">IF(AND($I$5&lt;B17,B17&lt;$M$5+1),E17,0)</f>
        <v>0</v>
      </c>
      <c r="N17" s="79">
        <f aca="true" t="shared" si="26" ref="N17:N29">IF(AND($I$5&lt;C17,C17&lt;$M$5+1),-E17,0)</f>
        <v>0</v>
      </c>
      <c r="O17" s="79">
        <f aca="true" t="shared" si="27" ref="O17:O29">+I17+M17+N17</f>
        <v>8921</v>
      </c>
      <c r="P17" s="72">
        <v>12</v>
      </c>
      <c r="Q17" s="79">
        <f aca="true" t="shared" si="28" ref="Q17:Q29">-H17*P17</f>
        <v>-446.05</v>
      </c>
      <c r="R17" s="79">
        <f aca="true" t="shared" si="29" ref="R17:R29">IF(O17=0,0,K17+Q17)</f>
        <v>-4905.9393908282</v>
      </c>
      <c r="S17" s="101">
        <f aca="true" t="shared" si="30" ref="S17:S29">+O17+R17</f>
        <v>4015.0606091718</v>
      </c>
      <c r="T17" s="79">
        <f aca="true" t="shared" si="31" ref="T17:T29">IF(AND($M$5&lt;B17,J17&lt;$T$5+1),E17,0)</f>
        <v>0</v>
      </c>
      <c r="U17" s="79">
        <f aca="true" t="shared" si="32" ref="U17:U29">IF(AND($M$5&lt;C17,C17&lt;$T$5+1),-E17,0)</f>
        <v>0</v>
      </c>
      <c r="V17" s="79">
        <f aca="true" t="shared" si="33" ref="V17:V29">+O17+T17+U17</f>
        <v>8921</v>
      </c>
      <c r="W17" s="72">
        <v>12</v>
      </c>
      <c r="X17" s="79">
        <f aca="true" t="shared" si="34" ref="X17:X29">-H17*W17</f>
        <v>-446.05</v>
      </c>
      <c r="Y17" s="79">
        <f aca="true" t="shared" si="35" ref="Y17:Y29">IF(V17=0,0,R17+X17)</f>
        <v>-5351.9893908282</v>
      </c>
      <c r="Z17" s="126">
        <f aca="true" t="shared" si="36" ref="Z17:Z29">+V17+Y17</f>
        <v>3569.0106091718</v>
      </c>
      <c r="AA17" s="154" t="str">
        <f aca="true" t="shared" si="37" ref="AA17:AA29">IF(J17+P17+W17&lt;((D17*12)+1),"OK","ERROR")</f>
        <v>OK</v>
      </c>
      <c r="AF17" s="5"/>
      <c r="AG17" s="5"/>
      <c r="AH17" s="5"/>
    </row>
    <row r="18" spans="1:34" ht="13.5" customHeight="1">
      <c r="A18" s="115" t="s">
        <v>239</v>
      </c>
      <c r="B18" s="169">
        <v>35796</v>
      </c>
      <c r="C18" s="100"/>
      <c r="D18" s="72">
        <v>20</v>
      </c>
      <c r="E18" s="163">
        <v>4461</v>
      </c>
      <c r="F18" s="81">
        <v>0</v>
      </c>
      <c r="G18" s="79">
        <f t="shared" si="19"/>
        <v>4461</v>
      </c>
      <c r="H18" s="101">
        <f t="shared" si="20"/>
        <v>18.5875</v>
      </c>
      <c r="I18" s="79">
        <f t="shared" si="21"/>
        <v>4461</v>
      </c>
      <c r="J18" s="76">
        <f t="shared" si="22"/>
        <v>119.9835728952772</v>
      </c>
      <c r="K18" s="79">
        <f t="shared" si="23"/>
        <v>-2230.194661190965</v>
      </c>
      <c r="L18" s="101">
        <f t="shared" si="24"/>
        <v>2230.805338809035</v>
      </c>
      <c r="M18" s="79">
        <f t="shared" si="25"/>
        <v>0</v>
      </c>
      <c r="N18" s="79">
        <f t="shared" si="26"/>
        <v>0</v>
      </c>
      <c r="O18" s="79">
        <f t="shared" si="27"/>
        <v>4461</v>
      </c>
      <c r="P18" s="72">
        <v>12</v>
      </c>
      <c r="Q18" s="79">
        <f t="shared" si="28"/>
        <v>-223.04999999999998</v>
      </c>
      <c r="R18" s="79">
        <f t="shared" si="29"/>
        <v>-2453.244661190965</v>
      </c>
      <c r="S18" s="101">
        <f t="shared" si="30"/>
        <v>2007.755338809035</v>
      </c>
      <c r="T18" s="79">
        <f t="shared" si="31"/>
        <v>0</v>
      </c>
      <c r="U18" s="79">
        <f t="shared" si="32"/>
        <v>0</v>
      </c>
      <c r="V18" s="79">
        <f t="shared" si="33"/>
        <v>4461</v>
      </c>
      <c r="W18" s="72">
        <v>12</v>
      </c>
      <c r="X18" s="79">
        <f t="shared" si="34"/>
        <v>-223.04999999999998</v>
      </c>
      <c r="Y18" s="79">
        <f t="shared" si="35"/>
        <v>-2676.294661190965</v>
      </c>
      <c r="Z18" s="126">
        <f t="shared" si="36"/>
        <v>1784.7053388090349</v>
      </c>
      <c r="AA18" s="154" t="str">
        <f t="shared" si="37"/>
        <v>OK</v>
      </c>
      <c r="AF18" s="5"/>
      <c r="AG18" s="5"/>
      <c r="AH18" s="5"/>
    </row>
    <row r="19" spans="1:34" ht="13.5" customHeight="1">
      <c r="A19" s="115" t="s">
        <v>240</v>
      </c>
      <c r="B19" s="169">
        <v>27395</v>
      </c>
      <c r="C19" s="100"/>
      <c r="D19" s="72">
        <v>20</v>
      </c>
      <c r="E19" s="163">
        <v>4505</v>
      </c>
      <c r="F19" s="81">
        <v>0</v>
      </c>
      <c r="G19" s="79">
        <f t="shared" si="19"/>
        <v>4505</v>
      </c>
      <c r="H19" s="101">
        <f t="shared" si="20"/>
        <v>18.770833333333332</v>
      </c>
      <c r="I19" s="79">
        <f t="shared" si="21"/>
        <v>4505</v>
      </c>
      <c r="J19" s="76">
        <f t="shared" si="22"/>
        <v>240</v>
      </c>
      <c r="K19" s="79">
        <f t="shared" si="23"/>
        <v>-4505</v>
      </c>
      <c r="L19" s="101">
        <f t="shared" si="24"/>
        <v>0</v>
      </c>
      <c r="M19" s="79">
        <f t="shared" si="25"/>
        <v>0</v>
      </c>
      <c r="N19" s="79">
        <f t="shared" si="26"/>
        <v>0</v>
      </c>
      <c r="O19" s="79">
        <f t="shared" si="27"/>
        <v>4505</v>
      </c>
      <c r="P19" s="72"/>
      <c r="Q19" s="79">
        <f t="shared" si="28"/>
        <v>0</v>
      </c>
      <c r="R19" s="79">
        <f t="shared" si="29"/>
        <v>-4505</v>
      </c>
      <c r="S19" s="101">
        <f t="shared" si="30"/>
        <v>0</v>
      </c>
      <c r="T19" s="79">
        <f t="shared" si="31"/>
        <v>0</v>
      </c>
      <c r="U19" s="79">
        <f t="shared" si="32"/>
        <v>0</v>
      </c>
      <c r="V19" s="79">
        <f t="shared" si="33"/>
        <v>4505</v>
      </c>
      <c r="W19" s="72"/>
      <c r="X19" s="79">
        <f t="shared" si="34"/>
        <v>0</v>
      </c>
      <c r="Y19" s="79">
        <f t="shared" si="35"/>
        <v>-4505</v>
      </c>
      <c r="Z19" s="126">
        <f t="shared" si="36"/>
        <v>0</v>
      </c>
      <c r="AA19" s="154" t="str">
        <f t="shared" si="37"/>
        <v>OK</v>
      </c>
      <c r="AF19" s="5"/>
      <c r="AG19" s="5"/>
      <c r="AH19" s="5"/>
    </row>
    <row r="20" spans="1:34" ht="13.5" customHeight="1">
      <c r="A20" s="115" t="s">
        <v>241</v>
      </c>
      <c r="B20" s="169">
        <v>27395</v>
      </c>
      <c r="C20" s="100"/>
      <c r="D20" s="72">
        <v>20</v>
      </c>
      <c r="E20" s="163">
        <v>4505</v>
      </c>
      <c r="F20" s="81">
        <v>0</v>
      </c>
      <c r="G20" s="79">
        <f t="shared" si="19"/>
        <v>4505</v>
      </c>
      <c r="H20" s="101">
        <f t="shared" si="20"/>
        <v>18.770833333333332</v>
      </c>
      <c r="I20" s="79">
        <f t="shared" si="21"/>
        <v>4505</v>
      </c>
      <c r="J20" s="76">
        <f t="shared" si="22"/>
        <v>240</v>
      </c>
      <c r="K20" s="79">
        <f t="shared" si="23"/>
        <v>-4505</v>
      </c>
      <c r="L20" s="101">
        <f t="shared" si="24"/>
        <v>0</v>
      </c>
      <c r="M20" s="79">
        <f t="shared" si="25"/>
        <v>0</v>
      </c>
      <c r="N20" s="79">
        <f t="shared" si="26"/>
        <v>0</v>
      </c>
      <c r="O20" s="79">
        <f t="shared" si="27"/>
        <v>4505</v>
      </c>
      <c r="P20" s="72"/>
      <c r="Q20" s="79">
        <f t="shared" si="28"/>
        <v>0</v>
      </c>
      <c r="R20" s="79">
        <f t="shared" si="29"/>
        <v>-4505</v>
      </c>
      <c r="S20" s="101">
        <f t="shared" si="30"/>
        <v>0</v>
      </c>
      <c r="T20" s="79">
        <f t="shared" si="31"/>
        <v>0</v>
      </c>
      <c r="U20" s="79">
        <f t="shared" si="32"/>
        <v>0</v>
      </c>
      <c r="V20" s="79">
        <f t="shared" si="33"/>
        <v>4505</v>
      </c>
      <c r="W20" s="72"/>
      <c r="X20" s="79">
        <f t="shared" si="34"/>
        <v>0</v>
      </c>
      <c r="Y20" s="79">
        <f t="shared" si="35"/>
        <v>-4505</v>
      </c>
      <c r="Z20" s="126">
        <f t="shared" si="36"/>
        <v>0</v>
      </c>
      <c r="AA20" s="154" t="str">
        <f t="shared" si="37"/>
        <v>OK</v>
      </c>
      <c r="AF20" s="5"/>
      <c r="AG20" s="5"/>
      <c r="AH20" s="5"/>
    </row>
    <row r="21" spans="1:34" ht="13.5" customHeight="1">
      <c r="A21" s="115" t="s">
        <v>242</v>
      </c>
      <c r="B21" s="169">
        <v>27395</v>
      </c>
      <c r="C21" s="99"/>
      <c r="D21" s="72">
        <v>20</v>
      </c>
      <c r="E21" s="163">
        <v>4505</v>
      </c>
      <c r="F21" s="81">
        <v>0</v>
      </c>
      <c r="G21" s="79">
        <f t="shared" si="19"/>
        <v>4505</v>
      </c>
      <c r="H21" s="101">
        <f t="shared" si="20"/>
        <v>18.770833333333332</v>
      </c>
      <c r="I21" s="79">
        <f t="shared" si="21"/>
        <v>4505</v>
      </c>
      <c r="J21" s="76">
        <f t="shared" si="22"/>
        <v>240</v>
      </c>
      <c r="K21" s="79">
        <f t="shared" si="23"/>
        <v>-4505</v>
      </c>
      <c r="L21" s="101">
        <f t="shared" si="24"/>
        <v>0</v>
      </c>
      <c r="M21" s="79">
        <f t="shared" si="25"/>
        <v>0</v>
      </c>
      <c r="N21" s="79">
        <f t="shared" si="26"/>
        <v>0</v>
      </c>
      <c r="O21" s="79">
        <f t="shared" si="27"/>
        <v>4505</v>
      </c>
      <c r="P21" s="72"/>
      <c r="Q21" s="79">
        <f t="shared" si="28"/>
        <v>0</v>
      </c>
      <c r="R21" s="79">
        <f t="shared" si="29"/>
        <v>-4505</v>
      </c>
      <c r="S21" s="101">
        <f t="shared" si="30"/>
        <v>0</v>
      </c>
      <c r="T21" s="79">
        <f t="shared" si="31"/>
        <v>0</v>
      </c>
      <c r="U21" s="79">
        <f t="shared" si="32"/>
        <v>0</v>
      </c>
      <c r="V21" s="79">
        <f t="shared" si="33"/>
        <v>4505</v>
      </c>
      <c r="W21" s="72"/>
      <c r="X21" s="79">
        <f t="shared" si="34"/>
        <v>0</v>
      </c>
      <c r="Y21" s="79">
        <f t="shared" si="35"/>
        <v>-4505</v>
      </c>
      <c r="Z21" s="126">
        <f t="shared" si="36"/>
        <v>0</v>
      </c>
      <c r="AA21" s="154" t="str">
        <f t="shared" si="37"/>
        <v>OK</v>
      </c>
      <c r="AF21" s="5"/>
      <c r="AG21" s="5"/>
      <c r="AH21" s="5"/>
    </row>
    <row r="22" spans="1:34" ht="13.5" customHeight="1">
      <c r="A22" s="115" t="s">
        <v>243</v>
      </c>
      <c r="B22" s="169">
        <v>27395</v>
      </c>
      <c r="C22" s="73"/>
      <c r="D22" s="72">
        <v>20</v>
      </c>
      <c r="E22" s="163">
        <v>4505</v>
      </c>
      <c r="F22" s="81">
        <v>0</v>
      </c>
      <c r="G22" s="79">
        <f t="shared" si="19"/>
        <v>4505</v>
      </c>
      <c r="H22" s="101">
        <f t="shared" si="20"/>
        <v>18.770833333333332</v>
      </c>
      <c r="I22" s="79">
        <f t="shared" si="21"/>
        <v>4505</v>
      </c>
      <c r="J22" s="76">
        <f t="shared" si="22"/>
        <v>240</v>
      </c>
      <c r="K22" s="79">
        <f t="shared" si="23"/>
        <v>-4505</v>
      </c>
      <c r="L22" s="101">
        <f t="shared" si="24"/>
        <v>0</v>
      </c>
      <c r="M22" s="79">
        <f t="shared" si="25"/>
        <v>0</v>
      </c>
      <c r="N22" s="79">
        <f t="shared" si="26"/>
        <v>0</v>
      </c>
      <c r="O22" s="79">
        <f t="shared" si="27"/>
        <v>4505</v>
      </c>
      <c r="P22" s="72"/>
      <c r="Q22" s="79">
        <f t="shared" si="28"/>
        <v>0</v>
      </c>
      <c r="R22" s="79">
        <f t="shared" si="29"/>
        <v>-4505</v>
      </c>
      <c r="S22" s="101">
        <f t="shared" si="30"/>
        <v>0</v>
      </c>
      <c r="T22" s="79">
        <f t="shared" si="31"/>
        <v>0</v>
      </c>
      <c r="U22" s="79">
        <f t="shared" si="32"/>
        <v>0</v>
      </c>
      <c r="V22" s="79">
        <f t="shared" si="33"/>
        <v>4505</v>
      </c>
      <c r="W22" s="72"/>
      <c r="X22" s="79">
        <f t="shared" si="34"/>
        <v>0</v>
      </c>
      <c r="Y22" s="79">
        <f t="shared" si="35"/>
        <v>-4505</v>
      </c>
      <c r="Z22" s="126">
        <f t="shared" si="36"/>
        <v>0</v>
      </c>
      <c r="AA22" s="154" t="str">
        <f t="shared" si="37"/>
        <v>OK</v>
      </c>
      <c r="AF22" s="5"/>
      <c r="AG22" s="5"/>
      <c r="AH22" s="5"/>
    </row>
    <row r="23" spans="1:34" ht="13.5" customHeight="1">
      <c r="A23" s="115" t="s">
        <v>244</v>
      </c>
      <c r="B23" s="169">
        <v>27395</v>
      </c>
      <c r="C23" s="73"/>
      <c r="D23" s="72">
        <v>20</v>
      </c>
      <c r="E23" s="163">
        <v>4505</v>
      </c>
      <c r="F23" s="81">
        <v>0</v>
      </c>
      <c r="G23" s="79">
        <f t="shared" si="19"/>
        <v>4505</v>
      </c>
      <c r="H23" s="101">
        <f t="shared" si="20"/>
        <v>18.770833333333332</v>
      </c>
      <c r="I23" s="79">
        <f t="shared" si="21"/>
        <v>4505</v>
      </c>
      <c r="J23" s="76">
        <f t="shared" si="22"/>
        <v>240</v>
      </c>
      <c r="K23" s="79">
        <f t="shared" si="23"/>
        <v>-4505</v>
      </c>
      <c r="L23" s="101">
        <f t="shared" si="24"/>
        <v>0</v>
      </c>
      <c r="M23" s="79">
        <f t="shared" si="25"/>
        <v>0</v>
      </c>
      <c r="N23" s="79">
        <f t="shared" si="26"/>
        <v>0</v>
      </c>
      <c r="O23" s="79">
        <f t="shared" si="27"/>
        <v>4505</v>
      </c>
      <c r="P23" s="72"/>
      <c r="Q23" s="79">
        <f t="shared" si="28"/>
        <v>0</v>
      </c>
      <c r="R23" s="79">
        <f t="shared" si="29"/>
        <v>-4505</v>
      </c>
      <c r="S23" s="101">
        <f t="shared" si="30"/>
        <v>0</v>
      </c>
      <c r="T23" s="79">
        <f t="shared" si="31"/>
        <v>0</v>
      </c>
      <c r="U23" s="79">
        <f t="shared" si="32"/>
        <v>0</v>
      </c>
      <c r="V23" s="79">
        <f t="shared" si="33"/>
        <v>4505</v>
      </c>
      <c r="W23" s="72"/>
      <c r="X23" s="79">
        <f t="shared" si="34"/>
        <v>0</v>
      </c>
      <c r="Y23" s="79">
        <f t="shared" si="35"/>
        <v>-4505</v>
      </c>
      <c r="Z23" s="126">
        <f t="shared" si="36"/>
        <v>0</v>
      </c>
      <c r="AA23" s="154" t="str">
        <f t="shared" si="37"/>
        <v>OK</v>
      </c>
      <c r="AF23" s="5"/>
      <c r="AG23" s="5"/>
      <c r="AH23" s="5"/>
    </row>
    <row r="24" spans="1:34" ht="13.5" customHeight="1">
      <c r="A24" s="115" t="s">
        <v>245</v>
      </c>
      <c r="B24" s="169">
        <v>27395</v>
      </c>
      <c r="C24" s="100"/>
      <c r="D24" s="72">
        <v>20</v>
      </c>
      <c r="E24" s="163">
        <v>4505</v>
      </c>
      <c r="F24" s="81">
        <v>0</v>
      </c>
      <c r="G24" s="79">
        <f t="shared" si="19"/>
        <v>4505</v>
      </c>
      <c r="H24" s="101">
        <f t="shared" si="20"/>
        <v>18.770833333333332</v>
      </c>
      <c r="I24" s="79">
        <f t="shared" si="21"/>
        <v>4505</v>
      </c>
      <c r="J24" s="76">
        <f t="shared" si="22"/>
        <v>240</v>
      </c>
      <c r="K24" s="79">
        <f t="shared" si="23"/>
        <v>-4505</v>
      </c>
      <c r="L24" s="101">
        <f t="shared" si="24"/>
        <v>0</v>
      </c>
      <c r="M24" s="79">
        <f t="shared" si="25"/>
        <v>0</v>
      </c>
      <c r="N24" s="79">
        <f t="shared" si="26"/>
        <v>0</v>
      </c>
      <c r="O24" s="79">
        <f t="shared" si="27"/>
        <v>4505</v>
      </c>
      <c r="P24" s="72"/>
      <c r="Q24" s="79">
        <f t="shared" si="28"/>
        <v>0</v>
      </c>
      <c r="R24" s="79">
        <f t="shared" si="29"/>
        <v>-4505</v>
      </c>
      <c r="S24" s="101">
        <f t="shared" si="30"/>
        <v>0</v>
      </c>
      <c r="T24" s="79">
        <f t="shared" si="31"/>
        <v>0</v>
      </c>
      <c r="U24" s="79">
        <f t="shared" si="32"/>
        <v>0</v>
      </c>
      <c r="V24" s="79">
        <f t="shared" si="33"/>
        <v>4505</v>
      </c>
      <c r="W24" s="72"/>
      <c r="X24" s="79">
        <f t="shared" si="34"/>
        <v>0</v>
      </c>
      <c r="Y24" s="79">
        <f t="shared" si="35"/>
        <v>-4505</v>
      </c>
      <c r="Z24" s="126">
        <f t="shared" si="36"/>
        <v>0</v>
      </c>
      <c r="AA24" s="154" t="str">
        <f t="shared" si="37"/>
        <v>OK</v>
      </c>
      <c r="AF24" s="5"/>
      <c r="AG24" s="5"/>
      <c r="AH24" s="5"/>
    </row>
    <row r="25" spans="1:34" ht="13.5" customHeight="1">
      <c r="A25" s="115" t="s">
        <v>246</v>
      </c>
      <c r="B25" s="169">
        <v>27395</v>
      </c>
      <c r="C25" s="100"/>
      <c r="D25" s="72">
        <v>20</v>
      </c>
      <c r="E25" s="163">
        <v>10199</v>
      </c>
      <c r="F25" s="81">
        <v>0</v>
      </c>
      <c r="G25" s="79">
        <f t="shared" si="19"/>
        <v>10199</v>
      </c>
      <c r="H25" s="101">
        <f t="shared" si="20"/>
        <v>42.49583333333333</v>
      </c>
      <c r="I25" s="79">
        <f t="shared" si="21"/>
        <v>10199</v>
      </c>
      <c r="J25" s="76">
        <f t="shared" si="22"/>
        <v>240</v>
      </c>
      <c r="K25" s="79">
        <f t="shared" si="23"/>
        <v>-10199</v>
      </c>
      <c r="L25" s="101">
        <f t="shared" si="24"/>
        <v>0</v>
      </c>
      <c r="M25" s="79">
        <f t="shared" si="25"/>
        <v>0</v>
      </c>
      <c r="N25" s="79">
        <f t="shared" si="26"/>
        <v>0</v>
      </c>
      <c r="O25" s="79">
        <f t="shared" si="27"/>
        <v>10199</v>
      </c>
      <c r="P25" s="72"/>
      <c r="Q25" s="79">
        <f t="shared" si="28"/>
        <v>0</v>
      </c>
      <c r="R25" s="79">
        <f t="shared" si="29"/>
        <v>-10199</v>
      </c>
      <c r="S25" s="101">
        <f t="shared" si="30"/>
        <v>0</v>
      </c>
      <c r="T25" s="79">
        <f t="shared" si="31"/>
        <v>0</v>
      </c>
      <c r="U25" s="79">
        <f t="shared" si="32"/>
        <v>0</v>
      </c>
      <c r="V25" s="79">
        <f t="shared" si="33"/>
        <v>10199</v>
      </c>
      <c r="W25" s="72"/>
      <c r="X25" s="79">
        <f t="shared" si="34"/>
        <v>0</v>
      </c>
      <c r="Y25" s="79">
        <f t="shared" si="35"/>
        <v>-10199</v>
      </c>
      <c r="Z25" s="126">
        <f t="shared" si="36"/>
        <v>0</v>
      </c>
      <c r="AA25" s="154" t="str">
        <f t="shared" si="37"/>
        <v>OK</v>
      </c>
      <c r="AF25" s="5"/>
      <c r="AG25" s="5"/>
      <c r="AH25" s="5"/>
    </row>
    <row r="26" spans="1:34" ht="13.5" customHeight="1">
      <c r="A26" s="115" t="s">
        <v>247</v>
      </c>
      <c r="B26" s="169">
        <v>27395</v>
      </c>
      <c r="C26" s="100"/>
      <c r="D26" s="72">
        <v>20</v>
      </c>
      <c r="E26" s="163">
        <v>4505</v>
      </c>
      <c r="F26" s="81">
        <v>0</v>
      </c>
      <c r="G26" s="79">
        <f t="shared" si="19"/>
        <v>4505</v>
      </c>
      <c r="H26" s="101">
        <f t="shared" si="20"/>
        <v>18.770833333333332</v>
      </c>
      <c r="I26" s="79">
        <f t="shared" si="21"/>
        <v>4505</v>
      </c>
      <c r="J26" s="76">
        <f t="shared" si="22"/>
        <v>240</v>
      </c>
      <c r="K26" s="79">
        <f t="shared" si="23"/>
        <v>-4505</v>
      </c>
      <c r="L26" s="101">
        <f t="shared" si="24"/>
        <v>0</v>
      </c>
      <c r="M26" s="79">
        <f t="shared" si="25"/>
        <v>0</v>
      </c>
      <c r="N26" s="79">
        <f t="shared" si="26"/>
        <v>0</v>
      </c>
      <c r="O26" s="79">
        <f t="shared" si="27"/>
        <v>4505</v>
      </c>
      <c r="P26" s="72"/>
      <c r="Q26" s="79">
        <f t="shared" si="28"/>
        <v>0</v>
      </c>
      <c r="R26" s="79">
        <f t="shared" si="29"/>
        <v>-4505</v>
      </c>
      <c r="S26" s="101">
        <f t="shared" si="30"/>
        <v>0</v>
      </c>
      <c r="T26" s="79">
        <f t="shared" si="31"/>
        <v>0</v>
      </c>
      <c r="U26" s="79">
        <f t="shared" si="32"/>
        <v>0</v>
      </c>
      <c r="V26" s="79">
        <f t="shared" si="33"/>
        <v>4505</v>
      </c>
      <c r="W26" s="72"/>
      <c r="X26" s="79">
        <f t="shared" si="34"/>
        <v>0</v>
      </c>
      <c r="Y26" s="79">
        <f t="shared" si="35"/>
        <v>-4505</v>
      </c>
      <c r="Z26" s="126">
        <f t="shared" si="36"/>
        <v>0</v>
      </c>
      <c r="AA26" s="154" t="str">
        <f t="shared" si="37"/>
        <v>OK</v>
      </c>
      <c r="AF26" s="5"/>
      <c r="AG26" s="5"/>
      <c r="AH26" s="5"/>
    </row>
    <row r="27" spans="1:34" ht="13.5" customHeight="1">
      <c r="A27" s="115" t="s">
        <v>248</v>
      </c>
      <c r="B27" s="169">
        <v>27395</v>
      </c>
      <c r="C27" s="100"/>
      <c r="D27" s="72">
        <v>20</v>
      </c>
      <c r="E27" s="163">
        <v>7658</v>
      </c>
      <c r="F27" s="81">
        <v>0</v>
      </c>
      <c r="G27" s="79">
        <f t="shared" si="19"/>
        <v>7658</v>
      </c>
      <c r="H27" s="101">
        <f t="shared" si="20"/>
        <v>31.908333333333335</v>
      </c>
      <c r="I27" s="79">
        <f t="shared" si="21"/>
        <v>7658</v>
      </c>
      <c r="J27" s="76">
        <f t="shared" si="22"/>
        <v>240</v>
      </c>
      <c r="K27" s="79">
        <f t="shared" si="23"/>
        <v>-7658</v>
      </c>
      <c r="L27" s="101">
        <f t="shared" si="24"/>
        <v>0</v>
      </c>
      <c r="M27" s="79">
        <f t="shared" si="25"/>
        <v>0</v>
      </c>
      <c r="N27" s="79">
        <f t="shared" si="26"/>
        <v>0</v>
      </c>
      <c r="O27" s="79">
        <f t="shared" si="27"/>
        <v>7658</v>
      </c>
      <c r="P27" s="72"/>
      <c r="Q27" s="79">
        <f t="shared" si="28"/>
        <v>0</v>
      </c>
      <c r="R27" s="79">
        <f t="shared" si="29"/>
        <v>-7658</v>
      </c>
      <c r="S27" s="101">
        <f t="shared" si="30"/>
        <v>0</v>
      </c>
      <c r="T27" s="79">
        <f t="shared" si="31"/>
        <v>0</v>
      </c>
      <c r="U27" s="79">
        <f t="shared" si="32"/>
        <v>0</v>
      </c>
      <c r="V27" s="79">
        <f t="shared" si="33"/>
        <v>7658</v>
      </c>
      <c r="W27" s="72"/>
      <c r="X27" s="79">
        <f t="shared" si="34"/>
        <v>0</v>
      </c>
      <c r="Y27" s="79">
        <f t="shared" si="35"/>
        <v>-7658</v>
      </c>
      <c r="Z27" s="126">
        <f t="shared" si="36"/>
        <v>0</v>
      </c>
      <c r="AA27" s="154" t="str">
        <f t="shared" si="37"/>
        <v>OK</v>
      </c>
      <c r="AF27" s="5"/>
      <c r="AG27" s="5"/>
      <c r="AH27" s="5"/>
    </row>
    <row r="28" spans="1:34" ht="13.5" customHeight="1">
      <c r="A28" s="115" t="s">
        <v>249</v>
      </c>
      <c r="B28" s="169">
        <v>27395</v>
      </c>
      <c r="C28" s="100"/>
      <c r="D28" s="72">
        <v>20</v>
      </c>
      <c r="E28" s="163">
        <v>4505</v>
      </c>
      <c r="F28" s="81">
        <v>0</v>
      </c>
      <c r="G28" s="79">
        <f t="shared" si="19"/>
        <v>4505</v>
      </c>
      <c r="H28" s="101">
        <f t="shared" si="20"/>
        <v>18.770833333333332</v>
      </c>
      <c r="I28" s="79">
        <f t="shared" si="21"/>
        <v>4505</v>
      </c>
      <c r="J28" s="76">
        <f t="shared" si="22"/>
        <v>240</v>
      </c>
      <c r="K28" s="79">
        <f t="shared" si="23"/>
        <v>-4505</v>
      </c>
      <c r="L28" s="101">
        <f t="shared" si="24"/>
        <v>0</v>
      </c>
      <c r="M28" s="79">
        <f t="shared" si="25"/>
        <v>0</v>
      </c>
      <c r="N28" s="79">
        <f t="shared" si="26"/>
        <v>0</v>
      </c>
      <c r="O28" s="79">
        <f t="shared" si="27"/>
        <v>4505</v>
      </c>
      <c r="P28" s="72"/>
      <c r="Q28" s="79">
        <f t="shared" si="28"/>
        <v>0</v>
      </c>
      <c r="R28" s="79">
        <f t="shared" si="29"/>
        <v>-4505</v>
      </c>
      <c r="S28" s="101">
        <f t="shared" si="30"/>
        <v>0</v>
      </c>
      <c r="T28" s="79">
        <f t="shared" si="31"/>
        <v>0</v>
      </c>
      <c r="U28" s="79">
        <f t="shared" si="32"/>
        <v>0</v>
      </c>
      <c r="V28" s="79">
        <f t="shared" si="33"/>
        <v>4505</v>
      </c>
      <c r="W28" s="72"/>
      <c r="X28" s="79">
        <f t="shared" si="34"/>
        <v>0</v>
      </c>
      <c r="Y28" s="79">
        <f t="shared" si="35"/>
        <v>-4505</v>
      </c>
      <c r="Z28" s="126">
        <f t="shared" si="36"/>
        <v>0</v>
      </c>
      <c r="AA28" s="154" t="str">
        <f t="shared" si="37"/>
        <v>OK</v>
      </c>
      <c r="AF28" s="5"/>
      <c r="AG28" s="5"/>
      <c r="AH28" s="5"/>
    </row>
    <row r="29" spans="1:34" ht="13.5" customHeight="1">
      <c r="A29" s="115" t="s">
        <v>250</v>
      </c>
      <c r="B29" s="169">
        <v>27395</v>
      </c>
      <c r="C29" s="99"/>
      <c r="D29" s="72">
        <v>20</v>
      </c>
      <c r="E29" s="163">
        <v>4505</v>
      </c>
      <c r="F29" s="81">
        <v>0</v>
      </c>
      <c r="G29" s="79">
        <f t="shared" si="19"/>
        <v>4505</v>
      </c>
      <c r="H29" s="101">
        <f t="shared" si="20"/>
        <v>18.770833333333332</v>
      </c>
      <c r="I29" s="79">
        <f t="shared" si="21"/>
        <v>4505</v>
      </c>
      <c r="J29" s="76">
        <f t="shared" si="22"/>
        <v>240</v>
      </c>
      <c r="K29" s="79">
        <f t="shared" si="23"/>
        <v>-4505</v>
      </c>
      <c r="L29" s="101">
        <f t="shared" si="24"/>
        <v>0</v>
      </c>
      <c r="M29" s="79">
        <f t="shared" si="25"/>
        <v>0</v>
      </c>
      <c r="N29" s="79">
        <f t="shared" si="26"/>
        <v>0</v>
      </c>
      <c r="O29" s="79">
        <f t="shared" si="27"/>
        <v>4505</v>
      </c>
      <c r="P29" s="72"/>
      <c r="Q29" s="79">
        <f t="shared" si="28"/>
        <v>0</v>
      </c>
      <c r="R29" s="79">
        <f t="shared" si="29"/>
        <v>-4505</v>
      </c>
      <c r="S29" s="101">
        <f t="shared" si="30"/>
        <v>0</v>
      </c>
      <c r="T29" s="79">
        <f t="shared" si="31"/>
        <v>0</v>
      </c>
      <c r="U29" s="79">
        <f t="shared" si="32"/>
        <v>0</v>
      </c>
      <c r="V29" s="79">
        <f t="shared" si="33"/>
        <v>4505</v>
      </c>
      <c r="W29" s="72"/>
      <c r="X29" s="79">
        <f t="shared" si="34"/>
        <v>0</v>
      </c>
      <c r="Y29" s="79">
        <f t="shared" si="35"/>
        <v>-4505</v>
      </c>
      <c r="Z29" s="126">
        <f t="shared" si="36"/>
        <v>0</v>
      </c>
      <c r="AA29" s="154" t="str">
        <f t="shared" si="37"/>
        <v>OK</v>
      </c>
      <c r="AF29" s="5"/>
      <c r="AG29" s="5"/>
      <c r="AH29" s="5"/>
    </row>
    <row r="30" spans="1:34" ht="13.5" customHeight="1">
      <c r="A30" s="115" t="s">
        <v>251</v>
      </c>
      <c r="B30" s="169">
        <v>27395</v>
      </c>
      <c r="C30" s="99"/>
      <c r="D30" s="72">
        <v>20</v>
      </c>
      <c r="E30" s="163">
        <v>4505</v>
      </c>
      <c r="F30" s="81">
        <v>0</v>
      </c>
      <c r="G30" s="79">
        <f t="shared" si="0"/>
        <v>4505</v>
      </c>
      <c r="H30" s="101">
        <f t="shared" si="1"/>
        <v>18.770833333333332</v>
      </c>
      <c r="I30" s="79">
        <f t="shared" si="2"/>
        <v>4505</v>
      </c>
      <c r="J30" s="76">
        <f t="shared" si="3"/>
        <v>240</v>
      </c>
      <c r="K30" s="79">
        <f t="shared" si="4"/>
        <v>-4505</v>
      </c>
      <c r="L30" s="101">
        <f t="shared" si="5"/>
        <v>0</v>
      </c>
      <c r="M30" s="79">
        <f t="shared" si="6"/>
        <v>0</v>
      </c>
      <c r="N30" s="79">
        <f t="shared" si="7"/>
        <v>0</v>
      </c>
      <c r="O30" s="79">
        <f t="shared" si="8"/>
        <v>4505</v>
      </c>
      <c r="P30" s="72"/>
      <c r="Q30" s="79">
        <f t="shared" si="9"/>
        <v>0</v>
      </c>
      <c r="R30" s="79">
        <f t="shared" si="10"/>
        <v>-4505</v>
      </c>
      <c r="S30" s="101">
        <f t="shared" si="11"/>
        <v>0</v>
      </c>
      <c r="T30" s="79">
        <f t="shared" si="12"/>
        <v>0</v>
      </c>
      <c r="U30" s="79">
        <f t="shared" si="13"/>
        <v>0</v>
      </c>
      <c r="V30" s="79">
        <f t="shared" si="14"/>
        <v>4505</v>
      </c>
      <c r="W30" s="72"/>
      <c r="X30" s="79">
        <f t="shared" si="15"/>
        <v>0</v>
      </c>
      <c r="Y30" s="79">
        <f t="shared" si="16"/>
        <v>-4505</v>
      </c>
      <c r="Z30" s="126">
        <f t="shared" si="17"/>
        <v>0</v>
      </c>
      <c r="AA30" s="154" t="str">
        <f t="shared" si="18"/>
        <v>OK</v>
      </c>
      <c r="AF30" s="5"/>
      <c r="AG30" s="5"/>
      <c r="AH30" s="5"/>
    </row>
    <row r="31" spans="1:34" ht="13.5" customHeight="1">
      <c r="A31" s="115" t="s">
        <v>252</v>
      </c>
      <c r="B31" s="169">
        <v>27395</v>
      </c>
      <c r="C31" s="99"/>
      <c r="D31" s="72">
        <v>20</v>
      </c>
      <c r="E31" s="163">
        <v>4505</v>
      </c>
      <c r="F31" s="81">
        <v>0</v>
      </c>
      <c r="G31" s="79">
        <f t="shared" si="0"/>
        <v>4505</v>
      </c>
      <c r="H31" s="101">
        <f t="shared" si="1"/>
        <v>18.770833333333332</v>
      </c>
      <c r="I31" s="79">
        <f t="shared" si="2"/>
        <v>4505</v>
      </c>
      <c r="J31" s="76">
        <f t="shared" si="3"/>
        <v>240</v>
      </c>
      <c r="K31" s="79">
        <f t="shared" si="4"/>
        <v>-4505</v>
      </c>
      <c r="L31" s="101">
        <f t="shared" si="5"/>
        <v>0</v>
      </c>
      <c r="M31" s="79">
        <f t="shared" si="6"/>
        <v>0</v>
      </c>
      <c r="N31" s="79">
        <f t="shared" si="7"/>
        <v>0</v>
      </c>
      <c r="O31" s="79">
        <f t="shared" si="8"/>
        <v>4505</v>
      </c>
      <c r="P31" s="72"/>
      <c r="Q31" s="79">
        <f t="shared" si="9"/>
        <v>0</v>
      </c>
      <c r="R31" s="79">
        <f t="shared" si="10"/>
        <v>-4505</v>
      </c>
      <c r="S31" s="101">
        <f t="shared" si="11"/>
        <v>0</v>
      </c>
      <c r="T31" s="79">
        <f t="shared" si="12"/>
        <v>0</v>
      </c>
      <c r="U31" s="79">
        <f t="shared" si="13"/>
        <v>0</v>
      </c>
      <c r="V31" s="79">
        <f t="shared" si="14"/>
        <v>4505</v>
      </c>
      <c r="W31" s="72"/>
      <c r="X31" s="79">
        <f t="shared" si="15"/>
        <v>0</v>
      </c>
      <c r="Y31" s="79">
        <f t="shared" si="16"/>
        <v>-4505</v>
      </c>
      <c r="Z31" s="126">
        <f t="shared" si="17"/>
        <v>0</v>
      </c>
      <c r="AA31" s="154" t="str">
        <f t="shared" si="18"/>
        <v>OK</v>
      </c>
      <c r="AF31" s="5"/>
      <c r="AG31" s="5"/>
      <c r="AH31" s="5"/>
    </row>
    <row r="32" spans="1:34" ht="13.5" customHeight="1">
      <c r="A32" s="115" t="s">
        <v>253</v>
      </c>
      <c r="B32" s="169">
        <v>27395</v>
      </c>
      <c r="C32" s="99"/>
      <c r="D32" s="72">
        <v>20</v>
      </c>
      <c r="E32" s="163">
        <v>4505</v>
      </c>
      <c r="F32" s="81">
        <v>0</v>
      </c>
      <c r="G32" s="79">
        <f t="shared" si="0"/>
        <v>4505</v>
      </c>
      <c r="H32" s="101">
        <f t="shared" si="1"/>
        <v>18.770833333333332</v>
      </c>
      <c r="I32" s="79">
        <f t="shared" si="2"/>
        <v>4505</v>
      </c>
      <c r="J32" s="76">
        <f t="shared" si="3"/>
        <v>240</v>
      </c>
      <c r="K32" s="79">
        <f t="shared" si="4"/>
        <v>-4505</v>
      </c>
      <c r="L32" s="101">
        <f t="shared" si="5"/>
        <v>0</v>
      </c>
      <c r="M32" s="79">
        <f t="shared" si="6"/>
        <v>0</v>
      </c>
      <c r="N32" s="79">
        <f t="shared" si="7"/>
        <v>0</v>
      </c>
      <c r="O32" s="79">
        <f t="shared" si="8"/>
        <v>4505</v>
      </c>
      <c r="P32" s="72"/>
      <c r="Q32" s="79">
        <f t="shared" si="9"/>
        <v>0</v>
      </c>
      <c r="R32" s="79">
        <f t="shared" si="10"/>
        <v>-4505</v>
      </c>
      <c r="S32" s="101">
        <f t="shared" si="11"/>
        <v>0</v>
      </c>
      <c r="T32" s="79">
        <f t="shared" si="12"/>
        <v>0</v>
      </c>
      <c r="U32" s="79">
        <f t="shared" si="13"/>
        <v>0</v>
      </c>
      <c r="V32" s="79">
        <f t="shared" si="14"/>
        <v>4505</v>
      </c>
      <c r="W32" s="72"/>
      <c r="X32" s="79">
        <f t="shared" si="15"/>
        <v>0</v>
      </c>
      <c r="Y32" s="79">
        <f t="shared" si="16"/>
        <v>-4505</v>
      </c>
      <c r="Z32" s="126">
        <f t="shared" si="17"/>
        <v>0</v>
      </c>
      <c r="AA32" s="154" t="str">
        <f t="shared" si="18"/>
        <v>OK</v>
      </c>
      <c r="AF32" s="5"/>
      <c r="AG32" s="5"/>
      <c r="AH32" s="5"/>
    </row>
    <row r="33" spans="1:34" ht="13.5" customHeight="1">
      <c r="A33" s="115" t="s">
        <v>254</v>
      </c>
      <c r="B33" s="169">
        <v>29221</v>
      </c>
      <c r="C33" s="99"/>
      <c r="D33" s="72">
        <v>20</v>
      </c>
      <c r="E33" s="163">
        <v>7548</v>
      </c>
      <c r="F33" s="81">
        <v>0</v>
      </c>
      <c r="G33" s="79">
        <f t="shared" si="0"/>
        <v>7548</v>
      </c>
      <c r="H33" s="101">
        <f t="shared" si="1"/>
        <v>31.45</v>
      </c>
      <c r="I33" s="79">
        <f t="shared" si="2"/>
        <v>7548</v>
      </c>
      <c r="J33" s="76">
        <f t="shared" si="3"/>
        <v>240</v>
      </c>
      <c r="K33" s="79">
        <f t="shared" si="4"/>
        <v>-7548</v>
      </c>
      <c r="L33" s="101">
        <f t="shared" si="5"/>
        <v>0</v>
      </c>
      <c r="M33" s="79">
        <f t="shared" si="6"/>
        <v>0</v>
      </c>
      <c r="N33" s="79">
        <f t="shared" si="7"/>
        <v>0</v>
      </c>
      <c r="O33" s="79">
        <f t="shared" si="8"/>
        <v>7548</v>
      </c>
      <c r="P33" s="72"/>
      <c r="Q33" s="79">
        <f t="shared" si="9"/>
        <v>0</v>
      </c>
      <c r="R33" s="79">
        <f t="shared" si="10"/>
        <v>-7548</v>
      </c>
      <c r="S33" s="101">
        <f t="shared" si="11"/>
        <v>0</v>
      </c>
      <c r="T33" s="79">
        <f t="shared" si="12"/>
        <v>0</v>
      </c>
      <c r="U33" s="79">
        <f t="shared" si="13"/>
        <v>0</v>
      </c>
      <c r="V33" s="79">
        <f t="shared" si="14"/>
        <v>7548</v>
      </c>
      <c r="W33" s="72"/>
      <c r="X33" s="79">
        <f t="shared" si="15"/>
        <v>0</v>
      </c>
      <c r="Y33" s="79">
        <f t="shared" si="16"/>
        <v>-7548</v>
      </c>
      <c r="Z33" s="126">
        <f t="shared" si="17"/>
        <v>0</v>
      </c>
      <c r="AA33" s="154" t="str">
        <f t="shared" si="18"/>
        <v>OK</v>
      </c>
      <c r="AF33" s="5"/>
      <c r="AG33" s="5"/>
      <c r="AH33" s="5"/>
    </row>
    <row r="34" spans="1:34" ht="13.5" customHeight="1">
      <c r="A34" s="115" t="s">
        <v>255</v>
      </c>
      <c r="B34" s="169">
        <v>29221</v>
      </c>
      <c r="C34" s="99"/>
      <c r="D34" s="72">
        <v>20</v>
      </c>
      <c r="E34" s="163">
        <v>3774</v>
      </c>
      <c r="F34" s="81">
        <v>0</v>
      </c>
      <c r="G34" s="79">
        <f t="shared" si="0"/>
        <v>3774</v>
      </c>
      <c r="H34" s="101">
        <f t="shared" si="1"/>
        <v>15.725</v>
      </c>
      <c r="I34" s="79">
        <f t="shared" si="2"/>
        <v>3774</v>
      </c>
      <c r="J34" s="76">
        <f t="shared" si="3"/>
        <v>240</v>
      </c>
      <c r="K34" s="79">
        <f t="shared" si="4"/>
        <v>-3774</v>
      </c>
      <c r="L34" s="101">
        <f t="shared" si="5"/>
        <v>0</v>
      </c>
      <c r="M34" s="79">
        <f t="shared" si="6"/>
        <v>0</v>
      </c>
      <c r="N34" s="79">
        <f t="shared" si="7"/>
        <v>0</v>
      </c>
      <c r="O34" s="79">
        <f t="shared" si="8"/>
        <v>3774</v>
      </c>
      <c r="P34" s="72"/>
      <c r="Q34" s="79">
        <f t="shared" si="9"/>
        <v>0</v>
      </c>
      <c r="R34" s="79">
        <f t="shared" si="10"/>
        <v>-3774</v>
      </c>
      <c r="S34" s="101">
        <f t="shared" si="11"/>
        <v>0</v>
      </c>
      <c r="T34" s="79">
        <f t="shared" si="12"/>
        <v>0</v>
      </c>
      <c r="U34" s="79">
        <f t="shared" si="13"/>
        <v>0</v>
      </c>
      <c r="V34" s="79">
        <f t="shared" si="14"/>
        <v>3774</v>
      </c>
      <c r="W34" s="72"/>
      <c r="X34" s="79">
        <f t="shared" si="15"/>
        <v>0</v>
      </c>
      <c r="Y34" s="79">
        <f t="shared" si="16"/>
        <v>-3774</v>
      </c>
      <c r="Z34" s="126">
        <f t="shared" si="17"/>
        <v>0</v>
      </c>
      <c r="AA34" s="154" t="str">
        <f t="shared" si="18"/>
        <v>OK</v>
      </c>
      <c r="AF34" s="5"/>
      <c r="AG34" s="5"/>
      <c r="AH34" s="5"/>
    </row>
    <row r="35" spans="1:34" ht="13.5" customHeight="1">
      <c r="A35" s="115" t="s">
        <v>256</v>
      </c>
      <c r="B35" s="169">
        <v>29221</v>
      </c>
      <c r="C35" s="99"/>
      <c r="D35" s="72">
        <v>20</v>
      </c>
      <c r="E35" s="163">
        <v>3774</v>
      </c>
      <c r="F35" s="81">
        <v>0</v>
      </c>
      <c r="G35" s="79">
        <f t="shared" si="0"/>
        <v>3774</v>
      </c>
      <c r="H35" s="101">
        <f t="shared" si="1"/>
        <v>15.725</v>
      </c>
      <c r="I35" s="79">
        <f t="shared" si="2"/>
        <v>3774</v>
      </c>
      <c r="J35" s="76">
        <f t="shared" si="3"/>
        <v>240</v>
      </c>
      <c r="K35" s="79">
        <f t="shared" si="4"/>
        <v>-3774</v>
      </c>
      <c r="L35" s="101">
        <f t="shared" si="5"/>
        <v>0</v>
      </c>
      <c r="M35" s="79">
        <f t="shared" si="6"/>
        <v>0</v>
      </c>
      <c r="N35" s="79">
        <f t="shared" si="7"/>
        <v>0</v>
      </c>
      <c r="O35" s="79">
        <f t="shared" si="8"/>
        <v>3774</v>
      </c>
      <c r="P35" s="72"/>
      <c r="Q35" s="79">
        <f t="shared" si="9"/>
        <v>0</v>
      </c>
      <c r="R35" s="79">
        <f t="shared" si="10"/>
        <v>-3774</v>
      </c>
      <c r="S35" s="101">
        <f t="shared" si="11"/>
        <v>0</v>
      </c>
      <c r="T35" s="79">
        <f t="shared" si="12"/>
        <v>0</v>
      </c>
      <c r="U35" s="79">
        <f t="shared" si="13"/>
        <v>0</v>
      </c>
      <c r="V35" s="79">
        <f t="shared" si="14"/>
        <v>3774</v>
      </c>
      <c r="W35" s="72"/>
      <c r="X35" s="79">
        <f t="shared" si="15"/>
        <v>0</v>
      </c>
      <c r="Y35" s="79">
        <f t="shared" si="16"/>
        <v>-3774</v>
      </c>
      <c r="Z35" s="126">
        <f t="shared" si="17"/>
        <v>0</v>
      </c>
      <c r="AA35" s="154" t="str">
        <f t="shared" si="18"/>
        <v>OK</v>
      </c>
      <c r="AF35" s="5"/>
      <c r="AG35" s="5"/>
      <c r="AH35" s="5"/>
    </row>
    <row r="36" spans="1:34" ht="13.5" customHeight="1">
      <c r="A36" s="115" t="s">
        <v>257</v>
      </c>
      <c r="B36" s="169">
        <v>29221</v>
      </c>
      <c r="C36" s="99"/>
      <c r="D36" s="72">
        <v>20</v>
      </c>
      <c r="E36" s="163">
        <v>7548</v>
      </c>
      <c r="F36" s="81">
        <v>0</v>
      </c>
      <c r="G36" s="79">
        <f t="shared" si="0"/>
        <v>7548</v>
      </c>
      <c r="H36" s="101">
        <f t="shared" si="1"/>
        <v>31.45</v>
      </c>
      <c r="I36" s="79">
        <f t="shared" si="2"/>
        <v>7548</v>
      </c>
      <c r="J36" s="76">
        <f t="shared" si="3"/>
        <v>240</v>
      </c>
      <c r="K36" s="79">
        <f t="shared" si="4"/>
        <v>-7548</v>
      </c>
      <c r="L36" s="101">
        <f t="shared" si="5"/>
        <v>0</v>
      </c>
      <c r="M36" s="79">
        <f t="shared" si="6"/>
        <v>0</v>
      </c>
      <c r="N36" s="79">
        <f t="shared" si="7"/>
        <v>0</v>
      </c>
      <c r="O36" s="79">
        <f t="shared" si="8"/>
        <v>7548</v>
      </c>
      <c r="P36" s="72"/>
      <c r="Q36" s="79">
        <f t="shared" si="9"/>
        <v>0</v>
      </c>
      <c r="R36" s="79">
        <f t="shared" si="10"/>
        <v>-7548</v>
      </c>
      <c r="S36" s="101">
        <f t="shared" si="11"/>
        <v>0</v>
      </c>
      <c r="T36" s="79">
        <f t="shared" si="12"/>
        <v>0</v>
      </c>
      <c r="U36" s="79">
        <f t="shared" si="13"/>
        <v>0</v>
      </c>
      <c r="V36" s="79">
        <f t="shared" si="14"/>
        <v>7548</v>
      </c>
      <c r="W36" s="72"/>
      <c r="X36" s="79">
        <f t="shared" si="15"/>
        <v>0</v>
      </c>
      <c r="Y36" s="79">
        <f t="shared" si="16"/>
        <v>-7548</v>
      </c>
      <c r="Z36" s="126">
        <f t="shared" si="17"/>
        <v>0</v>
      </c>
      <c r="AA36" s="154" t="str">
        <f t="shared" si="18"/>
        <v>OK</v>
      </c>
      <c r="AF36" s="5"/>
      <c r="AG36" s="5"/>
      <c r="AH36" s="5"/>
    </row>
    <row r="37" spans="1:27" ht="13.5" customHeight="1">
      <c r="A37" s="115" t="s">
        <v>258</v>
      </c>
      <c r="B37" s="169">
        <v>29221</v>
      </c>
      <c r="C37" s="99"/>
      <c r="D37" s="72">
        <v>20</v>
      </c>
      <c r="E37" s="163">
        <v>7548</v>
      </c>
      <c r="F37" s="81">
        <v>0</v>
      </c>
      <c r="G37" s="79">
        <f t="shared" si="0"/>
        <v>7548</v>
      </c>
      <c r="H37" s="101">
        <f t="shared" si="1"/>
        <v>31.45</v>
      </c>
      <c r="I37" s="79">
        <f t="shared" si="2"/>
        <v>7548</v>
      </c>
      <c r="J37" s="76">
        <f t="shared" si="3"/>
        <v>240</v>
      </c>
      <c r="K37" s="79">
        <f t="shared" si="4"/>
        <v>-7548</v>
      </c>
      <c r="L37" s="101">
        <f t="shared" si="5"/>
        <v>0</v>
      </c>
      <c r="M37" s="79">
        <f t="shared" si="6"/>
        <v>0</v>
      </c>
      <c r="N37" s="79">
        <f t="shared" si="7"/>
        <v>0</v>
      </c>
      <c r="O37" s="79">
        <f t="shared" si="8"/>
        <v>7548</v>
      </c>
      <c r="P37" s="72"/>
      <c r="Q37" s="79">
        <f t="shared" si="9"/>
        <v>0</v>
      </c>
      <c r="R37" s="79">
        <f t="shared" si="10"/>
        <v>-7548</v>
      </c>
      <c r="S37" s="101">
        <f t="shared" si="11"/>
        <v>0</v>
      </c>
      <c r="T37" s="79">
        <f t="shared" si="12"/>
        <v>0</v>
      </c>
      <c r="U37" s="79">
        <f t="shared" si="13"/>
        <v>0</v>
      </c>
      <c r="V37" s="79">
        <f t="shared" si="14"/>
        <v>7548</v>
      </c>
      <c r="W37" s="72"/>
      <c r="X37" s="79">
        <f t="shared" si="15"/>
        <v>0</v>
      </c>
      <c r="Y37" s="79">
        <f t="shared" si="16"/>
        <v>-7548</v>
      </c>
      <c r="Z37" s="126">
        <f t="shared" si="17"/>
        <v>0</v>
      </c>
      <c r="AA37" s="154" t="str">
        <f t="shared" si="18"/>
        <v>OK</v>
      </c>
    </row>
    <row r="38" spans="1:27" ht="13.5" customHeight="1">
      <c r="A38" s="115" t="s">
        <v>259</v>
      </c>
      <c r="B38" s="169">
        <v>29221</v>
      </c>
      <c r="C38" s="99"/>
      <c r="D38" s="72">
        <v>20</v>
      </c>
      <c r="E38" s="163">
        <v>7548</v>
      </c>
      <c r="F38" s="81">
        <v>0</v>
      </c>
      <c r="G38" s="79">
        <f t="shared" si="0"/>
        <v>7548</v>
      </c>
      <c r="H38" s="101">
        <f t="shared" si="1"/>
        <v>31.45</v>
      </c>
      <c r="I38" s="79">
        <f t="shared" si="2"/>
        <v>7548</v>
      </c>
      <c r="J38" s="76">
        <f t="shared" si="3"/>
        <v>240</v>
      </c>
      <c r="K38" s="79">
        <f t="shared" si="4"/>
        <v>-7548</v>
      </c>
      <c r="L38" s="101">
        <f t="shared" si="5"/>
        <v>0</v>
      </c>
      <c r="M38" s="79">
        <f t="shared" si="6"/>
        <v>0</v>
      </c>
      <c r="N38" s="79">
        <f t="shared" si="7"/>
        <v>0</v>
      </c>
      <c r="O38" s="79">
        <f t="shared" si="8"/>
        <v>7548</v>
      </c>
      <c r="P38" s="72"/>
      <c r="Q38" s="79">
        <f t="shared" si="9"/>
        <v>0</v>
      </c>
      <c r="R38" s="79">
        <f t="shared" si="10"/>
        <v>-7548</v>
      </c>
      <c r="S38" s="101">
        <f t="shared" si="11"/>
        <v>0</v>
      </c>
      <c r="T38" s="79">
        <f t="shared" si="12"/>
        <v>0</v>
      </c>
      <c r="U38" s="79">
        <f t="shared" si="13"/>
        <v>0</v>
      </c>
      <c r="V38" s="79">
        <f t="shared" si="14"/>
        <v>7548</v>
      </c>
      <c r="W38" s="72"/>
      <c r="X38" s="79">
        <f t="shared" si="15"/>
        <v>0</v>
      </c>
      <c r="Y38" s="79">
        <f t="shared" si="16"/>
        <v>-7548</v>
      </c>
      <c r="Z38" s="126">
        <f t="shared" si="17"/>
        <v>0</v>
      </c>
      <c r="AA38" s="154" t="str">
        <f t="shared" si="18"/>
        <v>OK</v>
      </c>
    </row>
    <row r="39" spans="1:27" ht="13.5" customHeight="1">
      <c r="A39" s="115" t="s">
        <v>260</v>
      </c>
      <c r="B39" s="169">
        <v>29221</v>
      </c>
      <c r="C39" s="99"/>
      <c r="D39" s="72">
        <v>20</v>
      </c>
      <c r="E39" s="163">
        <v>7548</v>
      </c>
      <c r="F39" s="81">
        <v>0</v>
      </c>
      <c r="G39" s="79">
        <f t="shared" si="0"/>
        <v>7548</v>
      </c>
      <c r="H39" s="101">
        <f t="shared" si="1"/>
        <v>31.45</v>
      </c>
      <c r="I39" s="79">
        <f t="shared" si="2"/>
        <v>7548</v>
      </c>
      <c r="J39" s="76">
        <f t="shared" si="3"/>
        <v>240</v>
      </c>
      <c r="K39" s="79">
        <f t="shared" si="4"/>
        <v>-7548</v>
      </c>
      <c r="L39" s="101">
        <f t="shared" si="5"/>
        <v>0</v>
      </c>
      <c r="M39" s="79">
        <f t="shared" si="6"/>
        <v>0</v>
      </c>
      <c r="N39" s="79">
        <f t="shared" si="7"/>
        <v>0</v>
      </c>
      <c r="O39" s="79">
        <f t="shared" si="8"/>
        <v>7548</v>
      </c>
      <c r="P39" s="72"/>
      <c r="Q39" s="79">
        <f t="shared" si="9"/>
        <v>0</v>
      </c>
      <c r="R39" s="79">
        <f t="shared" si="10"/>
        <v>-7548</v>
      </c>
      <c r="S39" s="101">
        <f t="shared" si="11"/>
        <v>0</v>
      </c>
      <c r="T39" s="79">
        <f t="shared" si="12"/>
        <v>0</v>
      </c>
      <c r="U39" s="79">
        <f t="shared" si="13"/>
        <v>0</v>
      </c>
      <c r="V39" s="79">
        <f t="shared" si="14"/>
        <v>7548</v>
      </c>
      <c r="W39" s="72"/>
      <c r="X39" s="79">
        <f t="shared" si="15"/>
        <v>0</v>
      </c>
      <c r="Y39" s="79">
        <f t="shared" si="16"/>
        <v>-7548</v>
      </c>
      <c r="Z39" s="126">
        <f t="shared" si="17"/>
        <v>0</v>
      </c>
      <c r="AA39" s="154" t="str">
        <f t="shared" si="18"/>
        <v>OK</v>
      </c>
    </row>
    <row r="40" spans="1:27" ht="13.5" customHeight="1">
      <c r="A40" s="115" t="s">
        <v>261</v>
      </c>
      <c r="B40" s="169">
        <v>29221</v>
      </c>
      <c r="C40" s="99"/>
      <c r="D40" s="72">
        <v>20</v>
      </c>
      <c r="E40" s="163">
        <v>7548</v>
      </c>
      <c r="F40" s="81">
        <v>0</v>
      </c>
      <c r="G40" s="79">
        <f t="shared" si="0"/>
        <v>7548</v>
      </c>
      <c r="H40" s="101">
        <f t="shared" si="1"/>
        <v>31.45</v>
      </c>
      <c r="I40" s="79">
        <f t="shared" si="2"/>
        <v>7548</v>
      </c>
      <c r="J40" s="76">
        <f t="shared" si="3"/>
        <v>240</v>
      </c>
      <c r="K40" s="79">
        <f t="shared" si="4"/>
        <v>-7548</v>
      </c>
      <c r="L40" s="101">
        <f t="shared" si="5"/>
        <v>0</v>
      </c>
      <c r="M40" s="79">
        <f t="shared" si="6"/>
        <v>0</v>
      </c>
      <c r="N40" s="79">
        <f t="shared" si="7"/>
        <v>0</v>
      </c>
      <c r="O40" s="79">
        <f t="shared" si="8"/>
        <v>7548</v>
      </c>
      <c r="P40" s="72"/>
      <c r="Q40" s="79">
        <f t="shared" si="9"/>
        <v>0</v>
      </c>
      <c r="R40" s="79">
        <f t="shared" si="10"/>
        <v>-7548</v>
      </c>
      <c r="S40" s="101">
        <f t="shared" si="11"/>
        <v>0</v>
      </c>
      <c r="T40" s="79">
        <f t="shared" si="12"/>
        <v>0</v>
      </c>
      <c r="U40" s="79">
        <f t="shared" si="13"/>
        <v>0</v>
      </c>
      <c r="V40" s="79">
        <f t="shared" si="14"/>
        <v>7548</v>
      </c>
      <c r="W40" s="72"/>
      <c r="X40" s="79">
        <f t="shared" si="15"/>
        <v>0</v>
      </c>
      <c r="Y40" s="79">
        <f t="shared" si="16"/>
        <v>-7548</v>
      </c>
      <c r="Z40" s="126">
        <f t="shared" si="17"/>
        <v>0</v>
      </c>
      <c r="AA40" s="154" t="str">
        <f t="shared" si="18"/>
        <v>OK</v>
      </c>
    </row>
    <row r="41" spans="1:27" ht="13.5" customHeight="1">
      <c r="A41" s="115" t="s">
        <v>262</v>
      </c>
      <c r="B41" s="169">
        <v>29221</v>
      </c>
      <c r="C41" s="99"/>
      <c r="D41" s="72">
        <v>20</v>
      </c>
      <c r="E41" s="163">
        <v>7548</v>
      </c>
      <c r="F41" s="81">
        <v>0</v>
      </c>
      <c r="G41" s="79">
        <f t="shared" si="0"/>
        <v>7548</v>
      </c>
      <c r="H41" s="101">
        <f t="shared" si="1"/>
        <v>31.45</v>
      </c>
      <c r="I41" s="79">
        <f t="shared" si="2"/>
        <v>7548</v>
      </c>
      <c r="J41" s="76">
        <f t="shared" si="3"/>
        <v>240</v>
      </c>
      <c r="K41" s="79">
        <f t="shared" si="4"/>
        <v>-7548</v>
      </c>
      <c r="L41" s="101">
        <f t="shared" si="5"/>
        <v>0</v>
      </c>
      <c r="M41" s="79">
        <f t="shared" si="6"/>
        <v>0</v>
      </c>
      <c r="N41" s="79">
        <f t="shared" si="7"/>
        <v>0</v>
      </c>
      <c r="O41" s="79">
        <f t="shared" si="8"/>
        <v>7548</v>
      </c>
      <c r="P41" s="72"/>
      <c r="Q41" s="79">
        <f t="shared" si="9"/>
        <v>0</v>
      </c>
      <c r="R41" s="79">
        <f t="shared" si="10"/>
        <v>-7548</v>
      </c>
      <c r="S41" s="101">
        <f t="shared" si="11"/>
        <v>0</v>
      </c>
      <c r="T41" s="79">
        <f t="shared" si="12"/>
        <v>0</v>
      </c>
      <c r="U41" s="79">
        <f t="shared" si="13"/>
        <v>0</v>
      </c>
      <c r="V41" s="79">
        <f t="shared" si="14"/>
        <v>7548</v>
      </c>
      <c r="W41" s="72"/>
      <c r="X41" s="79">
        <f t="shared" si="15"/>
        <v>0</v>
      </c>
      <c r="Y41" s="79">
        <f t="shared" si="16"/>
        <v>-7548</v>
      </c>
      <c r="Z41" s="126">
        <f t="shared" si="17"/>
        <v>0</v>
      </c>
      <c r="AA41" s="154" t="str">
        <f t="shared" si="18"/>
        <v>OK</v>
      </c>
    </row>
    <row r="42" spans="1:27" ht="13.5" customHeight="1">
      <c r="A42" s="115" t="s">
        <v>263</v>
      </c>
      <c r="B42" s="169">
        <v>35796</v>
      </c>
      <c r="C42" s="99"/>
      <c r="D42" s="72">
        <v>20</v>
      </c>
      <c r="E42" s="163">
        <v>4461</v>
      </c>
      <c r="F42" s="81">
        <v>0</v>
      </c>
      <c r="G42" s="79">
        <f t="shared" si="0"/>
        <v>4461</v>
      </c>
      <c r="H42" s="101">
        <f t="shared" si="1"/>
        <v>18.5875</v>
      </c>
      <c r="I42" s="79">
        <f t="shared" si="2"/>
        <v>4461</v>
      </c>
      <c r="J42" s="76">
        <f t="shared" si="3"/>
        <v>119.9835728952772</v>
      </c>
      <c r="K42" s="79">
        <f t="shared" si="4"/>
        <v>-2230.194661190965</v>
      </c>
      <c r="L42" s="101">
        <f t="shared" si="5"/>
        <v>2230.805338809035</v>
      </c>
      <c r="M42" s="79">
        <f t="shared" si="6"/>
        <v>0</v>
      </c>
      <c r="N42" s="79">
        <f t="shared" si="7"/>
        <v>0</v>
      </c>
      <c r="O42" s="79">
        <f t="shared" si="8"/>
        <v>4461</v>
      </c>
      <c r="P42" s="72">
        <v>12</v>
      </c>
      <c r="Q42" s="79">
        <f t="shared" si="9"/>
        <v>-223.04999999999998</v>
      </c>
      <c r="R42" s="79">
        <f t="shared" si="10"/>
        <v>-2453.244661190965</v>
      </c>
      <c r="S42" s="101">
        <f t="shared" si="11"/>
        <v>2007.755338809035</v>
      </c>
      <c r="T42" s="79">
        <f t="shared" si="12"/>
        <v>0</v>
      </c>
      <c r="U42" s="79">
        <f t="shared" si="13"/>
        <v>0</v>
      </c>
      <c r="V42" s="79">
        <f t="shared" si="14"/>
        <v>4461</v>
      </c>
      <c r="W42" s="72">
        <v>12</v>
      </c>
      <c r="X42" s="79">
        <f t="shared" si="15"/>
        <v>-223.04999999999998</v>
      </c>
      <c r="Y42" s="79">
        <f t="shared" si="16"/>
        <v>-2676.294661190965</v>
      </c>
      <c r="Z42" s="126">
        <f t="shared" si="17"/>
        <v>1784.7053388090349</v>
      </c>
      <c r="AA42" s="154" t="str">
        <f t="shared" si="18"/>
        <v>OK</v>
      </c>
    </row>
    <row r="43" spans="1:27" ht="13.5" customHeight="1">
      <c r="A43" s="117"/>
      <c r="B43" s="98" t="s">
        <v>59</v>
      </c>
      <c r="C43" s="100"/>
      <c r="D43" s="72">
        <v>20</v>
      </c>
      <c r="E43" s="81"/>
      <c r="F43" s="81">
        <v>0</v>
      </c>
      <c r="G43" s="79">
        <f t="shared" si="0"/>
        <v>0</v>
      </c>
      <c r="H43" s="101">
        <f t="shared" si="1"/>
        <v>0</v>
      </c>
      <c r="I43" s="79">
        <f t="shared" si="2"/>
        <v>0</v>
      </c>
      <c r="J43" s="76">
        <f t="shared" si="3"/>
        <v>0</v>
      </c>
      <c r="K43" s="79">
        <f t="shared" si="4"/>
        <v>0</v>
      </c>
      <c r="L43" s="101">
        <f t="shared" si="5"/>
        <v>0</v>
      </c>
      <c r="M43" s="79">
        <f t="shared" si="6"/>
        <v>0</v>
      </c>
      <c r="N43" s="79">
        <f t="shared" si="7"/>
        <v>0</v>
      </c>
      <c r="O43" s="79">
        <f t="shared" si="8"/>
        <v>0</v>
      </c>
      <c r="P43" s="72"/>
      <c r="Q43" s="79">
        <f t="shared" si="9"/>
        <v>0</v>
      </c>
      <c r="R43" s="79">
        <f t="shared" si="10"/>
        <v>0</v>
      </c>
      <c r="S43" s="101">
        <f t="shared" si="11"/>
        <v>0</v>
      </c>
      <c r="T43" s="79">
        <f t="shared" si="12"/>
        <v>0</v>
      </c>
      <c r="U43" s="79">
        <f t="shared" si="13"/>
        <v>0</v>
      </c>
      <c r="V43" s="79">
        <f t="shared" si="14"/>
        <v>0</v>
      </c>
      <c r="W43" s="72"/>
      <c r="X43" s="79">
        <f t="shared" si="15"/>
        <v>0</v>
      </c>
      <c r="Y43" s="79">
        <f t="shared" si="16"/>
        <v>0</v>
      </c>
      <c r="Z43" s="126">
        <f t="shared" si="17"/>
        <v>0</v>
      </c>
      <c r="AA43" s="154" t="str">
        <f t="shared" si="18"/>
        <v>OK</v>
      </c>
    </row>
    <row r="44" spans="1:27" ht="13.5" customHeight="1">
      <c r="A44" s="117"/>
      <c r="B44" s="98" t="s">
        <v>59</v>
      </c>
      <c r="C44" s="100"/>
      <c r="D44" s="72">
        <v>20</v>
      </c>
      <c r="E44" s="81"/>
      <c r="F44" s="81">
        <v>0</v>
      </c>
      <c r="G44" s="79">
        <f t="shared" si="0"/>
        <v>0</v>
      </c>
      <c r="H44" s="101">
        <f t="shared" si="1"/>
        <v>0</v>
      </c>
      <c r="I44" s="79">
        <f t="shared" si="2"/>
        <v>0</v>
      </c>
      <c r="J44" s="76">
        <f t="shared" si="3"/>
        <v>0</v>
      </c>
      <c r="K44" s="79">
        <f t="shared" si="4"/>
        <v>0</v>
      </c>
      <c r="L44" s="101">
        <f t="shared" si="5"/>
        <v>0</v>
      </c>
      <c r="M44" s="79">
        <f t="shared" si="6"/>
        <v>0</v>
      </c>
      <c r="N44" s="79">
        <f t="shared" si="7"/>
        <v>0</v>
      </c>
      <c r="O44" s="79">
        <f t="shared" si="8"/>
        <v>0</v>
      </c>
      <c r="P44" s="72"/>
      <c r="Q44" s="79">
        <f t="shared" si="9"/>
        <v>0</v>
      </c>
      <c r="R44" s="79">
        <f t="shared" si="10"/>
        <v>0</v>
      </c>
      <c r="S44" s="101">
        <f t="shared" si="11"/>
        <v>0</v>
      </c>
      <c r="T44" s="79">
        <f t="shared" si="12"/>
        <v>0</v>
      </c>
      <c r="U44" s="79">
        <f t="shared" si="13"/>
        <v>0</v>
      </c>
      <c r="V44" s="79">
        <f t="shared" si="14"/>
        <v>0</v>
      </c>
      <c r="W44" s="72"/>
      <c r="X44" s="79">
        <f t="shared" si="15"/>
        <v>0</v>
      </c>
      <c r="Y44" s="79">
        <f t="shared" si="16"/>
        <v>0</v>
      </c>
      <c r="Z44" s="126">
        <f t="shared" si="17"/>
        <v>0</v>
      </c>
      <c r="AA44" s="154" t="str">
        <f t="shared" si="18"/>
        <v>OK</v>
      </c>
    </row>
    <row r="45" spans="1:27" ht="12" customHeight="1">
      <c r="A45" s="117"/>
      <c r="B45" s="98" t="s">
        <v>59</v>
      </c>
      <c r="C45" s="100"/>
      <c r="D45" s="72">
        <v>20</v>
      </c>
      <c r="E45" s="81"/>
      <c r="F45" s="81">
        <v>0</v>
      </c>
      <c r="G45" s="79">
        <f t="shared" si="0"/>
        <v>0</v>
      </c>
      <c r="H45" s="101">
        <f t="shared" si="1"/>
        <v>0</v>
      </c>
      <c r="I45" s="79">
        <f t="shared" si="2"/>
        <v>0</v>
      </c>
      <c r="J45" s="76">
        <f t="shared" si="3"/>
        <v>0</v>
      </c>
      <c r="K45" s="79">
        <f t="shared" si="4"/>
        <v>0</v>
      </c>
      <c r="L45" s="101">
        <f t="shared" si="5"/>
        <v>0</v>
      </c>
      <c r="M45" s="79">
        <f t="shared" si="6"/>
        <v>0</v>
      </c>
      <c r="N45" s="79">
        <f t="shared" si="7"/>
        <v>0</v>
      </c>
      <c r="O45" s="79">
        <f t="shared" si="8"/>
        <v>0</v>
      </c>
      <c r="P45" s="72"/>
      <c r="Q45" s="79">
        <f t="shared" si="9"/>
        <v>0</v>
      </c>
      <c r="R45" s="79">
        <f t="shared" si="10"/>
        <v>0</v>
      </c>
      <c r="S45" s="101">
        <f t="shared" si="11"/>
        <v>0</v>
      </c>
      <c r="T45" s="79">
        <f t="shared" si="12"/>
        <v>0</v>
      </c>
      <c r="U45" s="79">
        <f t="shared" si="13"/>
        <v>0</v>
      </c>
      <c r="V45" s="79">
        <f t="shared" si="14"/>
        <v>0</v>
      </c>
      <c r="W45" s="72"/>
      <c r="X45" s="79">
        <f t="shared" si="15"/>
        <v>0</v>
      </c>
      <c r="Y45" s="79">
        <f t="shared" si="16"/>
        <v>0</v>
      </c>
      <c r="Z45" s="126">
        <f t="shared" si="17"/>
        <v>0</v>
      </c>
      <c r="AA45" s="154" t="str">
        <f t="shared" si="18"/>
        <v>OK</v>
      </c>
    </row>
    <row r="46" spans="1:27" ht="12" customHeight="1">
      <c r="A46" s="117"/>
      <c r="B46" s="98" t="s">
        <v>59</v>
      </c>
      <c r="C46" s="100"/>
      <c r="D46" s="72">
        <v>20</v>
      </c>
      <c r="E46" s="81"/>
      <c r="F46" s="81">
        <v>0</v>
      </c>
      <c r="G46" s="79">
        <f t="shared" si="0"/>
        <v>0</v>
      </c>
      <c r="H46" s="101">
        <f t="shared" si="1"/>
        <v>0</v>
      </c>
      <c r="I46" s="79">
        <f t="shared" si="2"/>
        <v>0</v>
      </c>
      <c r="J46" s="76">
        <f t="shared" si="3"/>
        <v>0</v>
      </c>
      <c r="K46" s="79">
        <f t="shared" si="4"/>
        <v>0</v>
      </c>
      <c r="L46" s="101">
        <f t="shared" si="5"/>
        <v>0</v>
      </c>
      <c r="M46" s="79">
        <f t="shared" si="6"/>
        <v>0</v>
      </c>
      <c r="N46" s="79">
        <f t="shared" si="7"/>
        <v>0</v>
      </c>
      <c r="O46" s="79">
        <f t="shared" si="8"/>
        <v>0</v>
      </c>
      <c r="P46" s="72"/>
      <c r="Q46" s="79">
        <f t="shared" si="9"/>
        <v>0</v>
      </c>
      <c r="R46" s="79">
        <f t="shared" si="10"/>
        <v>0</v>
      </c>
      <c r="S46" s="101">
        <f t="shared" si="11"/>
        <v>0</v>
      </c>
      <c r="T46" s="79">
        <f t="shared" si="12"/>
        <v>0</v>
      </c>
      <c r="U46" s="79">
        <f t="shared" si="13"/>
        <v>0</v>
      </c>
      <c r="V46" s="79">
        <f t="shared" si="14"/>
        <v>0</v>
      </c>
      <c r="W46" s="72"/>
      <c r="X46" s="79">
        <f t="shared" si="15"/>
        <v>0</v>
      </c>
      <c r="Y46" s="79">
        <f t="shared" si="16"/>
        <v>0</v>
      </c>
      <c r="Z46" s="126">
        <f t="shared" si="17"/>
        <v>0</v>
      </c>
      <c r="AA46" s="154" t="str">
        <f t="shared" si="18"/>
        <v>OK</v>
      </c>
    </row>
    <row r="47" spans="1:27" ht="12" customHeight="1">
      <c r="A47" s="117"/>
      <c r="B47" s="98" t="s">
        <v>59</v>
      </c>
      <c r="C47" s="100"/>
      <c r="D47" s="72">
        <v>20</v>
      </c>
      <c r="E47" s="81"/>
      <c r="F47" s="81">
        <v>0</v>
      </c>
      <c r="G47" s="79">
        <f t="shared" si="0"/>
        <v>0</v>
      </c>
      <c r="H47" s="101">
        <f t="shared" si="1"/>
        <v>0</v>
      </c>
      <c r="I47" s="79">
        <f t="shared" si="2"/>
        <v>0</v>
      </c>
      <c r="J47" s="76">
        <f t="shared" si="3"/>
        <v>0</v>
      </c>
      <c r="K47" s="79">
        <f t="shared" si="4"/>
        <v>0</v>
      </c>
      <c r="L47" s="101">
        <f t="shared" si="5"/>
        <v>0</v>
      </c>
      <c r="M47" s="79">
        <f t="shared" si="6"/>
        <v>0</v>
      </c>
      <c r="N47" s="79">
        <f t="shared" si="7"/>
        <v>0</v>
      </c>
      <c r="O47" s="79">
        <f t="shared" si="8"/>
        <v>0</v>
      </c>
      <c r="P47" s="72"/>
      <c r="Q47" s="79">
        <f t="shared" si="9"/>
        <v>0</v>
      </c>
      <c r="R47" s="79">
        <f t="shared" si="10"/>
        <v>0</v>
      </c>
      <c r="S47" s="101">
        <f t="shared" si="11"/>
        <v>0</v>
      </c>
      <c r="T47" s="79">
        <f t="shared" si="12"/>
        <v>0</v>
      </c>
      <c r="U47" s="79">
        <f t="shared" si="13"/>
        <v>0</v>
      </c>
      <c r="V47" s="79">
        <f t="shared" si="14"/>
        <v>0</v>
      </c>
      <c r="W47" s="72"/>
      <c r="X47" s="79">
        <f t="shared" si="15"/>
        <v>0</v>
      </c>
      <c r="Y47" s="79">
        <f t="shared" si="16"/>
        <v>0</v>
      </c>
      <c r="Z47" s="126">
        <f t="shared" si="17"/>
        <v>0</v>
      </c>
      <c r="AA47" s="154" t="str">
        <f t="shared" si="18"/>
        <v>OK</v>
      </c>
    </row>
    <row r="48" spans="1:27" ht="12" customHeight="1">
      <c r="A48" s="117"/>
      <c r="B48" s="98" t="s">
        <v>59</v>
      </c>
      <c r="C48" s="100"/>
      <c r="D48" s="72">
        <v>20</v>
      </c>
      <c r="E48" s="81"/>
      <c r="F48" s="81">
        <v>0</v>
      </c>
      <c r="G48" s="79">
        <f t="shared" si="0"/>
        <v>0</v>
      </c>
      <c r="H48" s="101">
        <f t="shared" si="1"/>
        <v>0</v>
      </c>
      <c r="I48" s="79">
        <f t="shared" si="2"/>
        <v>0</v>
      </c>
      <c r="J48" s="76">
        <f t="shared" si="3"/>
        <v>0</v>
      </c>
      <c r="K48" s="79">
        <f t="shared" si="4"/>
        <v>0</v>
      </c>
      <c r="L48" s="101">
        <f t="shared" si="5"/>
        <v>0</v>
      </c>
      <c r="M48" s="79">
        <f t="shared" si="6"/>
        <v>0</v>
      </c>
      <c r="N48" s="79">
        <f t="shared" si="7"/>
        <v>0</v>
      </c>
      <c r="O48" s="79">
        <f t="shared" si="8"/>
        <v>0</v>
      </c>
      <c r="P48" s="72"/>
      <c r="Q48" s="79">
        <f t="shared" si="9"/>
        <v>0</v>
      </c>
      <c r="R48" s="79">
        <f t="shared" si="10"/>
        <v>0</v>
      </c>
      <c r="S48" s="101">
        <f t="shared" si="11"/>
        <v>0</v>
      </c>
      <c r="T48" s="79">
        <f t="shared" si="12"/>
        <v>0</v>
      </c>
      <c r="U48" s="79">
        <f t="shared" si="13"/>
        <v>0</v>
      </c>
      <c r="V48" s="79">
        <f t="shared" si="14"/>
        <v>0</v>
      </c>
      <c r="W48" s="72"/>
      <c r="X48" s="79">
        <f t="shared" si="15"/>
        <v>0</v>
      </c>
      <c r="Y48" s="79">
        <f t="shared" si="16"/>
        <v>0</v>
      </c>
      <c r="Z48" s="126">
        <f t="shared" si="17"/>
        <v>0</v>
      </c>
      <c r="AA48" s="154" t="str">
        <f t="shared" si="18"/>
        <v>OK</v>
      </c>
    </row>
    <row r="49" spans="1:27" ht="12.75">
      <c r="A49" s="117"/>
      <c r="B49" s="98" t="s">
        <v>59</v>
      </c>
      <c r="C49" s="100"/>
      <c r="D49" s="72">
        <v>20</v>
      </c>
      <c r="E49" s="81"/>
      <c r="F49" s="81">
        <v>0</v>
      </c>
      <c r="G49" s="79">
        <f t="shared" si="0"/>
        <v>0</v>
      </c>
      <c r="H49" s="101">
        <f t="shared" si="1"/>
        <v>0</v>
      </c>
      <c r="I49" s="79">
        <f t="shared" si="2"/>
        <v>0</v>
      </c>
      <c r="J49" s="76">
        <f t="shared" si="3"/>
        <v>0</v>
      </c>
      <c r="K49" s="79">
        <f t="shared" si="4"/>
        <v>0</v>
      </c>
      <c r="L49" s="101">
        <f t="shared" si="5"/>
        <v>0</v>
      </c>
      <c r="M49" s="79">
        <f t="shared" si="6"/>
        <v>0</v>
      </c>
      <c r="N49" s="79">
        <f t="shared" si="7"/>
        <v>0</v>
      </c>
      <c r="O49" s="79">
        <f t="shared" si="8"/>
        <v>0</v>
      </c>
      <c r="P49" s="72"/>
      <c r="Q49" s="79">
        <f t="shared" si="9"/>
        <v>0</v>
      </c>
      <c r="R49" s="79">
        <f t="shared" si="10"/>
        <v>0</v>
      </c>
      <c r="S49" s="101">
        <f t="shared" si="11"/>
        <v>0</v>
      </c>
      <c r="T49" s="79">
        <f t="shared" si="12"/>
        <v>0</v>
      </c>
      <c r="U49" s="79">
        <f t="shared" si="13"/>
        <v>0</v>
      </c>
      <c r="V49" s="79">
        <f t="shared" si="14"/>
        <v>0</v>
      </c>
      <c r="W49" s="72"/>
      <c r="X49" s="79">
        <f t="shared" si="15"/>
        <v>0</v>
      </c>
      <c r="Y49" s="79">
        <f t="shared" si="16"/>
        <v>0</v>
      </c>
      <c r="Z49" s="126">
        <f t="shared" si="17"/>
        <v>0</v>
      </c>
      <c r="AA49" s="154" t="str">
        <f t="shared" si="18"/>
        <v>OK</v>
      </c>
    </row>
    <row r="50" spans="1:27" ht="12.75">
      <c r="A50" s="117"/>
      <c r="B50" s="98" t="s">
        <v>59</v>
      </c>
      <c r="C50" s="100"/>
      <c r="D50" s="72">
        <v>20</v>
      </c>
      <c r="E50" s="81"/>
      <c r="F50" s="81">
        <v>0</v>
      </c>
      <c r="G50" s="79">
        <f t="shared" si="0"/>
        <v>0</v>
      </c>
      <c r="H50" s="101">
        <f t="shared" si="1"/>
        <v>0</v>
      </c>
      <c r="I50" s="79">
        <f t="shared" si="2"/>
        <v>0</v>
      </c>
      <c r="J50" s="76">
        <f t="shared" si="3"/>
        <v>0</v>
      </c>
      <c r="K50" s="79">
        <f t="shared" si="4"/>
        <v>0</v>
      </c>
      <c r="L50" s="101">
        <f t="shared" si="5"/>
        <v>0</v>
      </c>
      <c r="M50" s="79">
        <f t="shared" si="6"/>
        <v>0</v>
      </c>
      <c r="N50" s="79">
        <f t="shared" si="7"/>
        <v>0</v>
      </c>
      <c r="O50" s="79">
        <f t="shared" si="8"/>
        <v>0</v>
      </c>
      <c r="P50" s="72"/>
      <c r="Q50" s="79">
        <f t="shared" si="9"/>
        <v>0</v>
      </c>
      <c r="R50" s="79">
        <f t="shared" si="10"/>
        <v>0</v>
      </c>
      <c r="S50" s="101">
        <f t="shared" si="11"/>
        <v>0</v>
      </c>
      <c r="T50" s="79">
        <f t="shared" si="12"/>
        <v>0</v>
      </c>
      <c r="U50" s="79">
        <f t="shared" si="13"/>
        <v>0</v>
      </c>
      <c r="V50" s="79">
        <f t="shared" si="14"/>
        <v>0</v>
      </c>
      <c r="W50" s="72"/>
      <c r="X50" s="79">
        <f t="shared" si="15"/>
        <v>0</v>
      </c>
      <c r="Y50" s="79">
        <f t="shared" si="16"/>
        <v>0</v>
      </c>
      <c r="Z50" s="126">
        <f t="shared" si="17"/>
        <v>0</v>
      </c>
      <c r="AA50" s="154" t="str">
        <f t="shared" si="18"/>
        <v>OK</v>
      </c>
    </row>
    <row r="51" spans="1:27" ht="12.75">
      <c r="A51" s="117"/>
      <c r="B51" s="98" t="s">
        <v>59</v>
      </c>
      <c r="C51" s="100"/>
      <c r="D51" s="72">
        <v>20</v>
      </c>
      <c r="E51" s="81"/>
      <c r="F51" s="81">
        <v>0</v>
      </c>
      <c r="G51" s="79">
        <f t="shared" si="0"/>
        <v>0</v>
      </c>
      <c r="H51" s="101">
        <f t="shared" si="1"/>
        <v>0</v>
      </c>
      <c r="I51" s="102">
        <f t="shared" si="2"/>
        <v>0</v>
      </c>
      <c r="J51" s="76">
        <f t="shared" si="3"/>
        <v>0</v>
      </c>
      <c r="K51" s="92">
        <f t="shared" si="4"/>
        <v>0</v>
      </c>
      <c r="L51" s="103">
        <f t="shared" si="5"/>
        <v>0</v>
      </c>
      <c r="M51" s="102">
        <f t="shared" si="6"/>
        <v>0</v>
      </c>
      <c r="N51" s="92">
        <f t="shared" si="7"/>
        <v>0</v>
      </c>
      <c r="O51" s="92">
        <f t="shared" si="8"/>
        <v>0</v>
      </c>
      <c r="P51" s="72"/>
      <c r="Q51" s="92">
        <f t="shared" si="9"/>
        <v>0</v>
      </c>
      <c r="R51" s="92">
        <f t="shared" si="10"/>
        <v>0</v>
      </c>
      <c r="S51" s="103">
        <f t="shared" si="11"/>
        <v>0</v>
      </c>
      <c r="T51" s="102">
        <f t="shared" si="12"/>
        <v>0</v>
      </c>
      <c r="U51" s="92">
        <f t="shared" si="13"/>
        <v>0</v>
      </c>
      <c r="V51" s="92">
        <f t="shared" si="14"/>
        <v>0</v>
      </c>
      <c r="W51" s="72"/>
      <c r="X51" s="92">
        <f t="shared" si="15"/>
        <v>0</v>
      </c>
      <c r="Y51" s="92">
        <f t="shared" si="16"/>
        <v>0</v>
      </c>
      <c r="Z51" s="127">
        <f t="shared" si="17"/>
        <v>0</v>
      </c>
      <c r="AA51" s="154" t="str">
        <f t="shared" si="18"/>
        <v>OK</v>
      </c>
    </row>
    <row r="52" spans="1:27" ht="12.75">
      <c r="A52" s="114"/>
      <c r="D52" s="69"/>
      <c r="E52" s="69"/>
      <c r="F52" s="78"/>
      <c r="G52" s="78"/>
      <c r="H52" s="97"/>
      <c r="I52" s="79"/>
      <c r="J52" s="79"/>
      <c r="K52" s="79"/>
      <c r="L52" s="101"/>
      <c r="M52" s="79"/>
      <c r="N52" s="79"/>
      <c r="O52" s="79"/>
      <c r="P52" s="79"/>
      <c r="Q52" s="79"/>
      <c r="R52" s="79"/>
      <c r="S52" s="101"/>
      <c r="T52" s="79"/>
      <c r="U52" s="79"/>
      <c r="V52" s="79"/>
      <c r="W52" s="79"/>
      <c r="X52" s="79"/>
      <c r="Y52" s="79"/>
      <c r="Z52" s="126"/>
      <c r="AA52" s="153"/>
    </row>
    <row r="53" spans="1:27" ht="13.5" thickBot="1">
      <c r="A53" s="118" t="s">
        <v>62</v>
      </c>
      <c r="B53" s="61"/>
      <c r="C53" s="61"/>
      <c r="D53" s="69"/>
      <c r="E53" s="69"/>
      <c r="F53" s="78"/>
      <c r="G53" s="78"/>
      <c r="H53" s="97"/>
      <c r="I53" s="80">
        <f>SUM(I8:I51)</f>
        <v>213066</v>
      </c>
      <c r="J53" s="79"/>
      <c r="K53" s="80">
        <f>SUM(K8:K51)</f>
        <v>-190759.94688569472</v>
      </c>
      <c r="L53" s="104">
        <f>SUM(L8:L51)</f>
        <v>22306.05311430527</v>
      </c>
      <c r="M53" s="80">
        <f>SUM(M8:M51)</f>
        <v>0</v>
      </c>
      <c r="N53" s="80">
        <f>SUM(N8:N51)</f>
        <v>0</v>
      </c>
      <c r="O53" s="80">
        <f aca="true" t="shared" si="38" ref="O53:U53">SUM(O8:O51)</f>
        <v>213066</v>
      </c>
      <c r="P53" s="79"/>
      <c r="Q53" s="80">
        <f t="shared" si="38"/>
        <v>-2230.3</v>
      </c>
      <c r="R53" s="80">
        <f t="shared" si="38"/>
        <v>-192990.2468856947</v>
      </c>
      <c r="S53" s="104">
        <f t="shared" si="38"/>
        <v>20075.75311430527</v>
      </c>
      <c r="T53" s="80">
        <f t="shared" si="38"/>
        <v>0</v>
      </c>
      <c r="U53" s="80">
        <f t="shared" si="38"/>
        <v>0</v>
      </c>
      <c r="V53" s="80">
        <f>SUM(V8:V51)</f>
        <v>213066</v>
      </c>
      <c r="W53" s="79"/>
      <c r="X53" s="80">
        <f>SUM(X8:X51)</f>
        <v>-2230.3</v>
      </c>
      <c r="Y53" s="80">
        <f>SUM(Y8:Y51)</f>
        <v>-195220.54688569476</v>
      </c>
      <c r="Z53" s="128">
        <f>SUM(Z8:Z51)</f>
        <v>17845.45311430527</v>
      </c>
      <c r="AA53" s="153"/>
    </row>
    <row r="54" spans="1:27" ht="14.25" thickBot="1" thickTop="1">
      <c r="A54" s="122"/>
      <c r="B54" s="119"/>
      <c r="C54" s="119"/>
      <c r="D54" s="120"/>
      <c r="E54" s="120"/>
      <c r="F54" s="121"/>
      <c r="G54" s="121"/>
      <c r="H54" s="90"/>
      <c r="I54" s="90"/>
      <c r="J54" s="90"/>
      <c r="K54" s="90"/>
      <c r="L54" s="90"/>
      <c r="M54" s="91"/>
      <c r="N54" s="91"/>
      <c r="O54" s="91"/>
      <c r="P54" s="91"/>
      <c r="Q54" s="91"/>
      <c r="R54" s="91"/>
      <c r="S54" s="91"/>
      <c r="T54" s="91"/>
      <c r="U54" s="91"/>
      <c r="V54" s="91"/>
      <c r="W54" s="91"/>
      <c r="X54" s="91"/>
      <c r="Y54" s="91"/>
      <c r="Z54" s="129"/>
      <c r="AA54" s="155"/>
    </row>
    <row r="55" spans="4:26" ht="12.75">
      <c r="D55" s="69"/>
      <c r="E55" s="69"/>
      <c r="F55" s="78"/>
      <c r="G55" s="78"/>
      <c r="H55" s="79"/>
      <c r="I55" s="79"/>
      <c r="J55" s="79"/>
      <c r="K55" s="79"/>
      <c r="L55" s="79"/>
      <c r="M55" s="59"/>
      <c r="N55" s="59"/>
      <c r="O55" s="59"/>
      <c r="P55" s="59"/>
      <c r="Q55" s="59"/>
      <c r="R55" s="59"/>
      <c r="S55" s="59"/>
      <c r="T55" s="59"/>
      <c r="U55" s="59"/>
      <c r="V55" s="59"/>
      <c r="W55" s="59"/>
      <c r="X55" s="59"/>
      <c r="Y55" s="59"/>
      <c r="Z55" s="59"/>
    </row>
    <row r="56" spans="4:26" ht="12.75">
      <c r="D56" s="69"/>
      <c r="E56" s="69"/>
      <c r="F56" s="78"/>
      <c r="G56" s="78"/>
      <c r="H56" s="79"/>
      <c r="I56" s="79"/>
      <c r="J56" s="79"/>
      <c r="K56" s="79"/>
      <c r="L56" s="79"/>
      <c r="M56" s="59"/>
      <c r="N56" s="59"/>
      <c r="O56" s="59"/>
      <c r="P56" s="59"/>
      <c r="Q56" s="59"/>
      <c r="R56" s="59"/>
      <c r="S56" s="59"/>
      <c r="T56" s="59"/>
      <c r="U56" s="59"/>
      <c r="V56" s="59"/>
      <c r="W56" s="59"/>
      <c r="X56" s="59"/>
      <c r="Y56" s="59"/>
      <c r="Z56" s="59"/>
    </row>
    <row r="57" spans="4:26" ht="12.75">
      <c r="D57" s="69"/>
      <c r="E57" s="69"/>
      <c r="F57" s="78"/>
      <c r="G57" s="78"/>
      <c r="H57" s="79"/>
      <c r="I57" s="79"/>
      <c r="J57" s="79"/>
      <c r="K57" s="79"/>
      <c r="L57" s="79"/>
      <c r="M57" s="59"/>
      <c r="N57" s="59"/>
      <c r="O57" s="59"/>
      <c r="P57" s="59"/>
      <c r="Q57" s="59"/>
      <c r="R57" s="59"/>
      <c r="S57" s="59"/>
      <c r="T57" s="59"/>
      <c r="U57" s="59"/>
      <c r="V57" s="59"/>
      <c r="W57" s="59"/>
      <c r="X57" s="59"/>
      <c r="Y57" s="59"/>
      <c r="Z57" s="59"/>
    </row>
    <row r="58" spans="4:26" ht="12.75">
      <c r="D58" s="69"/>
      <c r="E58" s="69"/>
      <c r="F58" s="78"/>
      <c r="G58" s="78"/>
      <c r="H58" s="79"/>
      <c r="I58" s="79"/>
      <c r="J58" s="79"/>
      <c r="K58" s="79"/>
      <c r="L58" s="79"/>
      <c r="M58" s="59"/>
      <c r="N58" s="59"/>
      <c r="O58" s="59"/>
      <c r="P58" s="59"/>
      <c r="Q58" s="59"/>
      <c r="R58" s="59"/>
      <c r="S58" s="59"/>
      <c r="T58" s="59"/>
      <c r="U58" s="59"/>
      <c r="V58" s="59"/>
      <c r="W58" s="59"/>
      <c r="X58" s="59"/>
      <c r="Y58" s="59"/>
      <c r="Z58" s="59"/>
    </row>
    <row r="59" spans="4:26" ht="12.75">
      <c r="D59" s="69"/>
      <c r="E59" s="69"/>
      <c r="F59" s="78"/>
      <c r="G59" s="78"/>
      <c r="H59" s="79"/>
      <c r="I59" s="79"/>
      <c r="J59" s="79"/>
      <c r="K59" s="79"/>
      <c r="L59" s="79"/>
      <c r="M59" s="59"/>
      <c r="N59" s="59"/>
      <c r="O59" s="59"/>
      <c r="P59" s="59"/>
      <c r="Q59" s="59"/>
      <c r="R59" s="59"/>
      <c r="S59" s="59"/>
      <c r="T59" s="59"/>
      <c r="U59" s="59"/>
      <c r="V59" s="59"/>
      <c r="W59" s="59"/>
      <c r="X59" s="59"/>
      <c r="Y59" s="59"/>
      <c r="Z59" s="59"/>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69"/>
      <c r="E69" s="69"/>
      <c r="F69" s="78"/>
      <c r="G69" s="78"/>
      <c r="H69" s="78"/>
      <c r="I69" s="78"/>
      <c r="J69" s="78"/>
      <c r="K69" s="78"/>
      <c r="L69" s="78"/>
    </row>
    <row r="70" spans="4:12" ht="12.75">
      <c r="D70" s="69"/>
      <c r="E70" s="69"/>
      <c r="F70" s="78"/>
      <c r="G70" s="78"/>
      <c r="H70" s="78"/>
      <c r="I70" s="78"/>
      <c r="J70" s="78"/>
      <c r="K70" s="78"/>
      <c r="L70" s="78"/>
    </row>
    <row r="71" spans="4:12" ht="12.75">
      <c r="D71" s="69"/>
      <c r="E71" s="69"/>
      <c r="F71" s="78"/>
      <c r="G71" s="78"/>
      <c r="H71" s="78"/>
      <c r="I71" s="78"/>
      <c r="J71" s="78"/>
      <c r="K71" s="78"/>
      <c r="L71" s="78"/>
    </row>
    <row r="72" spans="4:12" ht="12.75">
      <c r="D72" s="69"/>
      <c r="E72" s="69"/>
      <c r="F72" s="78"/>
      <c r="G72" s="78"/>
      <c r="H72" s="78"/>
      <c r="I72" s="78"/>
      <c r="J72" s="78"/>
      <c r="K72" s="78"/>
      <c r="L72" s="78"/>
    </row>
    <row r="73" spans="4:12" ht="12.75">
      <c r="D73" s="69"/>
      <c r="E73" s="69"/>
      <c r="F73" s="78"/>
      <c r="G73" s="78"/>
      <c r="H73" s="78"/>
      <c r="I73" s="78"/>
      <c r="J73" s="78"/>
      <c r="K73" s="78"/>
      <c r="L73" s="78"/>
    </row>
    <row r="74" spans="4:12" ht="12.75">
      <c r="D74" s="69"/>
      <c r="E74" s="69"/>
      <c r="F74" s="78"/>
      <c r="G74" s="78"/>
      <c r="H74" s="78"/>
      <c r="I74" s="78"/>
      <c r="J74" s="78"/>
      <c r="K74" s="78"/>
      <c r="L74" s="78"/>
    </row>
    <row r="75" spans="4:12" ht="12.75">
      <c r="D75" s="69"/>
      <c r="E75" s="69"/>
      <c r="F75" s="78"/>
      <c r="G75" s="78"/>
      <c r="H75" s="78"/>
      <c r="I75" s="78"/>
      <c r="J75" s="78"/>
      <c r="K75" s="78"/>
      <c r="L75" s="78"/>
    </row>
    <row r="76" spans="4:12" ht="12.75">
      <c r="D76" s="69"/>
      <c r="E76" s="69"/>
      <c r="F76" s="78"/>
      <c r="G76" s="78"/>
      <c r="H76" s="78"/>
      <c r="I76" s="78"/>
      <c r="J76" s="78"/>
      <c r="K76" s="78"/>
      <c r="L76" s="78"/>
    </row>
    <row r="77" spans="4:12" ht="12.75">
      <c r="D77" s="69"/>
      <c r="E77" s="69"/>
      <c r="F77" s="78"/>
      <c r="G77" s="78"/>
      <c r="H77" s="78"/>
      <c r="I77" s="78"/>
      <c r="J77" s="78"/>
      <c r="K77" s="78"/>
      <c r="L77" s="78"/>
    </row>
    <row r="78" spans="4:12" ht="12.75">
      <c r="D78" s="69"/>
      <c r="E78" s="69"/>
      <c r="F78" s="78"/>
      <c r="G78" s="78"/>
      <c r="H78" s="78"/>
      <c r="I78" s="78"/>
      <c r="J78" s="78"/>
      <c r="K78" s="78"/>
      <c r="L78" s="78"/>
    </row>
    <row r="79" spans="4:12" ht="12.75">
      <c r="D79" s="69"/>
      <c r="E79" s="69"/>
      <c r="F79" s="78"/>
      <c r="G79" s="78"/>
      <c r="H79" s="78"/>
      <c r="I79" s="78"/>
      <c r="J79" s="78"/>
      <c r="K79" s="78"/>
      <c r="L79" s="78"/>
    </row>
    <row r="80" spans="4:12" ht="12.75">
      <c r="D80" s="69"/>
      <c r="E80" s="69"/>
      <c r="F80" s="78"/>
      <c r="G80" s="78"/>
      <c r="H80" s="78"/>
      <c r="I80" s="78"/>
      <c r="J80" s="78"/>
      <c r="K80" s="78"/>
      <c r="L80" s="78"/>
    </row>
    <row r="81" spans="4:12" ht="12.75">
      <c r="D81" s="69"/>
      <c r="E81" s="69"/>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row r="149" spans="4:12" ht="12.75">
      <c r="D149" s="78"/>
      <c r="E149" s="78"/>
      <c r="F149" s="78"/>
      <c r="G149" s="78"/>
      <c r="H149" s="78"/>
      <c r="I149" s="78"/>
      <c r="J149" s="78"/>
      <c r="K149" s="78"/>
      <c r="L149" s="78"/>
    </row>
    <row r="150" spans="4:12" ht="12.75">
      <c r="D150" s="78"/>
      <c r="E150" s="78"/>
      <c r="F150" s="78"/>
      <c r="G150" s="78"/>
      <c r="H150" s="78"/>
      <c r="I150" s="78"/>
      <c r="J150" s="78"/>
      <c r="K150" s="78"/>
      <c r="L150" s="78"/>
    </row>
    <row r="151" spans="4:12" ht="12.75">
      <c r="D151" s="78"/>
      <c r="E151" s="78"/>
      <c r="F151" s="78"/>
      <c r="G151" s="78"/>
      <c r="H151" s="78"/>
      <c r="I151" s="78"/>
      <c r="J151" s="78"/>
      <c r="K151" s="78"/>
      <c r="L151" s="78"/>
    </row>
    <row r="152" spans="4:12" ht="12.75">
      <c r="D152" s="78"/>
      <c r="E152" s="78"/>
      <c r="F152" s="78"/>
      <c r="G152" s="78"/>
      <c r="H152" s="78"/>
      <c r="I152" s="78"/>
      <c r="J152" s="78"/>
      <c r="K152" s="78"/>
      <c r="L152" s="78"/>
    </row>
    <row r="153" spans="4:12" ht="12.75">
      <c r="D153" s="78"/>
      <c r="E153" s="78"/>
      <c r="F153" s="78"/>
      <c r="G153" s="78"/>
      <c r="H153" s="78"/>
      <c r="I153" s="78"/>
      <c r="J153" s="78"/>
      <c r="K153" s="78"/>
      <c r="L153" s="78"/>
    </row>
    <row r="154" spans="4:12" ht="12.75">
      <c r="D154" s="78"/>
      <c r="E154" s="78"/>
      <c r="F154" s="78"/>
      <c r="G154" s="78"/>
      <c r="H154" s="78"/>
      <c r="I154" s="78"/>
      <c r="J154" s="78"/>
      <c r="K154" s="78"/>
      <c r="L154" s="78"/>
    </row>
    <row r="155" spans="4:12" ht="12.75">
      <c r="D155" s="78"/>
      <c r="E155" s="78"/>
      <c r="F155" s="78"/>
      <c r="G155" s="78"/>
      <c r="H155" s="78"/>
      <c r="I155" s="78"/>
      <c r="J155" s="78"/>
      <c r="K155" s="78"/>
      <c r="L155" s="78"/>
    </row>
    <row r="156" spans="4:12" ht="12.75">
      <c r="D156" s="78"/>
      <c r="E156" s="78"/>
      <c r="F156" s="78"/>
      <c r="G156" s="78"/>
      <c r="H156" s="78"/>
      <c r="I156" s="78"/>
      <c r="J156" s="78"/>
      <c r="K156" s="78"/>
      <c r="L156" s="78"/>
    </row>
    <row r="157" spans="4:12" ht="12.75">
      <c r="D157" s="78"/>
      <c r="E157" s="78"/>
      <c r="F157" s="78"/>
      <c r="G157" s="78"/>
      <c r="H157" s="78"/>
      <c r="I157" s="78"/>
      <c r="J157" s="78"/>
      <c r="K157" s="78"/>
      <c r="L157" s="78"/>
    </row>
    <row r="158" spans="4:12" ht="12.75">
      <c r="D158" s="78"/>
      <c r="E158" s="78"/>
      <c r="F158" s="78"/>
      <c r="G158" s="78"/>
      <c r="H158" s="78"/>
      <c r="I158" s="78"/>
      <c r="J158" s="78"/>
      <c r="K158" s="78"/>
      <c r="L158" s="78"/>
    </row>
    <row r="159" spans="4:12" ht="12.75">
      <c r="D159" s="78"/>
      <c r="E159" s="78"/>
      <c r="F159" s="78"/>
      <c r="G159" s="78"/>
      <c r="H159" s="78"/>
      <c r="I159" s="78"/>
      <c r="J159" s="78"/>
      <c r="K159" s="78"/>
      <c r="L159" s="78"/>
    </row>
    <row r="160" spans="4:12" ht="12.75">
      <c r="D160" s="78"/>
      <c r="E160" s="78"/>
      <c r="F160" s="78"/>
      <c r="G160" s="78"/>
      <c r="H160" s="78"/>
      <c r="I160" s="78"/>
      <c r="J160" s="78"/>
      <c r="K160" s="78"/>
      <c r="L160" s="78"/>
    </row>
    <row r="161" spans="4:12" ht="12.75">
      <c r="D161" s="78"/>
      <c r="E161" s="78"/>
      <c r="F161" s="78"/>
      <c r="G161" s="78"/>
      <c r="H161" s="78"/>
      <c r="I161" s="78"/>
      <c r="J161" s="78"/>
      <c r="K161" s="78"/>
      <c r="L161" s="78"/>
    </row>
  </sheetData>
  <printOptions horizontalCentered="1"/>
  <pageMargins left="0.25" right="0.25" top="0.5" bottom="0.5" header="0.5" footer="0.5"/>
  <pageSetup fitToHeight="1" fitToWidth="1" horizontalDpi="600" verticalDpi="600" orientation="landscape" paperSize="5" scale="54" r:id="rId1"/>
</worksheet>
</file>

<file path=xl/worksheets/sheet16.xml><?xml version="1.0" encoding="utf-8"?>
<worksheet xmlns="http://schemas.openxmlformats.org/spreadsheetml/2006/main" xmlns:r="http://schemas.openxmlformats.org/officeDocument/2006/relationships">
  <sheetPr>
    <pageSetUpPr fitToPage="1"/>
  </sheetPr>
  <dimension ref="A1:V77"/>
  <sheetViews>
    <sheetView zoomScale="75" zoomScaleNormal="75" workbookViewId="0" topLeftCell="A1">
      <selection activeCell="A1" sqref="A1"/>
    </sheetView>
  </sheetViews>
  <sheetFormatPr defaultColWidth="9.140625" defaultRowHeight="12.75"/>
  <cols>
    <col min="1" max="1" width="32.7109375" style="60" customWidth="1"/>
    <col min="2" max="2" width="14.7109375" style="60" customWidth="1"/>
    <col min="3" max="4" width="12.7109375" style="60" customWidth="1"/>
    <col min="5" max="11" width="14.7109375" style="60" customWidth="1"/>
    <col min="12" max="19" width="9.140625" style="60" customWidth="1"/>
    <col min="20" max="16384" width="9.140625" style="58" customWidth="1"/>
  </cols>
  <sheetData>
    <row r="1" spans="1:5" ht="15" customHeight="1">
      <c r="A1" s="74" t="s">
        <v>42</v>
      </c>
      <c r="B1" s="67"/>
      <c r="C1" s="59"/>
      <c r="D1" s="59"/>
      <c r="E1" s="59"/>
    </row>
    <row r="2" spans="1:17" ht="15.75" customHeight="1">
      <c r="A2" s="74" t="s">
        <v>75</v>
      </c>
      <c r="B2" s="67"/>
      <c r="C2" s="59"/>
      <c r="D2" s="59"/>
      <c r="E2" s="59"/>
      <c r="F2" s="59"/>
      <c r="G2" s="59"/>
      <c r="H2" s="59"/>
      <c r="I2" s="59"/>
      <c r="Q2" s="61"/>
    </row>
    <row r="3" spans="1:9" ht="15" customHeight="1">
      <c r="A3" s="139" t="s">
        <v>35</v>
      </c>
      <c r="B3" s="68"/>
      <c r="C3" s="59"/>
      <c r="D3" s="59"/>
      <c r="E3" s="138" t="s">
        <v>58</v>
      </c>
      <c r="F3" s="71"/>
      <c r="G3" s="59"/>
      <c r="H3" s="59"/>
      <c r="I3" s="59"/>
    </row>
    <row r="4" spans="1:19" ht="12.75">
      <c r="A4" s="59"/>
      <c r="B4" s="59"/>
      <c r="C4" s="59"/>
      <c r="D4" s="59"/>
      <c r="E4" s="63"/>
      <c r="F4" s="59"/>
      <c r="G4" s="59"/>
      <c r="H4" s="59"/>
      <c r="I4" s="59"/>
      <c r="K4" s="61"/>
      <c r="R4" s="62"/>
      <c r="S4" s="62"/>
    </row>
    <row r="5" spans="1:11" ht="12.75">
      <c r="A5" s="132"/>
      <c r="B5" s="132"/>
      <c r="C5" s="132" t="s">
        <v>39</v>
      </c>
      <c r="D5" s="132" t="s">
        <v>39</v>
      </c>
      <c r="E5" s="131">
        <v>39448</v>
      </c>
      <c r="F5" s="65"/>
      <c r="G5" s="65"/>
      <c r="H5" s="131">
        <v>39813</v>
      </c>
      <c r="I5" s="65"/>
      <c r="J5" s="65"/>
      <c r="K5" s="131">
        <v>40178</v>
      </c>
    </row>
    <row r="6" spans="1:11" ht="12" customHeight="1" thickBot="1">
      <c r="A6" s="133" t="s">
        <v>38</v>
      </c>
      <c r="B6" s="133" t="s">
        <v>28</v>
      </c>
      <c r="C6" s="133" t="s">
        <v>40</v>
      </c>
      <c r="D6" s="133" t="s">
        <v>63</v>
      </c>
      <c r="E6" s="70" t="s">
        <v>28</v>
      </c>
      <c r="F6" s="70" t="s">
        <v>36</v>
      </c>
      <c r="G6" s="70" t="s">
        <v>37</v>
      </c>
      <c r="H6" s="70" t="s">
        <v>28</v>
      </c>
      <c r="I6" s="70" t="s">
        <v>36</v>
      </c>
      <c r="J6" s="70" t="s">
        <v>37</v>
      </c>
      <c r="K6" s="70" t="s">
        <v>28</v>
      </c>
    </row>
    <row r="7" spans="1:11" ht="15" customHeight="1">
      <c r="A7" s="59"/>
      <c r="B7" s="59"/>
      <c r="C7" s="59"/>
      <c r="D7" s="59"/>
      <c r="E7" s="76"/>
      <c r="F7" s="76"/>
      <c r="G7" s="76"/>
      <c r="H7" s="76"/>
      <c r="I7" s="76"/>
      <c r="J7" s="76"/>
      <c r="K7" s="76"/>
    </row>
    <row r="8" spans="1:11" ht="15" customHeight="1">
      <c r="A8" s="73"/>
      <c r="B8" s="137"/>
      <c r="C8" s="98"/>
      <c r="D8" s="135"/>
      <c r="E8" s="79">
        <f>IF(C8&lt;$E$5,B8,0)</f>
        <v>0</v>
      </c>
      <c r="F8" s="79">
        <f>IF(AND($E$5&lt;C8,C8&lt;$H$5+1),B8,0)</f>
        <v>0</v>
      </c>
      <c r="G8" s="79">
        <f>IF(AND($E$5&lt;D8,D8&lt;$H$5+1),-B8,0)</f>
        <v>0</v>
      </c>
      <c r="H8" s="79">
        <f>+E8+F8+G8</f>
        <v>0</v>
      </c>
      <c r="I8" s="79">
        <f>IF(AND($H$5&lt;C8,C8&lt;$K$5+1),B8,0)</f>
        <v>0</v>
      </c>
      <c r="J8" s="79">
        <f>IF(AND($H$5&lt;D8,D8&lt;$K$5+1),-B8,0)</f>
        <v>0</v>
      </c>
      <c r="K8" s="79">
        <f>+H8+I8+J8</f>
        <v>0</v>
      </c>
    </row>
    <row r="9" spans="1:11" ht="15" customHeight="1">
      <c r="A9" s="73"/>
      <c r="B9" s="137"/>
      <c r="C9" s="98"/>
      <c r="D9" s="135"/>
      <c r="E9" s="79">
        <f aca="true" t="shared" si="0" ref="E9:E38">IF(C9&lt;$E$5,B9,0)</f>
        <v>0</v>
      </c>
      <c r="F9" s="79">
        <f aca="true" t="shared" si="1" ref="F9:F38">IF(AND($E$5&lt;C9,C9&lt;$H$5+1),B9,0)</f>
        <v>0</v>
      </c>
      <c r="G9" s="79">
        <f aca="true" t="shared" si="2" ref="G9:G38">IF(AND($E$5&lt;D9,D9&lt;$H$5+1),-B9,0)</f>
        <v>0</v>
      </c>
      <c r="H9" s="79">
        <f aca="true" t="shared" si="3" ref="H9:H38">+E9+F9+G9</f>
        <v>0</v>
      </c>
      <c r="I9" s="79">
        <f aca="true" t="shared" si="4" ref="I9:I38">IF(AND($H$5&lt;C9,C9&lt;$K$5+1),B9,0)</f>
        <v>0</v>
      </c>
      <c r="J9" s="79">
        <f aca="true" t="shared" si="5" ref="J9:J38">IF(AND($H$5&lt;D9,D9&lt;$K$5+1),-B9,0)</f>
        <v>0</v>
      </c>
      <c r="K9" s="79">
        <f aca="true" t="shared" si="6" ref="K9:K38">+H9+I9+J9</f>
        <v>0</v>
      </c>
    </row>
    <row r="10" spans="1:19" s="66" customFormat="1" ht="13.5" customHeight="1">
      <c r="A10" s="73"/>
      <c r="B10" s="137"/>
      <c r="C10" s="98"/>
      <c r="D10" s="135"/>
      <c r="E10" s="79">
        <f t="shared" si="0"/>
        <v>0</v>
      </c>
      <c r="F10" s="79">
        <f t="shared" si="1"/>
        <v>0</v>
      </c>
      <c r="G10" s="79">
        <f t="shared" si="2"/>
        <v>0</v>
      </c>
      <c r="H10" s="79">
        <f t="shared" si="3"/>
        <v>0</v>
      </c>
      <c r="I10" s="79">
        <f t="shared" si="4"/>
        <v>0</v>
      </c>
      <c r="J10" s="79">
        <f t="shared" si="5"/>
        <v>0</v>
      </c>
      <c r="K10" s="79">
        <f t="shared" si="6"/>
        <v>0</v>
      </c>
      <c r="L10" s="60"/>
      <c r="M10" s="60"/>
      <c r="N10" s="60"/>
      <c r="O10" s="60"/>
      <c r="P10" s="60"/>
      <c r="Q10" s="60"/>
      <c r="R10" s="60"/>
      <c r="S10" s="60"/>
    </row>
    <row r="11" spans="1:19" s="66" customFormat="1" ht="13.5" customHeight="1">
      <c r="A11" s="73"/>
      <c r="B11" s="137"/>
      <c r="C11" s="98"/>
      <c r="D11" s="135"/>
      <c r="E11" s="79">
        <f t="shared" si="0"/>
        <v>0</v>
      </c>
      <c r="F11" s="79">
        <f t="shared" si="1"/>
        <v>0</v>
      </c>
      <c r="G11" s="79">
        <f t="shared" si="2"/>
        <v>0</v>
      </c>
      <c r="H11" s="79">
        <f t="shared" si="3"/>
        <v>0</v>
      </c>
      <c r="I11" s="79">
        <f t="shared" si="4"/>
        <v>0</v>
      </c>
      <c r="J11" s="79">
        <f t="shared" si="5"/>
        <v>0</v>
      </c>
      <c r="K11" s="79">
        <f t="shared" si="6"/>
        <v>0</v>
      </c>
      <c r="L11" s="60"/>
      <c r="M11" s="60"/>
      <c r="N11" s="60"/>
      <c r="O11" s="60"/>
      <c r="P11" s="60"/>
      <c r="Q11" s="64"/>
      <c r="R11" s="60"/>
      <c r="S11" s="64"/>
    </row>
    <row r="12" spans="1:22" ht="12.75" customHeight="1">
      <c r="A12" s="99"/>
      <c r="B12" s="137"/>
      <c r="C12" s="156"/>
      <c r="D12" s="135"/>
      <c r="E12" s="79">
        <f t="shared" si="0"/>
        <v>0</v>
      </c>
      <c r="F12" s="79">
        <f t="shared" si="1"/>
        <v>0</v>
      </c>
      <c r="G12" s="79">
        <f t="shared" si="2"/>
        <v>0</v>
      </c>
      <c r="H12" s="79">
        <f t="shared" si="3"/>
        <v>0</v>
      </c>
      <c r="I12" s="79">
        <f t="shared" si="4"/>
        <v>0</v>
      </c>
      <c r="J12" s="79">
        <f t="shared" si="5"/>
        <v>0</v>
      </c>
      <c r="K12" s="79">
        <f t="shared" si="6"/>
        <v>0</v>
      </c>
      <c r="L12" s="59"/>
      <c r="M12" s="59"/>
      <c r="N12" s="59"/>
      <c r="O12" s="59"/>
      <c r="T12" s="5"/>
      <c r="U12" s="5"/>
      <c r="V12" s="5"/>
    </row>
    <row r="13" spans="1:22" ht="12.75" customHeight="1">
      <c r="A13" s="99"/>
      <c r="B13" s="137"/>
      <c r="C13" s="156"/>
      <c r="D13" s="135"/>
      <c r="E13" s="79">
        <f t="shared" si="0"/>
        <v>0</v>
      </c>
      <c r="F13" s="79">
        <f t="shared" si="1"/>
        <v>0</v>
      </c>
      <c r="G13" s="79">
        <f t="shared" si="2"/>
        <v>0</v>
      </c>
      <c r="H13" s="79">
        <f t="shared" si="3"/>
        <v>0</v>
      </c>
      <c r="I13" s="79">
        <f t="shared" si="4"/>
        <v>0</v>
      </c>
      <c r="J13" s="79">
        <f t="shared" si="5"/>
        <v>0</v>
      </c>
      <c r="K13" s="79">
        <f t="shared" si="6"/>
        <v>0</v>
      </c>
      <c r="L13" s="59"/>
      <c r="M13" s="59"/>
      <c r="N13" s="59"/>
      <c r="O13" s="59"/>
      <c r="T13" s="5"/>
      <c r="U13" s="5"/>
      <c r="V13" s="5"/>
    </row>
    <row r="14" spans="1:22" ht="12.75" customHeight="1">
      <c r="A14" s="99"/>
      <c r="B14" s="137"/>
      <c r="C14" s="135"/>
      <c r="D14" s="135"/>
      <c r="E14" s="79">
        <f t="shared" si="0"/>
        <v>0</v>
      </c>
      <c r="F14" s="79">
        <f t="shared" si="1"/>
        <v>0</v>
      </c>
      <c r="G14" s="79">
        <f t="shared" si="2"/>
        <v>0</v>
      </c>
      <c r="H14" s="79">
        <f t="shared" si="3"/>
        <v>0</v>
      </c>
      <c r="I14" s="79">
        <f t="shared" si="4"/>
        <v>0</v>
      </c>
      <c r="J14" s="79">
        <f t="shared" si="5"/>
        <v>0</v>
      </c>
      <c r="K14" s="79">
        <f t="shared" si="6"/>
        <v>0</v>
      </c>
      <c r="L14" s="59"/>
      <c r="M14" s="59"/>
      <c r="N14" s="59"/>
      <c r="O14" s="59"/>
      <c r="T14" s="5"/>
      <c r="U14" s="5"/>
      <c r="V14" s="5"/>
    </row>
    <row r="15" spans="1:22" ht="13.5" customHeight="1">
      <c r="A15" s="99"/>
      <c r="B15" s="137"/>
      <c r="C15" s="135"/>
      <c r="D15" s="135"/>
      <c r="E15" s="79">
        <f t="shared" si="0"/>
        <v>0</v>
      </c>
      <c r="F15" s="79">
        <f t="shared" si="1"/>
        <v>0</v>
      </c>
      <c r="G15" s="79">
        <f t="shared" si="2"/>
        <v>0</v>
      </c>
      <c r="H15" s="79">
        <f t="shared" si="3"/>
        <v>0</v>
      </c>
      <c r="I15" s="79">
        <f t="shared" si="4"/>
        <v>0</v>
      </c>
      <c r="J15" s="79">
        <f t="shared" si="5"/>
        <v>0</v>
      </c>
      <c r="K15" s="79">
        <f t="shared" si="6"/>
        <v>0</v>
      </c>
      <c r="L15" s="59"/>
      <c r="M15" s="59"/>
      <c r="N15" s="59"/>
      <c r="O15" s="59"/>
      <c r="T15" s="5"/>
      <c r="U15" s="5"/>
      <c r="V15" s="5"/>
    </row>
    <row r="16" spans="1:22" ht="13.5" customHeight="1">
      <c r="A16" s="99"/>
      <c r="B16" s="136"/>
      <c r="C16" s="135"/>
      <c r="D16" s="135"/>
      <c r="E16" s="79">
        <f t="shared" si="0"/>
        <v>0</v>
      </c>
      <c r="F16" s="79">
        <f t="shared" si="1"/>
        <v>0</v>
      </c>
      <c r="G16" s="79">
        <f t="shared" si="2"/>
        <v>0</v>
      </c>
      <c r="H16" s="79">
        <f t="shared" si="3"/>
        <v>0</v>
      </c>
      <c r="I16" s="79">
        <f t="shared" si="4"/>
        <v>0</v>
      </c>
      <c r="J16" s="79">
        <f t="shared" si="5"/>
        <v>0</v>
      </c>
      <c r="K16" s="79">
        <f t="shared" si="6"/>
        <v>0</v>
      </c>
      <c r="L16" s="59"/>
      <c r="M16" s="59"/>
      <c r="N16" s="59"/>
      <c r="O16" s="59"/>
      <c r="T16" s="5"/>
      <c r="U16" s="5"/>
      <c r="V16" s="5"/>
    </row>
    <row r="17" spans="1:22" ht="13.5" customHeight="1">
      <c r="A17" s="99"/>
      <c r="B17" s="136"/>
      <c r="C17" s="135"/>
      <c r="D17" s="135"/>
      <c r="E17" s="79">
        <f t="shared" si="0"/>
        <v>0</v>
      </c>
      <c r="F17" s="79">
        <f t="shared" si="1"/>
        <v>0</v>
      </c>
      <c r="G17" s="79">
        <f t="shared" si="2"/>
        <v>0</v>
      </c>
      <c r="H17" s="79">
        <f t="shared" si="3"/>
        <v>0</v>
      </c>
      <c r="I17" s="79">
        <f t="shared" si="4"/>
        <v>0</v>
      </c>
      <c r="J17" s="79">
        <f t="shared" si="5"/>
        <v>0</v>
      </c>
      <c r="K17" s="79">
        <f t="shared" si="6"/>
        <v>0</v>
      </c>
      <c r="L17" s="59"/>
      <c r="M17" s="59"/>
      <c r="N17" s="59"/>
      <c r="O17" s="59"/>
      <c r="T17" s="5"/>
      <c r="U17" s="5"/>
      <c r="V17" s="5"/>
    </row>
    <row r="18" spans="1:22" ht="13.5" customHeight="1">
      <c r="A18" s="99"/>
      <c r="B18" s="136"/>
      <c r="C18" s="135"/>
      <c r="D18" s="135"/>
      <c r="E18" s="79">
        <f t="shared" si="0"/>
        <v>0</v>
      </c>
      <c r="F18" s="79">
        <f t="shared" si="1"/>
        <v>0</v>
      </c>
      <c r="G18" s="79">
        <f t="shared" si="2"/>
        <v>0</v>
      </c>
      <c r="H18" s="79">
        <f t="shared" si="3"/>
        <v>0</v>
      </c>
      <c r="I18" s="79">
        <f t="shared" si="4"/>
        <v>0</v>
      </c>
      <c r="J18" s="79">
        <f t="shared" si="5"/>
        <v>0</v>
      </c>
      <c r="K18" s="79">
        <f t="shared" si="6"/>
        <v>0</v>
      </c>
      <c r="T18" s="5"/>
      <c r="U18" s="5"/>
      <c r="V18" s="5"/>
    </row>
    <row r="19" spans="1:22" ht="13.5" customHeight="1">
      <c r="A19" s="99"/>
      <c r="B19" s="136"/>
      <c r="C19" s="135"/>
      <c r="D19" s="135"/>
      <c r="E19" s="79">
        <f t="shared" si="0"/>
        <v>0</v>
      </c>
      <c r="F19" s="79">
        <f t="shared" si="1"/>
        <v>0</v>
      </c>
      <c r="G19" s="79">
        <f t="shared" si="2"/>
        <v>0</v>
      </c>
      <c r="H19" s="79">
        <f t="shared" si="3"/>
        <v>0</v>
      </c>
      <c r="I19" s="79">
        <f t="shared" si="4"/>
        <v>0</v>
      </c>
      <c r="J19" s="79">
        <f t="shared" si="5"/>
        <v>0</v>
      </c>
      <c r="K19" s="79">
        <f t="shared" si="6"/>
        <v>0</v>
      </c>
      <c r="T19" s="5"/>
      <c r="U19" s="5"/>
      <c r="V19" s="5"/>
    </row>
    <row r="20" spans="1:22" ht="13.5" customHeight="1">
      <c r="A20" s="100"/>
      <c r="B20" s="137"/>
      <c r="C20" s="135"/>
      <c r="D20" s="135"/>
      <c r="E20" s="79">
        <f t="shared" si="0"/>
        <v>0</v>
      </c>
      <c r="F20" s="79">
        <f t="shared" si="1"/>
        <v>0</v>
      </c>
      <c r="G20" s="79">
        <f t="shared" si="2"/>
        <v>0</v>
      </c>
      <c r="H20" s="79">
        <f t="shared" si="3"/>
        <v>0</v>
      </c>
      <c r="I20" s="79">
        <f t="shared" si="4"/>
        <v>0</v>
      </c>
      <c r="J20" s="79">
        <f t="shared" si="5"/>
        <v>0</v>
      </c>
      <c r="K20" s="79">
        <f t="shared" si="6"/>
        <v>0</v>
      </c>
      <c r="T20" s="5"/>
      <c r="U20" s="5"/>
      <c r="V20" s="5"/>
    </row>
    <row r="21" spans="1:22" ht="13.5" customHeight="1">
      <c r="A21" s="99"/>
      <c r="B21" s="136"/>
      <c r="C21" s="135"/>
      <c r="D21" s="135"/>
      <c r="E21" s="79">
        <f t="shared" si="0"/>
        <v>0</v>
      </c>
      <c r="F21" s="79">
        <f t="shared" si="1"/>
        <v>0</v>
      </c>
      <c r="G21" s="79">
        <f t="shared" si="2"/>
        <v>0</v>
      </c>
      <c r="H21" s="79">
        <f t="shared" si="3"/>
        <v>0</v>
      </c>
      <c r="I21" s="79">
        <f t="shared" si="4"/>
        <v>0</v>
      </c>
      <c r="J21" s="79">
        <f t="shared" si="5"/>
        <v>0</v>
      </c>
      <c r="K21" s="79">
        <f t="shared" si="6"/>
        <v>0</v>
      </c>
      <c r="T21" s="5"/>
      <c r="U21" s="5"/>
      <c r="V21" s="5"/>
    </row>
    <row r="22" spans="1:22" ht="13.5" customHeight="1">
      <c r="A22" s="100"/>
      <c r="B22" s="137"/>
      <c r="C22" s="135"/>
      <c r="D22" s="135"/>
      <c r="E22" s="79">
        <f t="shared" si="0"/>
        <v>0</v>
      </c>
      <c r="F22" s="79">
        <f t="shared" si="1"/>
        <v>0</v>
      </c>
      <c r="G22" s="79">
        <f t="shared" si="2"/>
        <v>0</v>
      </c>
      <c r="H22" s="79">
        <f t="shared" si="3"/>
        <v>0</v>
      </c>
      <c r="I22" s="79">
        <f t="shared" si="4"/>
        <v>0</v>
      </c>
      <c r="J22" s="79">
        <f t="shared" si="5"/>
        <v>0</v>
      </c>
      <c r="K22" s="79">
        <f t="shared" si="6"/>
        <v>0</v>
      </c>
      <c r="T22" s="5"/>
      <c r="U22" s="5"/>
      <c r="V22" s="5"/>
    </row>
    <row r="23" spans="1:22" ht="13.5" customHeight="1">
      <c r="A23" s="100"/>
      <c r="B23" s="137"/>
      <c r="C23" s="135"/>
      <c r="D23" s="135"/>
      <c r="E23" s="79">
        <f t="shared" si="0"/>
        <v>0</v>
      </c>
      <c r="F23" s="79">
        <f t="shared" si="1"/>
        <v>0</v>
      </c>
      <c r="G23" s="79">
        <f t="shared" si="2"/>
        <v>0</v>
      </c>
      <c r="H23" s="79">
        <f t="shared" si="3"/>
        <v>0</v>
      </c>
      <c r="I23" s="79">
        <f t="shared" si="4"/>
        <v>0</v>
      </c>
      <c r="J23" s="79">
        <f t="shared" si="5"/>
        <v>0</v>
      </c>
      <c r="K23" s="79">
        <f t="shared" si="6"/>
        <v>0</v>
      </c>
      <c r="T23" s="5"/>
      <c r="U23" s="5"/>
      <c r="V23" s="5"/>
    </row>
    <row r="24" spans="1:12" ht="13.5" customHeight="1">
      <c r="A24" s="100"/>
      <c r="B24" s="137"/>
      <c r="C24" s="135"/>
      <c r="D24" s="135"/>
      <c r="E24" s="79">
        <f t="shared" si="0"/>
        <v>0</v>
      </c>
      <c r="F24" s="79">
        <f t="shared" si="1"/>
        <v>0</v>
      </c>
      <c r="G24" s="79">
        <f t="shared" si="2"/>
        <v>0</v>
      </c>
      <c r="H24" s="79">
        <f t="shared" si="3"/>
        <v>0</v>
      </c>
      <c r="I24" s="79">
        <f t="shared" si="4"/>
        <v>0</v>
      </c>
      <c r="J24" s="79">
        <f t="shared" si="5"/>
        <v>0</v>
      </c>
      <c r="K24" s="79">
        <f t="shared" si="6"/>
        <v>0</v>
      </c>
      <c r="L24" s="59"/>
    </row>
    <row r="25" spans="1:14" ht="13.5" customHeight="1">
      <c r="A25" s="99"/>
      <c r="B25" s="136"/>
      <c r="C25" s="135"/>
      <c r="D25" s="135"/>
      <c r="E25" s="79">
        <f t="shared" si="0"/>
        <v>0</v>
      </c>
      <c r="F25" s="79">
        <f t="shared" si="1"/>
        <v>0</v>
      </c>
      <c r="G25" s="79">
        <f t="shared" si="2"/>
        <v>0</v>
      </c>
      <c r="H25" s="79">
        <f t="shared" si="3"/>
        <v>0</v>
      </c>
      <c r="I25" s="79">
        <f t="shared" si="4"/>
        <v>0</v>
      </c>
      <c r="J25" s="79">
        <f t="shared" si="5"/>
        <v>0</v>
      </c>
      <c r="K25" s="79">
        <f t="shared" si="6"/>
        <v>0</v>
      </c>
      <c r="L25" s="59"/>
      <c r="M25" s="59"/>
      <c r="N25" s="59"/>
    </row>
    <row r="26" spans="1:14" ht="13.5" customHeight="1">
      <c r="A26" s="73"/>
      <c r="B26" s="81"/>
      <c r="C26" s="135"/>
      <c r="D26" s="135"/>
      <c r="E26" s="79">
        <f t="shared" si="0"/>
        <v>0</v>
      </c>
      <c r="F26" s="79">
        <f t="shared" si="1"/>
        <v>0</v>
      </c>
      <c r="G26" s="79">
        <f t="shared" si="2"/>
        <v>0</v>
      </c>
      <c r="H26" s="79">
        <f t="shared" si="3"/>
        <v>0</v>
      </c>
      <c r="I26" s="79">
        <f t="shared" si="4"/>
        <v>0</v>
      </c>
      <c r="J26" s="79">
        <f t="shared" si="5"/>
        <v>0</v>
      </c>
      <c r="K26" s="79">
        <f t="shared" si="6"/>
        <v>0</v>
      </c>
      <c r="L26" s="59"/>
      <c r="M26" s="59"/>
      <c r="N26" s="59"/>
    </row>
    <row r="27" spans="1:11" ht="13.5" customHeight="1">
      <c r="A27" s="73"/>
      <c r="B27" s="81"/>
      <c r="C27" s="135"/>
      <c r="D27" s="135"/>
      <c r="E27" s="79">
        <f t="shared" si="0"/>
        <v>0</v>
      </c>
      <c r="F27" s="79">
        <f t="shared" si="1"/>
        <v>0</v>
      </c>
      <c r="G27" s="79">
        <f t="shared" si="2"/>
        <v>0</v>
      </c>
      <c r="H27" s="79">
        <f t="shared" si="3"/>
        <v>0</v>
      </c>
      <c r="I27" s="79">
        <f t="shared" si="4"/>
        <v>0</v>
      </c>
      <c r="J27" s="79">
        <f t="shared" si="5"/>
        <v>0</v>
      </c>
      <c r="K27" s="79">
        <f t="shared" si="6"/>
        <v>0</v>
      </c>
    </row>
    <row r="28" spans="1:11" ht="13.5" customHeight="1">
      <c r="A28" s="100"/>
      <c r="B28" s="137"/>
      <c r="C28" s="135"/>
      <c r="D28" s="135"/>
      <c r="E28" s="79">
        <f t="shared" si="0"/>
        <v>0</v>
      </c>
      <c r="F28" s="79">
        <f t="shared" si="1"/>
        <v>0</v>
      </c>
      <c r="G28" s="79">
        <f t="shared" si="2"/>
        <v>0</v>
      </c>
      <c r="H28" s="79">
        <f t="shared" si="3"/>
        <v>0</v>
      </c>
      <c r="I28" s="79">
        <f t="shared" si="4"/>
        <v>0</v>
      </c>
      <c r="J28" s="79">
        <f t="shared" si="5"/>
        <v>0</v>
      </c>
      <c r="K28" s="79">
        <f t="shared" si="6"/>
        <v>0</v>
      </c>
    </row>
    <row r="29" spans="1:11" ht="13.5" customHeight="1">
      <c r="A29" s="100"/>
      <c r="B29" s="137"/>
      <c r="C29" s="135"/>
      <c r="D29" s="135"/>
      <c r="E29" s="79">
        <f t="shared" si="0"/>
        <v>0</v>
      </c>
      <c r="F29" s="79">
        <f t="shared" si="1"/>
        <v>0</v>
      </c>
      <c r="G29" s="79">
        <f t="shared" si="2"/>
        <v>0</v>
      </c>
      <c r="H29" s="79">
        <f t="shared" si="3"/>
        <v>0</v>
      </c>
      <c r="I29" s="79">
        <f t="shared" si="4"/>
        <v>0</v>
      </c>
      <c r="J29" s="79">
        <f t="shared" si="5"/>
        <v>0</v>
      </c>
      <c r="K29" s="79">
        <f t="shared" si="6"/>
        <v>0</v>
      </c>
    </row>
    <row r="30" spans="1:14" ht="13.5" customHeight="1">
      <c r="A30" s="100"/>
      <c r="B30" s="137"/>
      <c r="C30" s="135"/>
      <c r="D30" s="135"/>
      <c r="E30" s="79">
        <f t="shared" si="0"/>
        <v>0</v>
      </c>
      <c r="F30" s="79">
        <f t="shared" si="1"/>
        <v>0</v>
      </c>
      <c r="G30" s="79">
        <f t="shared" si="2"/>
        <v>0</v>
      </c>
      <c r="H30" s="79">
        <f t="shared" si="3"/>
        <v>0</v>
      </c>
      <c r="I30" s="79">
        <f t="shared" si="4"/>
        <v>0</v>
      </c>
      <c r="J30" s="79">
        <f t="shared" si="5"/>
        <v>0</v>
      </c>
      <c r="K30" s="79">
        <f t="shared" si="6"/>
        <v>0</v>
      </c>
      <c r="M30" s="59"/>
      <c r="N30" s="59"/>
    </row>
    <row r="31" spans="1:11" ht="13.5" customHeight="1">
      <c r="A31" s="100"/>
      <c r="B31" s="137"/>
      <c r="C31" s="135"/>
      <c r="D31" s="135"/>
      <c r="E31" s="79">
        <f t="shared" si="0"/>
        <v>0</v>
      </c>
      <c r="F31" s="79">
        <f t="shared" si="1"/>
        <v>0</v>
      </c>
      <c r="G31" s="79">
        <f t="shared" si="2"/>
        <v>0</v>
      </c>
      <c r="H31" s="79">
        <f t="shared" si="3"/>
        <v>0</v>
      </c>
      <c r="I31" s="79">
        <f t="shared" si="4"/>
        <v>0</v>
      </c>
      <c r="J31" s="79">
        <f t="shared" si="5"/>
        <v>0</v>
      </c>
      <c r="K31" s="79">
        <f t="shared" si="6"/>
        <v>0</v>
      </c>
    </row>
    <row r="32" spans="1:11" ht="12" customHeight="1">
      <c r="A32" s="100"/>
      <c r="B32" s="137"/>
      <c r="C32" s="135"/>
      <c r="D32" s="135"/>
      <c r="E32" s="79">
        <f t="shared" si="0"/>
        <v>0</v>
      </c>
      <c r="F32" s="79">
        <f t="shared" si="1"/>
        <v>0</v>
      </c>
      <c r="G32" s="79">
        <f t="shared" si="2"/>
        <v>0</v>
      </c>
      <c r="H32" s="79">
        <f t="shared" si="3"/>
        <v>0</v>
      </c>
      <c r="I32" s="79">
        <f t="shared" si="4"/>
        <v>0</v>
      </c>
      <c r="J32" s="79">
        <f t="shared" si="5"/>
        <v>0</v>
      </c>
      <c r="K32" s="79">
        <f t="shared" si="6"/>
        <v>0</v>
      </c>
    </row>
    <row r="33" spans="1:11" ht="12" customHeight="1">
      <c r="A33" s="100"/>
      <c r="B33" s="137"/>
      <c r="C33" s="135"/>
      <c r="D33" s="135"/>
      <c r="E33" s="79">
        <f t="shared" si="0"/>
        <v>0</v>
      </c>
      <c r="F33" s="79">
        <f t="shared" si="1"/>
        <v>0</v>
      </c>
      <c r="G33" s="79">
        <f t="shared" si="2"/>
        <v>0</v>
      </c>
      <c r="H33" s="79">
        <f t="shared" si="3"/>
        <v>0</v>
      </c>
      <c r="I33" s="79">
        <f t="shared" si="4"/>
        <v>0</v>
      </c>
      <c r="J33" s="79">
        <f t="shared" si="5"/>
        <v>0</v>
      </c>
      <c r="K33" s="79">
        <f t="shared" si="6"/>
        <v>0</v>
      </c>
    </row>
    <row r="34" spans="1:11" ht="12" customHeight="1">
      <c r="A34" s="100"/>
      <c r="B34" s="137"/>
      <c r="C34" s="135"/>
      <c r="D34" s="135"/>
      <c r="E34" s="79">
        <f t="shared" si="0"/>
        <v>0</v>
      </c>
      <c r="F34" s="79">
        <f t="shared" si="1"/>
        <v>0</v>
      </c>
      <c r="G34" s="79">
        <f t="shared" si="2"/>
        <v>0</v>
      </c>
      <c r="H34" s="79">
        <f t="shared" si="3"/>
        <v>0</v>
      </c>
      <c r="I34" s="79">
        <f t="shared" si="4"/>
        <v>0</v>
      </c>
      <c r="J34" s="79">
        <f t="shared" si="5"/>
        <v>0</v>
      </c>
      <c r="K34" s="79">
        <f t="shared" si="6"/>
        <v>0</v>
      </c>
    </row>
    <row r="35" spans="1:14" ht="12" customHeight="1">
      <c r="A35" s="100"/>
      <c r="B35" s="137"/>
      <c r="C35" s="135"/>
      <c r="D35" s="135"/>
      <c r="E35" s="79">
        <f t="shared" si="0"/>
        <v>0</v>
      </c>
      <c r="F35" s="79">
        <f t="shared" si="1"/>
        <v>0</v>
      </c>
      <c r="G35" s="79">
        <f t="shared" si="2"/>
        <v>0</v>
      </c>
      <c r="H35" s="79">
        <f t="shared" si="3"/>
        <v>0</v>
      </c>
      <c r="I35" s="79">
        <f t="shared" si="4"/>
        <v>0</v>
      </c>
      <c r="J35" s="79">
        <f t="shared" si="5"/>
        <v>0</v>
      </c>
      <c r="K35" s="79">
        <f t="shared" si="6"/>
        <v>0</v>
      </c>
      <c r="M35" s="59"/>
      <c r="N35" s="59"/>
    </row>
    <row r="36" spans="1:11" ht="12.75">
      <c r="A36" s="100"/>
      <c r="B36" s="137"/>
      <c r="C36" s="135"/>
      <c r="D36" s="135"/>
      <c r="E36" s="79">
        <f t="shared" si="0"/>
        <v>0</v>
      </c>
      <c r="F36" s="79">
        <f t="shared" si="1"/>
        <v>0</v>
      </c>
      <c r="G36" s="79">
        <f t="shared" si="2"/>
        <v>0</v>
      </c>
      <c r="H36" s="79">
        <f t="shared" si="3"/>
        <v>0</v>
      </c>
      <c r="I36" s="79">
        <f t="shared" si="4"/>
        <v>0</v>
      </c>
      <c r="J36" s="79">
        <f t="shared" si="5"/>
        <v>0</v>
      </c>
      <c r="K36" s="79">
        <f t="shared" si="6"/>
        <v>0</v>
      </c>
    </row>
    <row r="37" spans="1:11" ht="12.75">
      <c r="A37" s="100"/>
      <c r="B37" s="137"/>
      <c r="C37" s="135"/>
      <c r="D37" s="135"/>
      <c r="E37" s="79">
        <f t="shared" si="0"/>
        <v>0</v>
      </c>
      <c r="F37" s="79">
        <f t="shared" si="1"/>
        <v>0</v>
      </c>
      <c r="G37" s="79">
        <f t="shared" si="2"/>
        <v>0</v>
      </c>
      <c r="H37" s="79">
        <f t="shared" si="3"/>
        <v>0</v>
      </c>
      <c r="I37" s="79">
        <f t="shared" si="4"/>
        <v>0</v>
      </c>
      <c r="J37" s="79">
        <f t="shared" si="5"/>
        <v>0</v>
      </c>
      <c r="K37" s="79">
        <f t="shared" si="6"/>
        <v>0</v>
      </c>
    </row>
    <row r="38" spans="1:11" ht="12.75">
      <c r="A38" s="100"/>
      <c r="B38" s="137"/>
      <c r="C38" s="135"/>
      <c r="D38" s="135"/>
      <c r="E38" s="92">
        <f t="shared" si="0"/>
        <v>0</v>
      </c>
      <c r="F38" s="92">
        <f t="shared" si="1"/>
        <v>0</v>
      </c>
      <c r="G38" s="92">
        <f t="shared" si="2"/>
        <v>0</v>
      </c>
      <c r="H38" s="92">
        <f t="shared" si="3"/>
        <v>0</v>
      </c>
      <c r="I38" s="92">
        <f t="shared" si="4"/>
        <v>0</v>
      </c>
      <c r="J38" s="92">
        <f t="shared" si="5"/>
        <v>0</v>
      </c>
      <c r="K38" s="92">
        <f t="shared" si="6"/>
        <v>0</v>
      </c>
    </row>
    <row r="39" spans="1:11" ht="12.75">
      <c r="A39" s="59"/>
      <c r="B39" s="59"/>
      <c r="C39" s="59"/>
      <c r="D39" s="59"/>
      <c r="E39" s="79"/>
      <c r="F39" s="79"/>
      <c r="G39" s="79"/>
      <c r="H39" s="79"/>
      <c r="I39" s="79"/>
      <c r="J39" s="79"/>
      <c r="K39" s="79"/>
    </row>
    <row r="40" spans="1:11" ht="13.5" thickBot="1">
      <c r="A40" s="75" t="s">
        <v>43</v>
      </c>
      <c r="B40" s="75"/>
      <c r="C40" s="59"/>
      <c r="D40" s="59"/>
      <c r="E40" s="134">
        <f>SUM(E8:E38)</f>
        <v>0</v>
      </c>
      <c r="F40" s="134">
        <f>SUM(F8:F38)</f>
        <v>0</v>
      </c>
      <c r="G40" s="134">
        <f>SUM(G8:G38)</f>
        <v>0</v>
      </c>
      <c r="H40" s="134">
        <f>+E40+F40+G40</f>
        <v>0</v>
      </c>
      <c r="I40" s="134">
        <f>SUM(I8:I38)</f>
        <v>0</v>
      </c>
      <c r="J40" s="134">
        <f>SUM(J8:J38)</f>
        <v>0</v>
      </c>
      <c r="K40" s="134">
        <f>+H40+I40+J40</f>
        <v>0</v>
      </c>
    </row>
    <row r="41" spans="5:11" ht="13.5" thickTop="1">
      <c r="E41" s="69"/>
      <c r="F41" s="69"/>
      <c r="G41" s="69"/>
      <c r="H41" s="69"/>
      <c r="I41" s="69"/>
      <c r="J41" s="69"/>
      <c r="K41" s="69"/>
    </row>
    <row r="42" spans="5:11" ht="12.75">
      <c r="E42" s="69"/>
      <c r="F42" s="69"/>
      <c r="G42" s="69"/>
      <c r="H42" s="69"/>
      <c r="I42" s="69"/>
      <c r="J42" s="69"/>
      <c r="K42" s="69"/>
    </row>
    <row r="43" spans="5:11" ht="12.75">
      <c r="E43" s="69"/>
      <c r="F43" s="69"/>
      <c r="G43" s="69"/>
      <c r="H43" s="69"/>
      <c r="I43" s="69"/>
      <c r="J43" s="69"/>
      <c r="K43" s="69"/>
    </row>
    <row r="44" spans="5:11" ht="12.75">
      <c r="E44" s="69"/>
      <c r="F44" s="69"/>
      <c r="G44" s="69"/>
      <c r="H44" s="69"/>
      <c r="I44" s="69"/>
      <c r="J44" s="69"/>
      <c r="K44" s="69"/>
    </row>
    <row r="45" spans="5:11" ht="12.75">
      <c r="E45" s="69"/>
      <c r="F45" s="69"/>
      <c r="G45" s="69"/>
      <c r="H45" s="69"/>
      <c r="I45" s="69"/>
      <c r="J45" s="69"/>
      <c r="K45" s="69"/>
    </row>
    <row r="46" spans="5:11" ht="12.75">
      <c r="E46" s="69"/>
      <c r="F46" s="69"/>
      <c r="G46" s="69"/>
      <c r="H46" s="69"/>
      <c r="I46" s="69"/>
      <c r="J46" s="69"/>
      <c r="K46" s="69"/>
    </row>
    <row r="47" spans="5:11" ht="12.75">
      <c r="E47" s="69"/>
      <c r="F47" s="69"/>
      <c r="G47" s="69"/>
      <c r="H47" s="69"/>
      <c r="I47" s="69"/>
      <c r="J47" s="69"/>
      <c r="K47" s="69"/>
    </row>
    <row r="48" spans="5:11" ht="12.75">
      <c r="E48" s="69"/>
      <c r="F48" s="69"/>
      <c r="G48" s="69"/>
      <c r="H48" s="69"/>
      <c r="I48" s="69"/>
      <c r="J48" s="69"/>
      <c r="K48" s="69"/>
    </row>
    <row r="49" spans="5:11" ht="12.75">
      <c r="E49" s="69"/>
      <c r="F49" s="69"/>
      <c r="G49" s="69"/>
      <c r="H49" s="69"/>
      <c r="I49" s="69"/>
      <c r="J49" s="69"/>
      <c r="K49" s="69"/>
    </row>
    <row r="50" spans="5:11" ht="12.75">
      <c r="E50" s="69"/>
      <c r="F50" s="69"/>
      <c r="G50" s="69"/>
      <c r="H50" s="69"/>
      <c r="I50" s="69"/>
      <c r="J50" s="69"/>
      <c r="K50" s="69"/>
    </row>
    <row r="51" spans="5:11" ht="12.75">
      <c r="E51" s="69"/>
      <c r="F51" s="69"/>
      <c r="G51" s="69"/>
      <c r="H51" s="69"/>
      <c r="I51" s="69"/>
      <c r="J51" s="69"/>
      <c r="K51" s="69"/>
    </row>
    <row r="52" spans="5:11" ht="12.75">
      <c r="E52" s="69"/>
      <c r="F52" s="69"/>
      <c r="G52" s="69"/>
      <c r="H52" s="69"/>
      <c r="I52" s="69"/>
      <c r="J52" s="69"/>
      <c r="K52" s="69"/>
    </row>
    <row r="53" spans="5:11" ht="12.75">
      <c r="E53" s="69"/>
      <c r="F53" s="69"/>
      <c r="G53" s="69"/>
      <c r="H53" s="69"/>
      <c r="I53" s="69"/>
      <c r="J53" s="69"/>
      <c r="K53" s="69"/>
    </row>
    <row r="54" spans="5:11" ht="12.75">
      <c r="E54" s="69"/>
      <c r="F54" s="69"/>
      <c r="G54" s="69"/>
      <c r="H54" s="69"/>
      <c r="I54" s="69"/>
      <c r="J54" s="69"/>
      <c r="K54" s="69"/>
    </row>
    <row r="55" spans="5:11" ht="12.75">
      <c r="E55" s="69"/>
      <c r="F55" s="69"/>
      <c r="G55" s="69"/>
      <c r="H55" s="69"/>
      <c r="I55" s="69"/>
      <c r="J55" s="69"/>
      <c r="K55" s="69"/>
    </row>
    <row r="56" spans="5:11" ht="12.75">
      <c r="E56" s="69"/>
      <c r="F56" s="69"/>
      <c r="G56" s="69"/>
      <c r="H56" s="69"/>
      <c r="I56" s="69"/>
      <c r="J56" s="69"/>
      <c r="K56" s="69"/>
    </row>
    <row r="57" spans="5:11" ht="12.75">
      <c r="E57" s="69"/>
      <c r="F57" s="69"/>
      <c r="G57" s="69"/>
      <c r="H57" s="69"/>
      <c r="I57" s="69"/>
      <c r="J57" s="69"/>
      <c r="K57" s="69"/>
    </row>
    <row r="58" spans="5:11" ht="12.75">
      <c r="E58" s="69"/>
      <c r="F58" s="69"/>
      <c r="G58" s="69"/>
      <c r="H58" s="69"/>
      <c r="I58" s="69"/>
      <c r="J58" s="69"/>
      <c r="K58" s="69"/>
    </row>
    <row r="59" spans="5:11" ht="12.75">
      <c r="E59" s="69"/>
      <c r="F59" s="69"/>
      <c r="G59" s="69"/>
      <c r="H59" s="69"/>
      <c r="I59" s="69"/>
      <c r="J59" s="69"/>
      <c r="K59" s="69"/>
    </row>
    <row r="60" spans="5:11" ht="12.75">
      <c r="E60" s="69"/>
      <c r="F60" s="69"/>
      <c r="G60" s="69"/>
      <c r="H60" s="69"/>
      <c r="I60" s="69"/>
      <c r="J60" s="69"/>
      <c r="K60" s="69"/>
    </row>
    <row r="61" spans="5:11" ht="12.75">
      <c r="E61" s="69"/>
      <c r="F61" s="69"/>
      <c r="G61" s="69"/>
      <c r="H61" s="69"/>
      <c r="I61" s="69"/>
      <c r="J61" s="69"/>
      <c r="K61" s="69"/>
    </row>
    <row r="62" spans="5:11" ht="12.75">
      <c r="E62" s="69"/>
      <c r="F62" s="69"/>
      <c r="G62" s="69"/>
      <c r="H62" s="69"/>
      <c r="I62" s="69"/>
      <c r="J62" s="69"/>
      <c r="K62" s="69"/>
    </row>
    <row r="63" spans="5:11" ht="12.75">
      <c r="E63" s="69"/>
      <c r="F63" s="69"/>
      <c r="G63" s="69"/>
      <c r="H63" s="69"/>
      <c r="I63" s="69"/>
      <c r="J63" s="69"/>
      <c r="K63" s="69"/>
    </row>
    <row r="64" spans="5:11" ht="12.75">
      <c r="E64" s="69"/>
      <c r="F64" s="69"/>
      <c r="G64" s="69"/>
      <c r="H64" s="69"/>
      <c r="I64" s="69"/>
      <c r="J64" s="69"/>
      <c r="K64" s="69"/>
    </row>
    <row r="65" spans="5:11" ht="12.75">
      <c r="E65" s="69"/>
      <c r="F65" s="69"/>
      <c r="G65" s="69"/>
      <c r="H65" s="69"/>
      <c r="I65" s="69"/>
      <c r="J65" s="69"/>
      <c r="K65" s="69"/>
    </row>
    <row r="66" spans="5:11" ht="12.75">
      <c r="E66" s="69"/>
      <c r="F66" s="69"/>
      <c r="G66" s="69"/>
      <c r="H66" s="69"/>
      <c r="I66" s="69"/>
      <c r="J66" s="69"/>
      <c r="K66" s="69"/>
    </row>
    <row r="67" spans="5:11" ht="12.75">
      <c r="E67" s="69"/>
      <c r="F67" s="69"/>
      <c r="G67" s="69"/>
      <c r="H67" s="69"/>
      <c r="I67" s="69"/>
      <c r="J67" s="69"/>
      <c r="K67" s="69"/>
    </row>
    <row r="68" spans="5:11" ht="12.75">
      <c r="E68" s="69"/>
      <c r="F68" s="69"/>
      <c r="G68" s="69"/>
      <c r="H68" s="69"/>
      <c r="I68" s="69"/>
      <c r="J68" s="69"/>
      <c r="K68" s="69"/>
    </row>
    <row r="69" spans="5:11" ht="12.75">
      <c r="E69" s="69"/>
      <c r="F69" s="69"/>
      <c r="G69" s="69"/>
      <c r="H69" s="69"/>
      <c r="I69" s="69"/>
      <c r="J69" s="69"/>
      <c r="K69" s="69"/>
    </row>
    <row r="70" spans="5:11" ht="12.75">
      <c r="E70" s="69"/>
      <c r="F70" s="69"/>
      <c r="G70" s="69"/>
      <c r="H70" s="69"/>
      <c r="I70" s="69"/>
      <c r="J70" s="69"/>
      <c r="K70" s="69"/>
    </row>
    <row r="71" spans="5:11" ht="12.75">
      <c r="E71" s="69"/>
      <c r="F71" s="69"/>
      <c r="G71" s="69"/>
      <c r="H71" s="69"/>
      <c r="I71" s="69"/>
      <c r="J71" s="69"/>
      <c r="K71" s="69"/>
    </row>
    <row r="72" spans="5:11" ht="12.75">
      <c r="E72" s="69"/>
      <c r="F72" s="69"/>
      <c r="G72" s="69"/>
      <c r="H72" s="69"/>
      <c r="I72" s="69"/>
      <c r="J72" s="69"/>
      <c r="K72" s="69"/>
    </row>
    <row r="73" spans="5:11" ht="12.75">
      <c r="E73" s="69"/>
      <c r="F73" s="69"/>
      <c r="G73" s="69"/>
      <c r="H73" s="69"/>
      <c r="I73" s="69"/>
      <c r="J73" s="69"/>
      <c r="K73" s="69"/>
    </row>
    <row r="74" spans="5:11" ht="12.75">
      <c r="E74" s="69"/>
      <c r="F74" s="69"/>
      <c r="G74" s="69"/>
      <c r="H74" s="69"/>
      <c r="I74" s="69"/>
      <c r="J74" s="69"/>
      <c r="K74" s="69"/>
    </row>
    <row r="75" spans="5:11" ht="12.75">
      <c r="E75" s="69"/>
      <c r="F75" s="69"/>
      <c r="G75" s="69"/>
      <c r="H75" s="69"/>
      <c r="I75" s="69"/>
      <c r="J75" s="69"/>
      <c r="K75" s="69"/>
    </row>
    <row r="76" spans="5:11" ht="12.75">
      <c r="E76" s="69"/>
      <c r="F76" s="69"/>
      <c r="G76" s="69"/>
      <c r="H76" s="69"/>
      <c r="I76" s="69"/>
      <c r="J76" s="69"/>
      <c r="K76" s="69"/>
    </row>
    <row r="77" spans="5:11" ht="12.75">
      <c r="E77" s="69"/>
      <c r="F77" s="69"/>
      <c r="G77" s="69"/>
      <c r="H77" s="69"/>
      <c r="I77" s="69"/>
      <c r="J77" s="69"/>
      <c r="K77" s="69"/>
    </row>
  </sheetData>
  <printOptions horizontalCentered="1"/>
  <pageMargins left="0.5" right="0.5" top="0.5" bottom="0.5" header="0.5" footer="0.5"/>
  <pageSetup fitToHeight="1" fitToWidth="1" horizontalDpi="600" verticalDpi="600" orientation="landscape" paperSize="5" scale="96" r:id="rId1"/>
</worksheet>
</file>

<file path=xl/worksheets/sheet17.xml><?xml version="1.0" encoding="utf-8"?>
<worksheet xmlns="http://schemas.openxmlformats.org/spreadsheetml/2006/main" xmlns:r="http://schemas.openxmlformats.org/officeDocument/2006/relationships">
  <sheetPr>
    <pageSetUpPr fitToPage="1"/>
  </sheetPr>
  <dimension ref="A1:V77"/>
  <sheetViews>
    <sheetView zoomScale="75" zoomScaleNormal="75" workbookViewId="0" topLeftCell="A1">
      <selection activeCell="D15" sqref="D15"/>
    </sheetView>
  </sheetViews>
  <sheetFormatPr defaultColWidth="9.140625" defaultRowHeight="12.75"/>
  <cols>
    <col min="1" max="1" width="32.7109375" style="60" customWidth="1"/>
    <col min="2" max="2" width="14.7109375" style="60" customWidth="1"/>
    <col min="3" max="4" width="12.7109375" style="60" customWidth="1"/>
    <col min="5" max="11" width="14.7109375" style="60" customWidth="1"/>
    <col min="12" max="19" width="9.140625" style="60" customWidth="1"/>
    <col min="20" max="16384" width="9.140625" style="58" customWidth="1"/>
  </cols>
  <sheetData>
    <row r="1" spans="1:5" ht="15" customHeight="1">
      <c r="A1" s="74" t="s">
        <v>42</v>
      </c>
      <c r="B1" s="67"/>
      <c r="C1" s="59"/>
      <c r="D1" s="59"/>
      <c r="E1" s="59"/>
    </row>
    <row r="2" spans="1:17" ht="15.75" customHeight="1">
      <c r="A2" s="74" t="s">
        <v>83</v>
      </c>
      <c r="B2" s="67"/>
      <c r="C2" s="59"/>
      <c r="D2" s="59"/>
      <c r="E2" s="59"/>
      <c r="F2" s="59"/>
      <c r="G2" s="59"/>
      <c r="H2" s="59"/>
      <c r="I2" s="59"/>
      <c r="Q2" s="61"/>
    </row>
    <row r="3" spans="1:9" ht="15" customHeight="1">
      <c r="A3" s="139" t="s">
        <v>35</v>
      </c>
      <c r="B3" s="68"/>
      <c r="C3" s="59"/>
      <c r="D3" s="59"/>
      <c r="E3" s="138" t="s">
        <v>58</v>
      </c>
      <c r="F3" s="71"/>
      <c r="G3" s="59"/>
      <c r="H3" s="59"/>
      <c r="I3" s="59"/>
    </row>
    <row r="4" spans="1:19" ht="12.75">
      <c r="A4" s="59"/>
      <c r="B4" s="59"/>
      <c r="C4" s="59"/>
      <c r="D4" s="59"/>
      <c r="E4" s="63"/>
      <c r="F4" s="59"/>
      <c r="G4" s="59"/>
      <c r="H4" s="59"/>
      <c r="I4" s="59"/>
      <c r="K4" s="61"/>
      <c r="R4" s="62"/>
      <c r="S4" s="62"/>
    </row>
    <row r="5" spans="1:11" ht="12.75">
      <c r="A5" s="132"/>
      <c r="B5" s="132"/>
      <c r="C5" s="132" t="s">
        <v>39</v>
      </c>
      <c r="D5" s="132" t="s">
        <v>39</v>
      </c>
      <c r="E5" s="131">
        <v>39448</v>
      </c>
      <c r="F5" s="65"/>
      <c r="G5" s="65"/>
      <c r="H5" s="131">
        <v>39813</v>
      </c>
      <c r="I5" s="65"/>
      <c r="J5" s="65"/>
      <c r="K5" s="131">
        <v>40178</v>
      </c>
    </row>
    <row r="6" spans="1:11" ht="12" customHeight="1" thickBot="1">
      <c r="A6" s="133" t="s">
        <v>38</v>
      </c>
      <c r="B6" s="133" t="s">
        <v>28</v>
      </c>
      <c r="C6" s="133" t="s">
        <v>40</v>
      </c>
      <c r="D6" s="133" t="s">
        <v>82</v>
      </c>
      <c r="E6" s="70" t="s">
        <v>28</v>
      </c>
      <c r="F6" s="70" t="s">
        <v>36</v>
      </c>
      <c r="G6" s="70" t="s">
        <v>82</v>
      </c>
      <c r="H6" s="70" t="s">
        <v>28</v>
      </c>
      <c r="I6" s="70" t="s">
        <v>36</v>
      </c>
      <c r="J6" s="70" t="s">
        <v>82</v>
      </c>
      <c r="K6" s="70" t="s">
        <v>28</v>
      </c>
    </row>
    <row r="7" spans="1:11" ht="15" customHeight="1">
      <c r="A7" s="59"/>
      <c r="B7" s="59"/>
      <c r="C7" s="59"/>
      <c r="D7" s="59"/>
      <c r="E7" s="76"/>
      <c r="F7" s="76"/>
      <c r="G7" s="76"/>
      <c r="H7" s="76"/>
      <c r="I7" s="76"/>
      <c r="J7" s="76"/>
      <c r="K7" s="76"/>
    </row>
    <row r="8" spans="1:11" ht="15" customHeight="1">
      <c r="A8" s="73" t="s">
        <v>222</v>
      </c>
      <c r="B8" s="136">
        <v>30000</v>
      </c>
      <c r="C8" s="98">
        <v>39629</v>
      </c>
      <c r="D8" s="135"/>
      <c r="E8" s="79">
        <f>IF(C8&lt;$E$5,B8,0)</f>
        <v>0</v>
      </c>
      <c r="F8" s="79">
        <f>IF(AND($E$5&lt;C8,C8&lt;$H$5+1),B8,0)</f>
        <v>30000</v>
      </c>
      <c r="G8" s="79">
        <f>IF(AND($E$5&lt;D8,D8&lt;$H$5+1),-B8,0)</f>
        <v>0</v>
      </c>
      <c r="H8" s="79">
        <f>+E8+F8+G8</f>
        <v>30000</v>
      </c>
      <c r="I8" s="79">
        <f>IF(AND($H$5&lt;C8,C8&lt;$K$5+1),B8,0)</f>
        <v>0</v>
      </c>
      <c r="J8" s="79">
        <f>IF(AND($H$5&lt;D8,D8&lt;$K$5+1),-B8,0)</f>
        <v>0</v>
      </c>
      <c r="K8" s="79">
        <f>+H8+I8+J8</f>
        <v>30000</v>
      </c>
    </row>
    <row r="9" spans="1:11" ht="15" customHeight="1">
      <c r="A9" s="73" t="s">
        <v>223</v>
      </c>
      <c r="B9" s="137">
        <v>45000</v>
      </c>
      <c r="C9" s="98">
        <v>39721</v>
      </c>
      <c r="D9" s="135"/>
      <c r="E9" s="79">
        <f aca="true" t="shared" si="0" ref="E9:E38">IF(C9&lt;$E$5,B9,0)</f>
        <v>0</v>
      </c>
      <c r="F9" s="79">
        <f aca="true" t="shared" si="1" ref="F9:F38">IF(AND($E$5&lt;C9,C9&lt;$H$5+1),B9,0)</f>
        <v>45000</v>
      </c>
      <c r="G9" s="79">
        <f aca="true" t="shared" si="2" ref="G9:G38">IF(AND($E$5&lt;D9,D9&lt;$H$5+1),-B9,0)</f>
        <v>0</v>
      </c>
      <c r="H9" s="79">
        <f aca="true" t="shared" si="3" ref="H9:H38">+E9+F9+G9</f>
        <v>45000</v>
      </c>
      <c r="I9" s="79">
        <f aca="true" t="shared" si="4" ref="I9:I38">IF(AND($H$5&lt;C9,C9&lt;$K$5+1),B9,0)</f>
        <v>0</v>
      </c>
      <c r="J9" s="79">
        <f aca="true" t="shared" si="5" ref="J9:J38">IF(AND($H$5&lt;D9,D9&lt;$K$5+1),-B9,0)</f>
        <v>0</v>
      </c>
      <c r="K9" s="79">
        <f aca="true" t="shared" si="6" ref="K9:K38">+H9+I9+J9</f>
        <v>45000</v>
      </c>
    </row>
    <row r="10" spans="1:19" s="66" customFormat="1" ht="13.5" customHeight="1">
      <c r="A10" s="73" t="s">
        <v>224</v>
      </c>
      <c r="B10" s="137">
        <v>12500</v>
      </c>
      <c r="C10" s="98">
        <v>39721</v>
      </c>
      <c r="D10" s="135"/>
      <c r="E10" s="79">
        <f t="shared" si="0"/>
        <v>0</v>
      </c>
      <c r="F10" s="79">
        <f t="shared" si="1"/>
        <v>12500</v>
      </c>
      <c r="G10" s="79">
        <f t="shared" si="2"/>
        <v>0</v>
      </c>
      <c r="H10" s="79">
        <f t="shared" si="3"/>
        <v>12500</v>
      </c>
      <c r="I10" s="79">
        <f t="shared" si="4"/>
        <v>0</v>
      </c>
      <c r="J10" s="79">
        <f t="shared" si="5"/>
        <v>0</v>
      </c>
      <c r="K10" s="79">
        <f t="shared" si="6"/>
        <v>12500</v>
      </c>
      <c r="L10" s="60"/>
      <c r="M10" s="60"/>
      <c r="N10" s="60"/>
      <c r="O10" s="60"/>
      <c r="P10" s="60"/>
      <c r="Q10" s="60"/>
      <c r="R10" s="60"/>
      <c r="S10" s="60"/>
    </row>
    <row r="11" spans="1:19" s="66" customFormat="1" ht="13.5" customHeight="1">
      <c r="A11" s="73" t="s">
        <v>225</v>
      </c>
      <c r="B11" s="137">
        <v>325000</v>
      </c>
      <c r="C11" s="135">
        <v>39813</v>
      </c>
      <c r="D11" s="135"/>
      <c r="E11" s="79">
        <f t="shared" si="0"/>
        <v>0</v>
      </c>
      <c r="F11" s="79">
        <f t="shared" si="1"/>
        <v>325000</v>
      </c>
      <c r="G11" s="79">
        <f t="shared" si="2"/>
        <v>0</v>
      </c>
      <c r="H11" s="79">
        <f t="shared" si="3"/>
        <v>325000</v>
      </c>
      <c r="I11" s="79">
        <f t="shared" si="4"/>
        <v>0</v>
      </c>
      <c r="J11" s="79">
        <f t="shared" si="5"/>
        <v>0</v>
      </c>
      <c r="K11" s="79">
        <f t="shared" si="6"/>
        <v>325000</v>
      </c>
      <c r="L11" s="60"/>
      <c r="M11" s="60"/>
      <c r="N11" s="60"/>
      <c r="O11" s="60"/>
      <c r="P11" s="60"/>
      <c r="Q11" s="64"/>
      <c r="R11" s="60"/>
      <c r="S11" s="64"/>
    </row>
    <row r="12" spans="1:22" ht="12.75" customHeight="1">
      <c r="A12" s="73" t="s">
        <v>226</v>
      </c>
      <c r="B12" s="137">
        <v>325000</v>
      </c>
      <c r="C12" s="98">
        <v>40086</v>
      </c>
      <c r="D12" s="135"/>
      <c r="E12" s="79">
        <f t="shared" si="0"/>
        <v>0</v>
      </c>
      <c r="F12" s="79">
        <f t="shared" si="1"/>
        <v>0</v>
      </c>
      <c r="G12" s="79">
        <f t="shared" si="2"/>
        <v>0</v>
      </c>
      <c r="H12" s="79">
        <f t="shared" si="3"/>
        <v>0</v>
      </c>
      <c r="I12" s="79">
        <f t="shared" si="4"/>
        <v>325000</v>
      </c>
      <c r="J12" s="79">
        <f t="shared" si="5"/>
        <v>0</v>
      </c>
      <c r="K12" s="79">
        <f t="shared" si="6"/>
        <v>325000</v>
      </c>
      <c r="L12" s="59"/>
      <c r="M12" s="59"/>
      <c r="N12" s="59"/>
      <c r="O12" s="59"/>
      <c r="T12" s="5"/>
      <c r="U12" s="5"/>
      <c r="V12" s="5"/>
    </row>
    <row r="13" spans="1:22" ht="12.75" customHeight="1">
      <c r="A13" s="73" t="s">
        <v>227</v>
      </c>
      <c r="B13" s="137">
        <v>312500</v>
      </c>
      <c r="C13" s="98">
        <v>40209</v>
      </c>
      <c r="D13" s="135"/>
      <c r="E13" s="79">
        <f t="shared" si="0"/>
        <v>0</v>
      </c>
      <c r="F13" s="79">
        <f t="shared" si="1"/>
        <v>0</v>
      </c>
      <c r="G13" s="79">
        <f t="shared" si="2"/>
        <v>0</v>
      </c>
      <c r="H13" s="79">
        <f t="shared" si="3"/>
        <v>0</v>
      </c>
      <c r="I13" s="79">
        <f t="shared" si="4"/>
        <v>0</v>
      </c>
      <c r="J13" s="79">
        <f t="shared" si="5"/>
        <v>0</v>
      </c>
      <c r="K13" s="79">
        <f t="shared" si="6"/>
        <v>0</v>
      </c>
      <c r="L13" s="59"/>
      <c r="M13" s="59"/>
      <c r="N13" s="59"/>
      <c r="O13" s="59"/>
      <c r="T13" s="5"/>
      <c r="U13" s="5"/>
      <c r="V13" s="5"/>
    </row>
    <row r="14" spans="1:22" ht="12.75" customHeight="1">
      <c r="A14" s="73" t="s">
        <v>228</v>
      </c>
      <c r="B14" s="137">
        <v>190540</v>
      </c>
      <c r="C14" s="98">
        <v>40421</v>
      </c>
      <c r="D14" s="135"/>
      <c r="E14" s="79">
        <f t="shared" si="0"/>
        <v>0</v>
      </c>
      <c r="F14" s="79">
        <f t="shared" si="1"/>
        <v>0</v>
      </c>
      <c r="G14" s="79">
        <f t="shared" si="2"/>
        <v>0</v>
      </c>
      <c r="H14" s="79">
        <f t="shared" si="3"/>
        <v>0</v>
      </c>
      <c r="I14" s="79">
        <f t="shared" si="4"/>
        <v>0</v>
      </c>
      <c r="J14" s="79">
        <f t="shared" si="5"/>
        <v>0</v>
      </c>
      <c r="K14" s="79">
        <f t="shared" si="6"/>
        <v>0</v>
      </c>
      <c r="L14" s="59"/>
      <c r="M14" s="59"/>
      <c r="N14" s="59"/>
      <c r="O14" s="59"/>
      <c r="T14" s="5"/>
      <c r="U14" s="5"/>
      <c r="V14" s="5"/>
    </row>
    <row r="15" spans="1:22" ht="13.5" customHeight="1">
      <c r="A15" s="99"/>
      <c r="B15" s="137"/>
      <c r="C15" s="135"/>
      <c r="D15" s="135"/>
      <c r="E15" s="79">
        <f t="shared" si="0"/>
        <v>0</v>
      </c>
      <c r="F15" s="79">
        <f t="shared" si="1"/>
        <v>0</v>
      </c>
      <c r="G15" s="79">
        <f t="shared" si="2"/>
        <v>0</v>
      </c>
      <c r="H15" s="79">
        <f t="shared" si="3"/>
        <v>0</v>
      </c>
      <c r="I15" s="79">
        <f t="shared" si="4"/>
        <v>0</v>
      </c>
      <c r="J15" s="79">
        <f t="shared" si="5"/>
        <v>0</v>
      </c>
      <c r="K15" s="79">
        <f t="shared" si="6"/>
        <v>0</v>
      </c>
      <c r="L15" s="59"/>
      <c r="M15" s="59"/>
      <c r="N15" s="59"/>
      <c r="O15" s="59"/>
      <c r="T15" s="5"/>
      <c r="U15" s="5"/>
      <c r="V15" s="5"/>
    </row>
    <row r="16" spans="1:22" ht="13.5" customHeight="1">
      <c r="A16" s="99"/>
      <c r="B16" s="136"/>
      <c r="C16" s="135"/>
      <c r="D16" s="135"/>
      <c r="E16" s="79">
        <f t="shared" si="0"/>
        <v>0</v>
      </c>
      <c r="F16" s="79">
        <f t="shared" si="1"/>
        <v>0</v>
      </c>
      <c r="G16" s="79">
        <f t="shared" si="2"/>
        <v>0</v>
      </c>
      <c r="H16" s="79">
        <f t="shared" si="3"/>
        <v>0</v>
      </c>
      <c r="I16" s="79">
        <f t="shared" si="4"/>
        <v>0</v>
      </c>
      <c r="J16" s="79">
        <f t="shared" si="5"/>
        <v>0</v>
      </c>
      <c r="K16" s="79">
        <f t="shared" si="6"/>
        <v>0</v>
      </c>
      <c r="L16" s="59"/>
      <c r="M16" s="59"/>
      <c r="N16" s="59"/>
      <c r="O16" s="59"/>
      <c r="T16" s="5"/>
      <c r="U16" s="5"/>
      <c r="V16" s="5"/>
    </row>
    <row r="17" spans="1:22" ht="13.5" customHeight="1">
      <c r="A17" s="99"/>
      <c r="B17" s="136"/>
      <c r="C17" s="135"/>
      <c r="D17" s="135"/>
      <c r="E17" s="79">
        <f t="shared" si="0"/>
        <v>0</v>
      </c>
      <c r="F17" s="79">
        <f t="shared" si="1"/>
        <v>0</v>
      </c>
      <c r="G17" s="79">
        <f t="shared" si="2"/>
        <v>0</v>
      </c>
      <c r="H17" s="79">
        <f t="shared" si="3"/>
        <v>0</v>
      </c>
      <c r="I17" s="79">
        <f t="shared" si="4"/>
        <v>0</v>
      </c>
      <c r="J17" s="79">
        <f t="shared" si="5"/>
        <v>0</v>
      </c>
      <c r="K17" s="79">
        <f t="shared" si="6"/>
        <v>0</v>
      </c>
      <c r="L17" s="59"/>
      <c r="M17" s="59"/>
      <c r="N17" s="59"/>
      <c r="O17" s="59"/>
      <c r="T17" s="5"/>
      <c r="U17" s="5"/>
      <c r="V17" s="5"/>
    </row>
    <row r="18" spans="1:22" ht="13.5" customHeight="1">
      <c r="A18" s="99"/>
      <c r="B18" s="136"/>
      <c r="C18" s="135"/>
      <c r="D18" s="135"/>
      <c r="E18" s="79">
        <f t="shared" si="0"/>
        <v>0</v>
      </c>
      <c r="F18" s="79">
        <f t="shared" si="1"/>
        <v>0</v>
      </c>
      <c r="G18" s="79">
        <f t="shared" si="2"/>
        <v>0</v>
      </c>
      <c r="H18" s="79">
        <f t="shared" si="3"/>
        <v>0</v>
      </c>
      <c r="I18" s="79">
        <f t="shared" si="4"/>
        <v>0</v>
      </c>
      <c r="J18" s="79">
        <f t="shared" si="5"/>
        <v>0</v>
      </c>
      <c r="K18" s="79">
        <f t="shared" si="6"/>
        <v>0</v>
      </c>
      <c r="T18" s="5"/>
      <c r="U18" s="5"/>
      <c r="V18" s="5"/>
    </row>
    <row r="19" spans="1:22" ht="13.5" customHeight="1">
      <c r="A19" s="99"/>
      <c r="B19" s="136"/>
      <c r="C19" s="135"/>
      <c r="D19" s="135"/>
      <c r="E19" s="79">
        <f t="shared" si="0"/>
        <v>0</v>
      </c>
      <c r="F19" s="79">
        <f t="shared" si="1"/>
        <v>0</v>
      </c>
      <c r="G19" s="79">
        <f t="shared" si="2"/>
        <v>0</v>
      </c>
      <c r="H19" s="79">
        <f t="shared" si="3"/>
        <v>0</v>
      </c>
      <c r="I19" s="79">
        <f t="shared" si="4"/>
        <v>0</v>
      </c>
      <c r="J19" s="79">
        <f t="shared" si="5"/>
        <v>0</v>
      </c>
      <c r="K19" s="79">
        <f t="shared" si="6"/>
        <v>0</v>
      </c>
      <c r="T19" s="5"/>
      <c r="U19" s="5"/>
      <c r="V19" s="5"/>
    </row>
    <row r="20" spans="1:22" ht="13.5" customHeight="1">
      <c r="A20" s="100"/>
      <c r="B20" s="137"/>
      <c r="C20" s="135"/>
      <c r="D20" s="135"/>
      <c r="E20" s="79">
        <f t="shared" si="0"/>
        <v>0</v>
      </c>
      <c r="F20" s="79">
        <f t="shared" si="1"/>
        <v>0</v>
      </c>
      <c r="G20" s="79">
        <f t="shared" si="2"/>
        <v>0</v>
      </c>
      <c r="H20" s="79">
        <f t="shared" si="3"/>
        <v>0</v>
      </c>
      <c r="I20" s="79">
        <f t="shared" si="4"/>
        <v>0</v>
      </c>
      <c r="J20" s="79">
        <f t="shared" si="5"/>
        <v>0</v>
      </c>
      <c r="K20" s="79">
        <f t="shared" si="6"/>
        <v>0</v>
      </c>
      <c r="T20" s="5"/>
      <c r="U20" s="5"/>
      <c r="V20" s="5"/>
    </row>
    <row r="21" spans="1:22" ht="13.5" customHeight="1">
      <c r="A21" s="99"/>
      <c r="B21" s="136"/>
      <c r="C21" s="135"/>
      <c r="D21" s="135"/>
      <c r="E21" s="79">
        <f t="shared" si="0"/>
        <v>0</v>
      </c>
      <c r="F21" s="79">
        <f t="shared" si="1"/>
        <v>0</v>
      </c>
      <c r="G21" s="79">
        <f t="shared" si="2"/>
        <v>0</v>
      </c>
      <c r="H21" s="79">
        <f t="shared" si="3"/>
        <v>0</v>
      </c>
      <c r="I21" s="79">
        <f t="shared" si="4"/>
        <v>0</v>
      </c>
      <c r="J21" s="79">
        <f t="shared" si="5"/>
        <v>0</v>
      </c>
      <c r="K21" s="79">
        <f t="shared" si="6"/>
        <v>0</v>
      </c>
      <c r="T21" s="5"/>
      <c r="U21" s="5"/>
      <c r="V21" s="5"/>
    </row>
    <row r="22" spans="1:22" ht="13.5" customHeight="1">
      <c r="A22" s="100"/>
      <c r="B22" s="137"/>
      <c r="C22" s="135"/>
      <c r="D22" s="135"/>
      <c r="E22" s="79">
        <f t="shared" si="0"/>
        <v>0</v>
      </c>
      <c r="F22" s="79">
        <f t="shared" si="1"/>
        <v>0</v>
      </c>
      <c r="G22" s="79">
        <f t="shared" si="2"/>
        <v>0</v>
      </c>
      <c r="H22" s="79">
        <f t="shared" si="3"/>
        <v>0</v>
      </c>
      <c r="I22" s="79">
        <f t="shared" si="4"/>
        <v>0</v>
      </c>
      <c r="J22" s="79">
        <f t="shared" si="5"/>
        <v>0</v>
      </c>
      <c r="K22" s="79">
        <f t="shared" si="6"/>
        <v>0</v>
      </c>
      <c r="T22" s="5"/>
      <c r="U22" s="5"/>
      <c r="V22" s="5"/>
    </row>
    <row r="23" spans="1:22" ht="13.5" customHeight="1">
      <c r="A23" s="100"/>
      <c r="B23" s="137"/>
      <c r="C23" s="135"/>
      <c r="D23" s="135"/>
      <c r="E23" s="79">
        <f t="shared" si="0"/>
        <v>0</v>
      </c>
      <c r="F23" s="79">
        <f t="shared" si="1"/>
        <v>0</v>
      </c>
      <c r="G23" s="79">
        <f t="shared" si="2"/>
        <v>0</v>
      </c>
      <c r="H23" s="79">
        <f t="shared" si="3"/>
        <v>0</v>
      </c>
      <c r="I23" s="79">
        <f t="shared" si="4"/>
        <v>0</v>
      </c>
      <c r="J23" s="79">
        <f t="shared" si="5"/>
        <v>0</v>
      </c>
      <c r="K23" s="79">
        <f t="shared" si="6"/>
        <v>0</v>
      </c>
      <c r="T23" s="5"/>
      <c r="U23" s="5"/>
      <c r="V23" s="5"/>
    </row>
    <row r="24" spans="1:12" ht="13.5" customHeight="1">
      <c r="A24" s="100"/>
      <c r="B24" s="137"/>
      <c r="C24" s="135"/>
      <c r="D24" s="135"/>
      <c r="E24" s="79">
        <f t="shared" si="0"/>
        <v>0</v>
      </c>
      <c r="F24" s="79">
        <f t="shared" si="1"/>
        <v>0</v>
      </c>
      <c r="G24" s="79">
        <f t="shared" si="2"/>
        <v>0</v>
      </c>
      <c r="H24" s="79">
        <f t="shared" si="3"/>
        <v>0</v>
      </c>
      <c r="I24" s="79">
        <f t="shared" si="4"/>
        <v>0</v>
      </c>
      <c r="J24" s="79">
        <f t="shared" si="5"/>
        <v>0</v>
      </c>
      <c r="K24" s="79">
        <f t="shared" si="6"/>
        <v>0</v>
      </c>
      <c r="L24" s="59"/>
    </row>
    <row r="25" spans="1:14" ht="13.5" customHeight="1">
      <c r="A25" s="99"/>
      <c r="B25" s="136"/>
      <c r="C25" s="135"/>
      <c r="D25" s="135"/>
      <c r="E25" s="79">
        <f t="shared" si="0"/>
        <v>0</v>
      </c>
      <c r="F25" s="79">
        <f t="shared" si="1"/>
        <v>0</v>
      </c>
      <c r="G25" s="79">
        <f t="shared" si="2"/>
        <v>0</v>
      </c>
      <c r="H25" s="79">
        <f t="shared" si="3"/>
        <v>0</v>
      </c>
      <c r="I25" s="79">
        <f t="shared" si="4"/>
        <v>0</v>
      </c>
      <c r="J25" s="79">
        <f t="shared" si="5"/>
        <v>0</v>
      </c>
      <c r="K25" s="79">
        <f t="shared" si="6"/>
        <v>0</v>
      </c>
      <c r="L25" s="59"/>
      <c r="M25" s="59"/>
      <c r="N25" s="59"/>
    </row>
    <row r="26" spans="1:14" ht="13.5" customHeight="1">
      <c r="A26" s="73"/>
      <c r="B26" s="81"/>
      <c r="C26" s="135"/>
      <c r="D26" s="135"/>
      <c r="E26" s="79">
        <f t="shared" si="0"/>
        <v>0</v>
      </c>
      <c r="F26" s="79">
        <f t="shared" si="1"/>
        <v>0</v>
      </c>
      <c r="G26" s="79">
        <f t="shared" si="2"/>
        <v>0</v>
      </c>
      <c r="H26" s="79">
        <f t="shared" si="3"/>
        <v>0</v>
      </c>
      <c r="I26" s="79">
        <f t="shared" si="4"/>
        <v>0</v>
      </c>
      <c r="J26" s="79">
        <f t="shared" si="5"/>
        <v>0</v>
      </c>
      <c r="K26" s="79">
        <f t="shared" si="6"/>
        <v>0</v>
      </c>
      <c r="L26" s="59"/>
      <c r="M26" s="59"/>
      <c r="N26" s="59"/>
    </row>
    <row r="27" spans="1:11" ht="13.5" customHeight="1">
      <c r="A27" s="73"/>
      <c r="B27" s="81"/>
      <c r="C27" s="135"/>
      <c r="D27" s="135"/>
      <c r="E27" s="79">
        <f t="shared" si="0"/>
        <v>0</v>
      </c>
      <c r="F27" s="79">
        <f t="shared" si="1"/>
        <v>0</v>
      </c>
      <c r="G27" s="79">
        <f t="shared" si="2"/>
        <v>0</v>
      </c>
      <c r="H27" s="79">
        <f t="shared" si="3"/>
        <v>0</v>
      </c>
      <c r="I27" s="79">
        <f t="shared" si="4"/>
        <v>0</v>
      </c>
      <c r="J27" s="79">
        <f t="shared" si="5"/>
        <v>0</v>
      </c>
      <c r="K27" s="79">
        <f t="shared" si="6"/>
        <v>0</v>
      </c>
    </row>
    <row r="28" spans="1:11" ht="13.5" customHeight="1">
      <c r="A28" s="100"/>
      <c r="B28" s="137"/>
      <c r="C28" s="135"/>
      <c r="D28" s="135"/>
      <c r="E28" s="79">
        <f t="shared" si="0"/>
        <v>0</v>
      </c>
      <c r="F28" s="79">
        <f t="shared" si="1"/>
        <v>0</v>
      </c>
      <c r="G28" s="79">
        <f t="shared" si="2"/>
        <v>0</v>
      </c>
      <c r="H28" s="79">
        <f t="shared" si="3"/>
        <v>0</v>
      </c>
      <c r="I28" s="79">
        <f t="shared" si="4"/>
        <v>0</v>
      </c>
      <c r="J28" s="79">
        <f t="shared" si="5"/>
        <v>0</v>
      </c>
      <c r="K28" s="79">
        <f t="shared" si="6"/>
        <v>0</v>
      </c>
    </row>
    <row r="29" spans="1:11" ht="13.5" customHeight="1">
      <c r="A29" s="100"/>
      <c r="B29" s="137"/>
      <c r="C29" s="135"/>
      <c r="D29" s="135"/>
      <c r="E29" s="79">
        <f t="shared" si="0"/>
        <v>0</v>
      </c>
      <c r="F29" s="79">
        <f t="shared" si="1"/>
        <v>0</v>
      </c>
      <c r="G29" s="79">
        <f t="shared" si="2"/>
        <v>0</v>
      </c>
      <c r="H29" s="79">
        <f t="shared" si="3"/>
        <v>0</v>
      </c>
      <c r="I29" s="79">
        <f t="shared" si="4"/>
        <v>0</v>
      </c>
      <c r="J29" s="79">
        <f t="shared" si="5"/>
        <v>0</v>
      </c>
      <c r="K29" s="79">
        <f t="shared" si="6"/>
        <v>0</v>
      </c>
    </row>
    <row r="30" spans="1:14" ht="13.5" customHeight="1">
      <c r="A30" s="100"/>
      <c r="B30" s="137"/>
      <c r="C30" s="135"/>
      <c r="D30" s="135"/>
      <c r="E30" s="79">
        <f t="shared" si="0"/>
        <v>0</v>
      </c>
      <c r="F30" s="79">
        <f t="shared" si="1"/>
        <v>0</v>
      </c>
      <c r="G30" s="79">
        <f t="shared" si="2"/>
        <v>0</v>
      </c>
      <c r="H30" s="79">
        <f t="shared" si="3"/>
        <v>0</v>
      </c>
      <c r="I30" s="79">
        <f t="shared" si="4"/>
        <v>0</v>
      </c>
      <c r="J30" s="79">
        <f t="shared" si="5"/>
        <v>0</v>
      </c>
      <c r="K30" s="79">
        <f t="shared" si="6"/>
        <v>0</v>
      </c>
      <c r="M30" s="59"/>
      <c r="N30" s="59"/>
    </row>
    <row r="31" spans="1:11" ht="13.5" customHeight="1">
      <c r="A31" s="100"/>
      <c r="B31" s="137"/>
      <c r="C31" s="135"/>
      <c r="D31" s="135"/>
      <c r="E31" s="79">
        <f t="shared" si="0"/>
        <v>0</v>
      </c>
      <c r="F31" s="79">
        <f t="shared" si="1"/>
        <v>0</v>
      </c>
      <c r="G31" s="79">
        <f t="shared" si="2"/>
        <v>0</v>
      </c>
      <c r="H31" s="79">
        <f t="shared" si="3"/>
        <v>0</v>
      </c>
      <c r="I31" s="79">
        <f t="shared" si="4"/>
        <v>0</v>
      </c>
      <c r="J31" s="79">
        <f t="shared" si="5"/>
        <v>0</v>
      </c>
      <c r="K31" s="79">
        <f t="shared" si="6"/>
        <v>0</v>
      </c>
    </row>
    <row r="32" spans="1:11" ht="12" customHeight="1">
      <c r="A32" s="100"/>
      <c r="B32" s="137"/>
      <c r="C32" s="135"/>
      <c r="D32" s="135"/>
      <c r="E32" s="79">
        <f t="shared" si="0"/>
        <v>0</v>
      </c>
      <c r="F32" s="79">
        <f t="shared" si="1"/>
        <v>0</v>
      </c>
      <c r="G32" s="79">
        <f t="shared" si="2"/>
        <v>0</v>
      </c>
      <c r="H32" s="79">
        <f t="shared" si="3"/>
        <v>0</v>
      </c>
      <c r="I32" s="79">
        <f t="shared" si="4"/>
        <v>0</v>
      </c>
      <c r="J32" s="79">
        <f t="shared" si="5"/>
        <v>0</v>
      </c>
      <c r="K32" s="79">
        <f t="shared" si="6"/>
        <v>0</v>
      </c>
    </row>
    <row r="33" spans="1:11" ht="12" customHeight="1">
      <c r="A33" s="100"/>
      <c r="B33" s="137"/>
      <c r="C33" s="135"/>
      <c r="D33" s="135"/>
      <c r="E33" s="79">
        <f t="shared" si="0"/>
        <v>0</v>
      </c>
      <c r="F33" s="79">
        <f t="shared" si="1"/>
        <v>0</v>
      </c>
      <c r="G33" s="79">
        <f t="shared" si="2"/>
        <v>0</v>
      </c>
      <c r="H33" s="79">
        <f t="shared" si="3"/>
        <v>0</v>
      </c>
      <c r="I33" s="79">
        <f t="shared" si="4"/>
        <v>0</v>
      </c>
      <c r="J33" s="79">
        <f t="shared" si="5"/>
        <v>0</v>
      </c>
      <c r="K33" s="79">
        <f t="shared" si="6"/>
        <v>0</v>
      </c>
    </row>
    <row r="34" spans="1:11" ht="12" customHeight="1">
      <c r="A34" s="100"/>
      <c r="B34" s="137"/>
      <c r="C34" s="135"/>
      <c r="D34" s="135"/>
      <c r="E34" s="79">
        <f t="shared" si="0"/>
        <v>0</v>
      </c>
      <c r="F34" s="79">
        <f t="shared" si="1"/>
        <v>0</v>
      </c>
      <c r="G34" s="79">
        <f t="shared" si="2"/>
        <v>0</v>
      </c>
      <c r="H34" s="79">
        <f t="shared" si="3"/>
        <v>0</v>
      </c>
      <c r="I34" s="79">
        <f t="shared" si="4"/>
        <v>0</v>
      </c>
      <c r="J34" s="79">
        <f t="shared" si="5"/>
        <v>0</v>
      </c>
      <c r="K34" s="79">
        <f t="shared" si="6"/>
        <v>0</v>
      </c>
    </row>
    <row r="35" spans="1:14" ht="12" customHeight="1">
      <c r="A35" s="100"/>
      <c r="B35" s="137"/>
      <c r="C35" s="135"/>
      <c r="D35" s="135"/>
      <c r="E35" s="79">
        <f t="shared" si="0"/>
        <v>0</v>
      </c>
      <c r="F35" s="79">
        <f t="shared" si="1"/>
        <v>0</v>
      </c>
      <c r="G35" s="79">
        <f t="shared" si="2"/>
        <v>0</v>
      </c>
      <c r="H35" s="79">
        <f t="shared" si="3"/>
        <v>0</v>
      </c>
      <c r="I35" s="79">
        <f t="shared" si="4"/>
        <v>0</v>
      </c>
      <c r="J35" s="79">
        <f t="shared" si="5"/>
        <v>0</v>
      </c>
      <c r="K35" s="79">
        <f t="shared" si="6"/>
        <v>0</v>
      </c>
      <c r="M35" s="59"/>
      <c r="N35" s="59"/>
    </row>
    <row r="36" spans="1:11" ht="12.75">
      <c r="A36" s="100"/>
      <c r="B36" s="137"/>
      <c r="C36" s="135"/>
      <c r="D36" s="135"/>
      <c r="E36" s="79">
        <f t="shared" si="0"/>
        <v>0</v>
      </c>
      <c r="F36" s="79">
        <f t="shared" si="1"/>
        <v>0</v>
      </c>
      <c r="G36" s="79">
        <f t="shared" si="2"/>
        <v>0</v>
      </c>
      <c r="H36" s="79">
        <f t="shared" si="3"/>
        <v>0</v>
      </c>
      <c r="I36" s="79">
        <f t="shared" si="4"/>
        <v>0</v>
      </c>
      <c r="J36" s="79">
        <f t="shared" si="5"/>
        <v>0</v>
      </c>
      <c r="K36" s="79">
        <f t="shared" si="6"/>
        <v>0</v>
      </c>
    </row>
    <row r="37" spans="1:11" ht="12.75">
      <c r="A37" s="100"/>
      <c r="B37" s="137"/>
      <c r="C37" s="135"/>
      <c r="D37" s="135"/>
      <c r="E37" s="79">
        <f t="shared" si="0"/>
        <v>0</v>
      </c>
      <c r="F37" s="79">
        <f t="shared" si="1"/>
        <v>0</v>
      </c>
      <c r="G37" s="79">
        <f t="shared" si="2"/>
        <v>0</v>
      </c>
      <c r="H37" s="79">
        <f t="shared" si="3"/>
        <v>0</v>
      </c>
      <c r="I37" s="79">
        <f t="shared" si="4"/>
        <v>0</v>
      </c>
      <c r="J37" s="79">
        <f t="shared" si="5"/>
        <v>0</v>
      </c>
      <c r="K37" s="79">
        <f t="shared" si="6"/>
        <v>0</v>
      </c>
    </row>
    <row r="38" spans="1:11" ht="12.75">
      <c r="A38" s="100"/>
      <c r="B38" s="137"/>
      <c r="C38" s="135"/>
      <c r="D38" s="135"/>
      <c r="E38" s="92">
        <f t="shared" si="0"/>
        <v>0</v>
      </c>
      <c r="F38" s="92">
        <f t="shared" si="1"/>
        <v>0</v>
      </c>
      <c r="G38" s="92">
        <f t="shared" si="2"/>
        <v>0</v>
      </c>
      <c r="H38" s="92">
        <f t="shared" si="3"/>
        <v>0</v>
      </c>
      <c r="I38" s="92">
        <f t="shared" si="4"/>
        <v>0</v>
      </c>
      <c r="J38" s="92">
        <f t="shared" si="5"/>
        <v>0</v>
      </c>
      <c r="K38" s="92">
        <f t="shared" si="6"/>
        <v>0</v>
      </c>
    </row>
    <row r="39" spans="1:11" ht="12.75">
      <c r="A39" s="59"/>
      <c r="B39" s="59"/>
      <c r="C39" s="59"/>
      <c r="D39" s="59"/>
      <c r="E39" s="79"/>
      <c r="F39" s="79"/>
      <c r="G39" s="79"/>
      <c r="H39" s="79"/>
      <c r="I39" s="79"/>
      <c r="J39" s="79"/>
      <c r="K39" s="79"/>
    </row>
    <row r="40" spans="1:11" ht="13.5" thickBot="1">
      <c r="A40" s="75" t="s">
        <v>43</v>
      </c>
      <c r="B40" s="75"/>
      <c r="C40" s="59"/>
      <c r="D40" s="59"/>
      <c r="E40" s="134">
        <f>SUM(E8:E38)</f>
        <v>0</v>
      </c>
      <c r="F40" s="134">
        <f>SUM(F8:F38)</f>
        <v>412500</v>
      </c>
      <c r="G40" s="134">
        <f>SUM(G8:G38)</f>
        <v>0</v>
      </c>
      <c r="H40" s="134">
        <f>+E40+F40+G40</f>
        <v>412500</v>
      </c>
      <c r="I40" s="134">
        <f>SUM(I8:I38)</f>
        <v>325000</v>
      </c>
      <c r="J40" s="134">
        <f>SUM(J8:J38)</f>
        <v>0</v>
      </c>
      <c r="K40" s="134">
        <f>+H40+I40+J40</f>
        <v>737500</v>
      </c>
    </row>
    <row r="41" spans="5:11" ht="13.5" thickTop="1">
      <c r="E41" s="69"/>
      <c r="F41" s="69"/>
      <c r="G41" s="69"/>
      <c r="H41" s="69"/>
      <c r="I41" s="69"/>
      <c r="J41" s="69"/>
      <c r="K41" s="69"/>
    </row>
    <row r="42" spans="5:11" ht="12.75">
      <c r="E42" s="69"/>
      <c r="F42" s="69"/>
      <c r="G42" s="69"/>
      <c r="H42" s="69"/>
      <c r="I42" s="69"/>
      <c r="J42" s="69"/>
      <c r="K42" s="69"/>
    </row>
    <row r="43" spans="5:11" ht="12.75">
      <c r="E43" s="69"/>
      <c r="F43" s="69"/>
      <c r="G43" s="69"/>
      <c r="H43" s="69"/>
      <c r="I43" s="69"/>
      <c r="J43" s="69"/>
      <c r="K43" s="69"/>
    </row>
    <row r="44" spans="5:11" ht="12.75">
      <c r="E44" s="69"/>
      <c r="F44" s="69"/>
      <c r="G44" s="69"/>
      <c r="H44" s="69"/>
      <c r="I44" s="69"/>
      <c r="J44" s="69"/>
      <c r="K44" s="69"/>
    </row>
    <row r="45" spans="5:11" ht="12.75">
      <c r="E45" s="69"/>
      <c r="F45" s="69"/>
      <c r="G45" s="69"/>
      <c r="H45" s="69"/>
      <c r="I45" s="69"/>
      <c r="J45" s="69"/>
      <c r="K45" s="69"/>
    </row>
    <row r="46" spans="5:11" ht="12.75">
      <c r="E46" s="69"/>
      <c r="F46" s="69"/>
      <c r="G46" s="69"/>
      <c r="H46" s="69"/>
      <c r="I46" s="69"/>
      <c r="J46" s="69"/>
      <c r="K46" s="69"/>
    </row>
    <row r="47" spans="5:11" ht="12.75">
      <c r="E47" s="69"/>
      <c r="F47" s="69"/>
      <c r="G47" s="69"/>
      <c r="H47" s="69"/>
      <c r="I47" s="69"/>
      <c r="J47" s="69"/>
      <c r="K47" s="69"/>
    </row>
    <row r="48" spans="5:11" ht="12.75">
      <c r="E48" s="69"/>
      <c r="F48" s="69"/>
      <c r="G48" s="69"/>
      <c r="H48" s="69"/>
      <c r="I48" s="69"/>
      <c r="J48" s="69"/>
      <c r="K48" s="69"/>
    </row>
    <row r="49" spans="5:11" ht="12.75">
      <c r="E49" s="69"/>
      <c r="F49" s="69"/>
      <c r="G49" s="69"/>
      <c r="H49" s="69"/>
      <c r="I49" s="69"/>
      <c r="J49" s="69"/>
      <c r="K49" s="69"/>
    </row>
    <row r="50" spans="5:11" ht="12.75">
      <c r="E50" s="69"/>
      <c r="F50" s="69"/>
      <c r="G50" s="69"/>
      <c r="H50" s="69"/>
      <c r="I50" s="69"/>
      <c r="J50" s="69"/>
      <c r="K50" s="69"/>
    </row>
    <row r="51" spans="5:11" ht="12.75">
      <c r="E51" s="69"/>
      <c r="F51" s="69"/>
      <c r="G51" s="69"/>
      <c r="H51" s="69"/>
      <c r="I51" s="69"/>
      <c r="J51" s="69"/>
      <c r="K51" s="69"/>
    </row>
    <row r="52" spans="5:11" ht="12.75">
      <c r="E52" s="69"/>
      <c r="F52" s="69"/>
      <c r="G52" s="69"/>
      <c r="H52" s="69"/>
      <c r="I52" s="69"/>
      <c r="J52" s="69"/>
      <c r="K52" s="69"/>
    </row>
    <row r="53" spans="5:11" ht="12.75">
      <c r="E53" s="69"/>
      <c r="F53" s="69"/>
      <c r="G53" s="69"/>
      <c r="H53" s="69"/>
      <c r="I53" s="69"/>
      <c r="J53" s="69"/>
      <c r="K53" s="69"/>
    </row>
    <row r="54" spans="5:11" ht="12.75">
      <c r="E54" s="69"/>
      <c r="F54" s="69"/>
      <c r="G54" s="69"/>
      <c r="H54" s="69"/>
      <c r="I54" s="69"/>
      <c r="J54" s="69"/>
      <c r="K54" s="69"/>
    </row>
    <row r="55" spans="5:11" ht="12.75">
      <c r="E55" s="69"/>
      <c r="F55" s="69"/>
      <c r="G55" s="69"/>
      <c r="H55" s="69"/>
      <c r="I55" s="69"/>
      <c r="J55" s="69"/>
      <c r="K55" s="69"/>
    </row>
    <row r="56" spans="5:11" ht="12.75">
      <c r="E56" s="69"/>
      <c r="F56" s="69"/>
      <c r="G56" s="69"/>
      <c r="H56" s="69"/>
      <c r="I56" s="69"/>
      <c r="J56" s="69"/>
      <c r="K56" s="69"/>
    </row>
    <row r="57" spans="5:11" ht="12.75">
      <c r="E57" s="69"/>
      <c r="F57" s="69"/>
      <c r="G57" s="69"/>
      <c r="H57" s="69"/>
      <c r="I57" s="69"/>
      <c r="J57" s="69"/>
      <c r="K57" s="69"/>
    </row>
    <row r="58" spans="5:11" ht="12.75">
      <c r="E58" s="69"/>
      <c r="F58" s="69"/>
      <c r="G58" s="69"/>
      <c r="H58" s="69"/>
      <c r="I58" s="69"/>
      <c r="J58" s="69"/>
      <c r="K58" s="69"/>
    </row>
    <row r="59" spans="5:11" ht="12.75">
      <c r="E59" s="69"/>
      <c r="F59" s="69"/>
      <c r="G59" s="69"/>
      <c r="H59" s="69"/>
      <c r="I59" s="69"/>
      <c r="J59" s="69"/>
      <c r="K59" s="69"/>
    </row>
    <row r="60" spans="5:11" ht="12.75">
      <c r="E60" s="69"/>
      <c r="F60" s="69"/>
      <c r="G60" s="69"/>
      <c r="H60" s="69"/>
      <c r="I60" s="69"/>
      <c r="J60" s="69"/>
      <c r="K60" s="69"/>
    </row>
    <row r="61" spans="5:11" ht="12.75">
      <c r="E61" s="69"/>
      <c r="F61" s="69"/>
      <c r="G61" s="69"/>
      <c r="H61" s="69"/>
      <c r="I61" s="69"/>
      <c r="J61" s="69"/>
      <c r="K61" s="69"/>
    </row>
    <row r="62" spans="5:11" ht="12.75">
      <c r="E62" s="69"/>
      <c r="F62" s="69"/>
      <c r="G62" s="69"/>
      <c r="H62" s="69"/>
      <c r="I62" s="69"/>
      <c r="J62" s="69"/>
      <c r="K62" s="69"/>
    </row>
    <row r="63" spans="5:11" ht="12.75">
      <c r="E63" s="69"/>
      <c r="F63" s="69"/>
      <c r="G63" s="69"/>
      <c r="H63" s="69"/>
      <c r="I63" s="69"/>
      <c r="J63" s="69"/>
      <c r="K63" s="69"/>
    </row>
    <row r="64" spans="5:11" ht="12.75">
      <c r="E64" s="69"/>
      <c r="F64" s="69"/>
      <c r="G64" s="69"/>
      <c r="H64" s="69"/>
      <c r="I64" s="69"/>
      <c r="J64" s="69"/>
      <c r="K64" s="69"/>
    </row>
    <row r="65" spans="5:11" ht="12.75">
      <c r="E65" s="69"/>
      <c r="F65" s="69"/>
      <c r="G65" s="69"/>
      <c r="H65" s="69"/>
      <c r="I65" s="69"/>
      <c r="J65" s="69"/>
      <c r="K65" s="69"/>
    </row>
    <row r="66" spans="5:11" ht="12.75">
      <c r="E66" s="69"/>
      <c r="F66" s="69"/>
      <c r="G66" s="69"/>
      <c r="H66" s="69"/>
      <c r="I66" s="69"/>
      <c r="J66" s="69"/>
      <c r="K66" s="69"/>
    </row>
    <row r="67" spans="5:11" ht="12.75">
      <c r="E67" s="69"/>
      <c r="F67" s="69"/>
      <c r="G67" s="69"/>
      <c r="H67" s="69"/>
      <c r="I67" s="69"/>
      <c r="J67" s="69"/>
      <c r="K67" s="69"/>
    </row>
    <row r="68" spans="5:11" ht="12.75">
      <c r="E68" s="69"/>
      <c r="F68" s="69"/>
      <c r="G68" s="69"/>
      <c r="H68" s="69"/>
      <c r="I68" s="69"/>
      <c r="J68" s="69"/>
      <c r="K68" s="69"/>
    </row>
    <row r="69" spans="5:11" ht="12.75">
      <c r="E69" s="69"/>
      <c r="F69" s="69"/>
      <c r="G69" s="69"/>
      <c r="H69" s="69"/>
      <c r="I69" s="69"/>
      <c r="J69" s="69"/>
      <c r="K69" s="69"/>
    </row>
    <row r="70" spans="5:11" ht="12.75">
      <c r="E70" s="69"/>
      <c r="F70" s="69"/>
      <c r="G70" s="69"/>
      <c r="H70" s="69"/>
      <c r="I70" s="69"/>
      <c r="J70" s="69"/>
      <c r="K70" s="69"/>
    </row>
    <row r="71" spans="5:11" ht="12.75">
      <c r="E71" s="69"/>
      <c r="F71" s="69"/>
      <c r="G71" s="69"/>
      <c r="H71" s="69"/>
      <c r="I71" s="69"/>
      <c r="J71" s="69"/>
      <c r="K71" s="69"/>
    </row>
    <row r="72" spans="5:11" ht="12.75">
      <c r="E72" s="69"/>
      <c r="F72" s="69"/>
      <c r="G72" s="69"/>
      <c r="H72" s="69"/>
      <c r="I72" s="69"/>
      <c r="J72" s="69"/>
      <c r="K72" s="69"/>
    </row>
    <row r="73" spans="5:11" ht="12.75">
      <c r="E73" s="69"/>
      <c r="F73" s="69"/>
      <c r="G73" s="69"/>
      <c r="H73" s="69"/>
      <c r="I73" s="69"/>
      <c r="J73" s="69"/>
      <c r="K73" s="69"/>
    </row>
    <row r="74" spans="5:11" ht="12.75">
      <c r="E74" s="69"/>
      <c r="F74" s="69"/>
      <c r="G74" s="69"/>
      <c r="H74" s="69"/>
      <c r="I74" s="69"/>
      <c r="J74" s="69"/>
      <c r="K74" s="69"/>
    </row>
    <row r="75" spans="5:11" ht="12.75">
      <c r="E75" s="69"/>
      <c r="F75" s="69"/>
      <c r="G75" s="69"/>
      <c r="H75" s="69"/>
      <c r="I75" s="69"/>
      <c r="J75" s="69"/>
      <c r="K75" s="69"/>
    </row>
    <row r="76" spans="5:11" ht="12.75">
      <c r="E76" s="69"/>
      <c r="F76" s="69"/>
      <c r="G76" s="69"/>
      <c r="H76" s="69"/>
      <c r="I76" s="69"/>
      <c r="J76" s="69"/>
      <c r="K76" s="69"/>
    </row>
    <row r="77" spans="5:11" ht="12.75">
      <c r="E77" s="69"/>
      <c r="F77" s="69"/>
      <c r="G77" s="69"/>
      <c r="H77" s="69"/>
      <c r="I77" s="69"/>
      <c r="J77" s="69"/>
      <c r="K77" s="69"/>
    </row>
  </sheetData>
  <printOptions horizontalCentered="1"/>
  <pageMargins left="0.5" right="0.5" top="0.5" bottom="0.5" header="0.5" footer="0.5"/>
  <pageSetup fitToHeight="1" fitToWidth="1" horizontalDpi="600" verticalDpi="600" orientation="landscape" paperSize="5" scale="96" r:id="rId1"/>
</worksheet>
</file>

<file path=xl/worksheets/sheet18.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76</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10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10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10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10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10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10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10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10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10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10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10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10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10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10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10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10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10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10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10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10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10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10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10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10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10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10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10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10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10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10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10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4" r:id="rId1"/>
</worksheet>
</file>

<file path=xl/worksheets/sheet19.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77</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t="s">
        <v>214</v>
      </c>
      <c r="B8" s="98">
        <v>37803</v>
      </c>
      <c r="C8" s="135"/>
      <c r="D8" s="72">
        <v>10</v>
      </c>
      <c r="E8" s="137">
        <v>19502.37</v>
      </c>
      <c r="F8" s="81">
        <v>0</v>
      </c>
      <c r="G8" s="79">
        <f>+E8-F8</f>
        <v>19502.37</v>
      </c>
      <c r="H8" s="101">
        <f>+(E8-F8)/(D8*12)</f>
        <v>162.51975</v>
      </c>
      <c r="I8" s="79">
        <f>IF(B8&lt;$I$5,E8,0)</f>
        <v>19502.37</v>
      </c>
      <c r="J8" s="76">
        <f>IF(B8&gt;$I$5,0,IF(($I$5-B8)/30.4375&gt;(D8*12),(D8*12),($I$5-B8)/30.4375))</f>
        <v>54.04517453798768</v>
      </c>
      <c r="K8" s="79">
        <f>IF(H8*J8&gt;I8,-I8,-H8*J8)</f>
        <v>-8783.408254620123</v>
      </c>
      <c r="L8" s="101">
        <f>+I8+K8</f>
        <v>10718.961745379876</v>
      </c>
      <c r="M8" s="79">
        <f>IF(AND($I$5&lt;B8,B8&lt;$M$5+1),E8,0)</f>
        <v>0</v>
      </c>
      <c r="N8" s="79">
        <f>IF(AND($I$5&lt;C8,C8&lt;$M$5+1),-E8,0)</f>
        <v>0</v>
      </c>
      <c r="O8" s="79">
        <f>+I8+M8+N8</f>
        <v>19502.37</v>
      </c>
      <c r="P8" s="72">
        <v>12</v>
      </c>
      <c r="Q8" s="79">
        <f>-H8*P8</f>
        <v>-1950.2369999999999</v>
      </c>
      <c r="R8" s="79">
        <f>IF(O8=0,0,K8+Q8)</f>
        <v>-10733.645254620122</v>
      </c>
      <c r="S8" s="101">
        <f>+O8+R8</f>
        <v>8768.724745379877</v>
      </c>
      <c r="T8" s="79">
        <f>IF(AND($M$5&lt;B8,J8&lt;$T$5+1),E8,0)</f>
        <v>0</v>
      </c>
      <c r="U8" s="79">
        <f>IF(AND($M$5&lt;C8,C8&lt;$T$5+1),-E8,0)</f>
        <v>0</v>
      </c>
      <c r="V8" s="79">
        <f>+O8+T8+U8</f>
        <v>19502.37</v>
      </c>
      <c r="W8" s="72">
        <v>12</v>
      </c>
      <c r="X8" s="79">
        <f>-H8*W8</f>
        <v>-1950.2369999999999</v>
      </c>
      <c r="Y8" s="79">
        <f>IF(V8=0,0,R8+X8)</f>
        <v>-12683.88225462012</v>
      </c>
      <c r="Z8" s="126">
        <f>+V8+Y8</f>
        <v>6818.487745379878</v>
      </c>
      <c r="AA8" s="154" t="str">
        <f>IF(J8+P8+W8&lt;((D8*12)+1),"OK","ERROR")</f>
        <v>OK</v>
      </c>
    </row>
    <row r="9" spans="1:27" ht="15" customHeight="1">
      <c r="A9" s="115" t="s">
        <v>215</v>
      </c>
      <c r="B9" s="98">
        <v>37803</v>
      </c>
      <c r="C9" s="135"/>
      <c r="D9" s="72">
        <v>10</v>
      </c>
      <c r="E9" s="137">
        <v>10815</v>
      </c>
      <c r="F9" s="81">
        <v>0</v>
      </c>
      <c r="G9" s="79">
        <f aca="true" t="shared" si="0" ref="G9:G38">+E9-F9</f>
        <v>10815</v>
      </c>
      <c r="H9" s="101">
        <f aca="true" t="shared" si="1" ref="H9:H38">+(E9-F9)/(D9*12)</f>
        <v>90.125</v>
      </c>
      <c r="I9" s="79">
        <f aca="true" t="shared" si="2" ref="I9:I38">IF(B9&lt;$I$5,E9,0)</f>
        <v>10815</v>
      </c>
      <c r="J9" s="76">
        <f aca="true" t="shared" si="3" ref="J9:J38">IF(B9&gt;$I$5,0,IF(($I$5-B9)/30.4375&gt;(D9*12),(D9*12),($I$5-B9)/30.4375))</f>
        <v>54.04517453798768</v>
      </c>
      <c r="K9" s="79">
        <f aca="true" t="shared" si="4" ref="K9:K38">IF(H9*J9&gt;I9,-I9,-H9*J9)</f>
        <v>-4870.821355236139</v>
      </c>
      <c r="L9" s="101">
        <f aca="true" t="shared" si="5" ref="L9:L38">+I9+K9</f>
        <v>5944.178644763861</v>
      </c>
      <c r="M9" s="79">
        <f aca="true" t="shared" si="6" ref="M9:M38">IF(AND($I$5&lt;B9,B9&lt;$M$5+1),E9,0)</f>
        <v>0</v>
      </c>
      <c r="N9" s="79">
        <f aca="true" t="shared" si="7" ref="N9:N38">IF(AND($I$5&lt;C9,C9&lt;$M$5+1),-E9,0)</f>
        <v>0</v>
      </c>
      <c r="O9" s="79">
        <f aca="true" t="shared" si="8" ref="O9:O38">+I9+M9+N9</f>
        <v>10815</v>
      </c>
      <c r="P9" s="72">
        <v>12</v>
      </c>
      <c r="Q9" s="79">
        <f aca="true" t="shared" si="9" ref="Q9:Q38">-H9*P9</f>
        <v>-1081.5</v>
      </c>
      <c r="R9" s="79">
        <f aca="true" t="shared" si="10" ref="R9:R38">IF(O9=0,0,K9+Q9)</f>
        <v>-5952.321355236139</v>
      </c>
      <c r="S9" s="101">
        <f aca="true" t="shared" si="11" ref="S9:S38">+O9+R9</f>
        <v>4862.678644763861</v>
      </c>
      <c r="T9" s="79">
        <f aca="true" t="shared" si="12" ref="T9:T38">IF(AND($M$5&lt;B9,J9&lt;$T$5+1),E9,0)</f>
        <v>0</v>
      </c>
      <c r="U9" s="79">
        <f aca="true" t="shared" si="13" ref="U9:U38">IF(AND($M$5&lt;C9,C9&lt;$T$5+1),-E9,0)</f>
        <v>0</v>
      </c>
      <c r="V9" s="79">
        <f aca="true" t="shared" si="14" ref="V9:V38">+O9+T9+U9</f>
        <v>10815</v>
      </c>
      <c r="W9" s="72">
        <v>12</v>
      </c>
      <c r="X9" s="79">
        <f aca="true" t="shared" si="15" ref="X9:X38">-H9*W9</f>
        <v>-1081.5</v>
      </c>
      <c r="Y9" s="79">
        <f aca="true" t="shared" si="16" ref="Y9:Y38">IF(V9=0,0,R9+X9)</f>
        <v>-7033.821355236139</v>
      </c>
      <c r="Z9" s="126">
        <f aca="true" t="shared" si="17" ref="Z9:Z38">+V9+Y9</f>
        <v>3781.1786447638606</v>
      </c>
      <c r="AA9" s="154" t="str">
        <f aca="true" t="shared" si="18" ref="AA9:AA38">IF(J9+P9+W9&lt;((D9*12)+1),"OK","ERROR")</f>
        <v>OK</v>
      </c>
    </row>
    <row r="10" spans="1:27" ht="15" customHeight="1">
      <c r="A10" s="115" t="s">
        <v>216</v>
      </c>
      <c r="B10" s="98">
        <v>38534</v>
      </c>
      <c r="C10" s="135"/>
      <c r="D10" s="72">
        <v>4</v>
      </c>
      <c r="E10" s="137">
        <v>1170</v>
      </c>
      <c r="F10" s="81">
        <v>0</v>
      </c>
      <c r="G10" s="79">
        <f t="shared" si="0"/>
        <v>1170</v>
      </c>
      <c r="H10" s="101">
        <f t="shared" si="1"/>
        <v>24.375</v>
      </c>
      <c r="I10" s="79">
        <f t="shared" si="2"/>
        <v>1170</v>
      </c>
      <c r="J10" s="76">
        <f t="shared" si="3"/>
        <v>30.028747433264886</v>
      </c>
      <c r="K10" s="79">
        <f t="shared" si="4"/>
        <v>-731.9507186858316</v>
      </c>
      <c r="L10" s="101">
        <f t="shared" si="5"/>
        <v>438.0492813141684</v>
      </c>
      <c r="M10" s="79">
        <f t="shared" si="6"/>
        <v>0</v>
      </c>
      <c r="N10" s="79">
        <f t="shared" si="7"/>
        <v>0</v>
      </c>
      <c r="O10" s="79">
        <f t="shared" si="8"/>
        <v>1170</v>
      </c>
      <c r="P10" s="72">
        <v>12</v>
      </c>
      <c r="Q10" s="79">
        <f t="shared" si="9"/>
        <v>-292.5</v>
      </c>
      <c r="R10" s="79">
        <f t="shared" si="10"/>
        <v>-1024.4507186858316</v>
      </c>
      <c r="S10" s="101">
        <f t="shared" si="11"/>
        <v>145.5492813141684</v>
      </c>
      <c r="T10" s="79">
        <f t="shared" si="12"/>
        <v>0</v>
      </c>
      <c r="U10" s="79">
        <f t="shared" si="13"/>
        <v>0</v>
      </c>
      <c r="V10" s="79">
        <f t="shared" si="14"/>
        <v>1170</v>
      </c>
      <c r="W10" s="72">
        <v>6</v>
      </c>
      <c r="X10" s="79">
        <f t="shared" si="15"/>
        <v>-146.25</v>
      </c>
      <c r="Y10" s="79">
        <f t="shared" si="16"/>
        <v>-1170.7007186858316</v>
      </c>
      <c r="Z10" s="126">
        <f t="shared" si="17"/>
        <v>-0.700718685831589</v>
      </c>
      <c r="AA10" s="154" t="str">
        <f t="shared" si="18"/>
        <v>OK</v>
      </c>
    </row>
    <row r="11" spans="1:31" s="66" customFormat="1" ht="13.5" customHeight="1">
      <c r="A11" s="115" t="s">
        <v>217</v>
      </c>
      <c r="B11" s="98">
        <v>38534</v>
      </c>
      <c r="C11" s="135"/>
      <c r="D11" s="72">
        <v>4</v>
      </c>
      <c r="E11" s="137">
        <v>1200</v>
      </c>
      <c r="F11" s="81">
        <v>0</v>
      </c>
      <c r="G11" s="79">
        <f t="shared" si="0"/>
        <v>1200</v>
      </c>
      <c r="H11" s="101">
        <f t="shared" si="1"/>
        <v>25</v>
      </c>
      <c r="I11" s="79">
        <f t="shared" si="2"/>
        <v>1200</v>
      </c>
      <c r="J11" s="76">
        <f t="shared" si="3"/>
        <v>30.028747433264886</v>
      </c>
      <c r="K11" s="79">
        <f t="shared" si="4"/>
        <v>-750.7186858316221</v>
      </c>
      <c r="L11" s="101">
        <f t="shared" si="5"/>
        <v>449.2813141683779</v>
      </c>
      <c r="M11" s="79">
        <f t="shared" si="6"/>
        <v>0</v>
      </c>
      <c r="N11" s="79">
        <f t="shared" si="7"/>
        <v>0</v>
      </c>
      <c r="O11" s="79">
        <f t="shared" si="8"/>
        <v>1200</v>
      </c>
      <c r="P11" s="72">
        <v>12</v>
      </c>
      <c r="Q11" s="79">
        <f t="shared" si="9"/>
        <v>-300</v>
      </c>
      <c r="R11" s="79">
        <f t="shared" si="10"/>
        <v>-1050.7186858316222</v>
      </c>
      <c r="S11" s="101">
        <f t="shared" si="11"/>
        <v>149.28131416837778</v>
      </c>
      <c r="T11" s="79">
        <f t="shared" si="12"/>
        <v>0</v>
      </c>
      <c r="U11" s="79">
        <f t="shared" si="13"/>
        <v>0</v>
      </c>
      <c r="V11" s="79">
        <f t="shared" si="14"/>
        <v>1200</v>
      </c>
      <c r="W11" s="72">
        <v>6</v>
      </c>
      <c r="X11" s="79">
        <f t="shared" si="15"/>
        <v>-150</v>
      </c>
      <c r="Y11" s="79">
        <f t="shared" si="16"/>
        <v>-1200.7186858316222</v>
      </c>
      <c r="Z11" s="126">
        <f t="shared" si="17"/>
        <v>-0.7186858316222242</v>
      </c>
      <c r="AA11" s="154" t="str">
        <f t="shared" si="18"/>
        <v>OK</v>
      </c>
      <c r="AB11" s="60"/>
      <c r="AC11" s="60"/>
      <c r="AD11" s="60"/>
      <c r="AE11" s="60"/>
    </row>
    <row r="12" spans="1:31" s="66" customFormat="1" ht="13.5" customHeight="1">
      <c r="A12" s="115" t="s">
        <v>218</v>
      </c>
      <c r="B12" s="156">
        <v>39264</v>
      </c>
      <c r="C12" s="135" t="s">
        <v>59</v>
      </c>
      <c r="D12" s="72">
        <v>4</v>
      </c>
      <c r="E12" s="137">
        <v>2076</v>
      </c>
      <c r="F12" s="81">
        <v>0</v>
      </c>
      <c r="G12" s="79">
        <f t="shared" si="0"/>
        <v>2076</v>
      </c>
      <c r="H12" s="101">
        <f t="shared" si="1"/>
        <v>43.25</v>
      </c>
      <c r="I12" s="79">
        <f t="shared" si="2"/>
        <v>2076</v>
      </c>
      <c r="J12" s="76">
        <f t="shared" si="3"/>
        <v>6.04517453798768</v>
      </c>
      <c r="K12" s="79">
        <f t="shared" si="4"/>
        <v>-261.45379876796716</v>
      </c>
      <c r="L12" s="101">
        <f t="shared" si="5"/>
        <v>1814.546201232033</v>
      </c>
      <c r="M12" s="79">
        <f t="shared" si="6"/>
        <v>0</v>
      </c>
      <c r="N12" s="79">
        <f t="shared" si="7"/>
        <v>0</v>
      </c>
      <c r="O12" s="79">
        <f t="shared" si="8"/>
        <v>2076</v>
      </c>
      <c r="P12" s="72">
        <v>12</v>
      </c>
      <c r="Q12" s="79">
        <f t="shared" si="9"/>
        <v>-519</v>
      </c>
      <c r="R12" s="79">
        <f t="shared" si="10"/>
        <v>-780.4537987679671</v>
      </c>
      <c r="S12" s="101">
        <f t="shared" si="11"/>
        <v>1295.546201232033</v>
      </c>
      <c r="T12" s="79">
        <f t="shared" si="12"/>
        <v>0</v>
      </c>
      <c r="U12" s="79">
        <f t="shared" si="13"/>
        <v>0</v>
      </c>
      <c r="V12" s="79">
        <f t="shared" si="14"/>
        <v>2076</v>
      </c>
      <c r="W12" s="72">
        <v>12</v>
      </c>
      <c r="X12" s="79">
        <f t="shared" si="15"/>
        <v>-519</v>
      </c>
      <c r="Y12" s="79">
        <f t="shared" si="16"/>
        <v>-1299.453798767967</v>
      </c>
      <c r="Z12" s="126">
        <f t="shared" si="17"/>
        <v>776.5462012320329</v>
      </c>
      <c r="AA12" s="154" t="str">
        <f t="shared" si="18"/>
        <v>OK</v>
      </c>
      <c r="AB12" s="60"/>
      <c r="AC12" s="64"/>
      <c r="AD12" s="60"/>
      <c r="AE12" s="64"/>
    </row>
    <row r="13" spans="1:34" ht="12.75" customHeight="1">
      <c r="A13" s="116" t="s">
        <v>219</v>
      </c>
      <c r="B13" s="156">
        <v>38899</v>
      </c>
      <c r="C13" s="99"/>
      <c r="D13" s="72">
        <v>4</v>
      </c>
      <c r="E13" s="137">
        <v>1561</v>
      </c>
      <c r="F13" s="81">
        <v>0</v>
      </c>
      <c r="G13" s="79">
        <f t="shared" si="0"/>
        <v>1561</v>
      </c>
      <c r="H13" s="101">
        <f t="shared" si="1"/>
        <v>32.520833333333336</v>
      </c>
      <c r="I13" s="79">
        <f t="shared" si="2"/>
        <v>1561</v>
      </c>
      <c r="J13" s="76">
        <f t="shared" si="3"/>
        <v>18.036960985626283</v>
      </c>
      <c r="K13" s="79">
        <f t="shared" si="4"/>
        <v>-586.5770020533881</v>
      </c>
      <c r="L13" s="101">
        <f t="shared" si="5"/>
        <v>974.4229979466119</v>
      </c>
      <c r="M13" s="79">
        <f t="shared" si="6"/>
        <v>0</v>
      </c>
      <c r="N13" s="79">
        <f t="shared" si="7"/>
        <v>0</v>
      </c>
      <c r="O13" s="79">
        <f t="shared" si="8"/>
        <v>1561</v>
      </c>
      <c r="P13" s="72">
        <v>12</v>
      </c>
      <c r="Q13" s="79">
        <f t="shared" si="9"/>
        <v>-390.25</v>
      </c>
      <c r="R13" s="79">
        <f t="shared" si="10"/>
        <v>-976.8270020533881</v>
      </c>
      <c r="S13" s="101">
        <f t="shared" si="11"/>
        <v>584.1729979466119</v>
      </c>
      <c r="T13" s="79">
        <f t="shared" si="12"/>
        <v>0</v>
      </c>
      <c r="U13" s="79">
        <f t="shared" si="13"/>
        <v>0</v>
      </c>
      <c r="V13" s="79">
        <f t="shared" si="14"/>
        <v>1561</v>
      </c>
      <c r="W13" s="72">
        <v>12</v>
      </c>
      <c r="X13" s="79">
        <f t="shared" si="15"/>
        <v>-390.25</v>
      </c>
      <c r="Y13" s="79">
        <f t="shared" si="16"/>
        <v>-1367.0770020533882</v>
      </c>
      <c r="Z13" s="126">
        <f t="shared" si="17"/>
        <v>193.92299794661176</v>
      </c>
      <c r="AA13" s="154" t="str">
        <f t="shared" si="18"/>
        <v>OK</v>
      </c>
      <c r="AF13" s="5"/>
      <c r="AG13" s="5"/>
      <c r="AH13" s="5"/>
    </row>
    <row r="14" spans="1:34" ht="12.75" customHeight="1">
      <c r="A14" s="116" t="s">
        <v>220</v>
      </c>
      <c r="B14" s="135">
        <v>39600</v>
      </c>
      <c r="C14" s="99"/>
      <c r="D14" s="72">
        <v>4</v>
      </c>
      <c r="E14" s="137">
        <v>1250</v>
      </c>
      <c r="F14" s="81">
        <v>0</v>
      </c>
      <c r="G14" s="79">
        <f t="shared" si="0"/>
        <v>1250</v>
      </c>
      <c r="H14" s="101">
        <f t="shared" si="1"/>
        <v>26.041666666666668</v>
      </c>
      <c r="I14" s="79">
        <f t="shared" si="2"/>
        <v>0</v>
      </c>
      <c r="J14" s="76">
        <f t="shared" si="3"/>
        <v>0</v>
      </c>
      <c r="K14" s="79">
        <f t="shared" si="4"/>
        <v>0</v>
      </c>
      <c r="L14" s="101">
        <f t="shared" si="5"/>
        <v>0</v>
      </c>
      <c r="M14" s="79">
        <f t="shared" si="6"/>
        <v>1250</v>
      </c>
      <c r="N14" s="79">
        <f t="shared" si="7"/>
        <v>0</v>
      </c>
      <c r="O14" s="79">
        <f t="shared" si="8"/>
        <v>1250</v>
      </c>
      <c r="P14" s="72">
        <v>7</v>
      </c>
      <c r="Q14" s="79">
        <f t="shared" si="9"/>
        <v>-182.29166666666669</v>
      </c>
      <c r="R14" s="79">
        <f t="shared" si="10"/>
        <v>-182.29166666666669</v>
      </c>
      <c r="S14" s="101">
        <f t="shared" si="11"/>
        <v>1067.7083333333333</v>
      </c>
      <c r="T14" s="79">
        <f t="shared" si="12"/>
        <v>0</v>
      </c>
      <c r="U14" s="79">
        <f t="shared" si="13"/>
        <v>0</v>
      </c>
      <c r="V14" s="79">
        <f t="shared" si="14"/>
        <v>1250</v>
      </c>
      <c r="W14" s="72">
        <v>12</v>
      </c>
      <c r="X14" s="79">
        <f t="shared" si="15"/>
        <v>-312.5</v>
      </c>
      <c r="Y14" s="79">
        <f t="shared" si="16"/>
        <v>-494.7916666666667</v>
      </c>
      <c r="Z14" s="126">
        <f t="shared" si="17"/>
        <v>755.2083333333333</v>
      </c>
      <c r="AA14" s="154" t="str">
        <f t="shared" si="18"/>
        <v>OK</v>
      </c>
      <c r="AF14" s="5"/>
      <c r="AG14" s="5"/>
      <c r="AH14" s="5"/>
    </row>
    <row r="15" spans="1:34" ht="13.5" customHeight="1">
      <c r="A15" s="116" t="s">
        <v>221</v>
      </c>
      <c r="B15" s="135">
        <v>39814</v>
      </c>
      <c r="C15" s="99"/>
      <c r="D15" s="72">
        <v>4</v>
      </c>
      <c r="E15" s="137">
        <v>4189.05</v>
      </c>
      <c r="F15" s="81">
        <v>0</v>
      </c>
      <c r="G15" s="79">
        <f t="shared" si="0"/>
        <v>4189.05</v>
      </c>
      <c r="H15" s="101">
        <f t="shared" si="1"/>
        <v>87.27187500000001</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4189.05</v>
      </c>
      <c r="U15" s="79">
        <f t="shared" si="13"/>
        <v>0</v>
      </c>
      <c r="V15" s="79">
        <f t="shared" si="14"/>
        <v>4189.05</v>
      </c>
      <c r="W15" s="72">
        <v>12</v>
      </c>
      <c r="X15" s="79">
        <f t="shared" si="15"/>
        <v>-1047.2625</v>
      </c>
      <c r="Y15" s="79">
        <f t="shared" si="16"/>
        <v>-1047.2625</v>
      </c>
      <c r="Z15" s="126">
        <f t="shared" si="17"/>
        <v>3141.7875000000004</v>
      </c>
      <c r="AA15" s="154" t="str">
        <f t="shared" si="18"/>
        <v>OK</v>
      </c>
      <c r="AF15" s="5"/>
      <c r="AG15" s="5"/>
      <c r="AH15" s="5"/>
    </row>
    <row r="16" spans="1:34" ht="13.5" customHeight="1">
      <c r="A16" s="116"/>
      <c r="B16" s="98" t="s">
        <v>59</v>
      </c>
      <c r="C16" s="99"/>
      <c r="D16" s="72">
        <v>4</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4</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4</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4</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4</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4</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4</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4</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4</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4</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4</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4</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4</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4</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4</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4</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4</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4</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4</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4</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4</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4</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4</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36324.369999999995</v>
      </c>
      <c r="J40" s="79"/>
      <c r="K40" s="80">
        <f>SUM(K8:K38)</f>
        <v>-15984.92981519507</v>
      </c>
      <c r="L40" s="104">
        <f>SUM(L8:L38)</f>
        <v>20339.440184804924</v>
      </c>
      <c r="M40" s="80">
        <f>SUM(M8:M38)</f>
        <v>1250</v>
      </c>
      <c r="N40" s="80">
        <f>SUM(N8:N38)</f>
        <v>0</v>
      </c>
      <c r="O40" s="80">
        <f aca="true" t="shared" si="19" ref="O40:U40">SUM(O8:O38)</f>
        <v>37574.369999999995</v>
      </c>
      <c r="P40" s="79"/>
      <c r="Q40" s="80">
        <f t="shared" si="19"/>
        <v>-4715.778666666667</v>
      </c>
      <c r="R40" s="80">
        <f t="shared" si="19"/>
        <v>-20700.70848186174</v>
      </c>
      <c r="S40" s="104">
        <f t="shared" si="19"/>
        <v>16873.661518138262</v>
      </c>
      <c r="T40" s="80">
        <f t="shared" si="19"/>
        <v>4189.05</v>
      </c>
      <c r="U40" s="80">
        <f t="shared" si="19"/>
        <v>0</v>
      </c>
      <c r="V40" s="80">
        <f>SUM(V8:V38)</f>
        <v>41763.42</v>
      </c>
      <c r="W40" s="79"/>
      <c r="X40" s="80">
        <f>SUM(X8:X38)</f>
        <v>-5596.9995</v>
      </c>
      <c r="Y40" s="80">
        <f>SUM(Y8:Y38)</f>
        <v>-26297.707981861742</v>
      </c>
      <c r="Z40" s="128">
        <f>SUM(Z8:Z38)</f>
        <v>15465.712018138263</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4" r:id="rId1"/>
</worksheet>
</file>

<file path=xl/worksheets/sheet2.xml><?xml version="1.0" encoding="utf-8"?>
<worksheet xmlns="http://schemas.openxmlformats.org/spreadsheetml/2006/main" xmlns:r="http://schemas.openxmlformats.org/officeDocument/2006/relationships">
  <sheetPr>
    <pageSetUpPr fitToPage="1"/>
  </sheetPr>
  <dimension ref="A1:BC89"/>
  <sheetViews>
    <sheetView tabSelected="1" zoomScale="75" zoomScaleNormal="75" workbookViewId="0" topLeftCell="A1">
      <selection activeCell="A1" sqref="A1"/>
    </sheetView>
  </sheetViews>
  <sheetFormatPr defaultColWidth="9.140625" defaultRowHeight="12.75"/>
  <cols>
    <col min="1" max="1" width="26.7109375" style="6" customWidth="1"/>
    <col min="2" max="2" width="16.7109375" style="4" customWidth="1"/>
    <col min="3" max="3" width="1.7109375" style="6" customWidth="1"/>
    <col min="4" max="4" width="16.7109375" style="4" customWidth="1"/>
    <col min="5" max="5" width="1.7109375" style="4" customWidth="1"/>
    <col min="6" max="6" width="16.7109375" style="4" customWidth="1"/>
    <col min="7" max="7" width="1.7109375" style="5" customWidth="1"/>
    <col min="8" max="8" width="16.7109375" style="4" customWidth="1"/>
    <col min="9" max="9" width="1.7109375" style="4" customWidth="1"/>
    <col min="10" max="10" width="16.7109375" style="4" customWidth="1"/>
    <col min="11" max="11" width="1.7109375" style="5" customWidth="1"/>
    <col min="12" max="12" width="16.7109375" style="4" customWidth="1"/>
    <col min="13" max="13" width="1.7109375" style="5" customWidth="1"/>
    <col min="14" max="14" width="16.7109375" style="4" customWidth="1"/>
    <col min="15" max="15" width="1.7109375" style="5" customWidth="1"/>
    <col min="16" max="16" width="16.7109375" style="4" customWidth="1"/>
    <col min="17" max="17" width="1.7109375" style="5" customWidth="1"/>
    <col min="18" max="18" width="12.7109375" style="4" customWidth="1"/>
    <col min="19" max="19" width="1.7109375" style="4" customWidth="1"/>
    <col min="20" max="20" width="12.7109375" style="6" customWidth="1"/>
    <col min="21" max="16384" width="9.140625" style="6" customWidth="1"/>
  </cols>
  <sheetData>
    <row r="1" spans="1:4" ht="12.75" customHeight="1">
      <c r="A1" s="1"/>
      <c r="B1" s="2"/>
      <c r="C1" s="3"/>
      <c r="D1" s="2"/>
    </row>
    <row r="2" spans="1:18" ht="12.75" customHeight="1">
      <c r="A2" s="141" t="s">
        <v>58</v>
      </c>
      <c r="B2" s="2"/>
      <c r="C2" s="3"/>
      <c r="D2" s="2"/>
      <c r="E2" s="2"/>
      <c r="F2" s="2"/>
      <c r="G2" s="7"/>
      <c r="H2" s="2"/>
      <c r="I2" s="2"/>
      <c r="J2" s="2"/>
      <c r="R2" s="57"/>
    </row>
    <row r="3" spans="2:14" ht="12.75" customHeight="1">
      <c r="B3" s="2"/>
      <c r="C3" s="3"/>
      <c r="D3" s="2"/>
      <c r="E3" s="2"/>
      <c r="F3" s="2"/>
      <c r="G3" s="7"/>
      <c r="H3" s="2"/>
      <c r="I3" s="2"/>
      <c r="J3" s="157"/>
      <c r="K3" s="158"/>
      <c r="L3" s="160" t="s">
        <v>95</v>
      </c>
      <c r="M3" s="158"/>
      <c r="N3" s="159"/>
    </row>
    <row r="4" spans="1:20" ht="15.75">
      <c r="A4" s="1"/>
      <c r="B4" s="2"/>
      <c r="C4" s="3"/>
      <c r="D4" s="8"/>
      <c r="E4" s="2"/>
      <c r="F4" s="2"/>
      <c r="G4" s="7"/>
      <c r="H4" s="2"/>
      <c r="I4" s="2"/>
      <c r="J4" s="2"/>
      <c r="L4" s="9" t="s">
        <v>0</v>
      </c>
      <c r="S4" s="10"/>
      <c r="T4" s="11"/>
    </row>
    <row r="5" spans="1:12" ht="12.75">
      <c r="A5" s="12"/>
      <c r="B5" s="2"/>
      <c r="C5" s="3"/>
      <c r="D5" s="2"/>
      <c r="E5" s="2"/>
      <c r="F5" s="2"/>
      <c r="G5" s="7"/>
      <c r="H5" s="2"/>
      <c r="I5" s="2"/>
      <c r="J5" s="2"/>
      <c r="L5" s="13" t="s">
        <v>30</v>
      </c>
    </row>
    <row r="6" spans="1:12" ht="12" customHeight="1">
      <c r="A6" s="3"/>
      <c r="B6" s="2"/>
      <c r="C6" s="3"/>
      <c r="D6" s="2"/>
      <c r="E6" s="2"/>
      <c r="F6" s="2"/>
      <c r="G6" s="7"/>
      <c r="H6" s="2"/>
      <c r="I6" s="2"/>
      <c r="J6" s="2"/>
      <c r="L6" s="14"/>
    </row>
    <row r="7" spans="2:20" ht="15" customHeight="1">
      <c r="B7" s="185" t="s">
        <v>1</v>
      </c>
      <c r="C7" s="185"/>
      <c r="D7" s="185"/>
      <c r="E7" s="185"/>
      <c r="F7" s="185"/>
      <c r="G7" s="185"/>
      <c r="H7" s="185"/>
      <c r="I7" s="140"/>
      <c r="J7" s="140"/>
      <c r="L7" s="186" t="s">
        <v>2</v>
      </c>
      <c r="M7" s="186"/>
      <c r="N7" s="186"/>
      <c r="O7" s="186"/>
      <c r="P7" s="186"/>
      <c r="R7" s="185" t="s">
        <v>3</v>
      </c>
      <c r="S7" s="185"/>
      <c r="T7" s="185"/>
    </row>
    <row r="8" spans="2:14" ht="15" customHeight="1">
      <c r="B8" s="15"/>
      <c r="D8" s="16" t="s">
        <v>4</v>
      </c>
      <c r="F8" s="16"/>
      <c r="H8" s="16" t="s">
        <v>5</v>
      </c>
      <c r="I8" s="16"/>
      <c r="J8" s="16"/>
      <c r="L8" s="15"/>
      <c r="N8" s="16"/>
    </row>
    <row r="9" spans="2:16" ht="15" customHeight="1">
      <c r="B9" s="15"/>
      <c r="D9" s="16" t="s">
        <v>6</v>
      </c>
      <c r="F9" s="17" t="s">
        <v>7</v>
      </c>
      <c r="H9" s="16" t="s">
        <v>8</v>
      </c>
      <c r="I9" s="16"/>
      <c r="J9" s="16" t="s">
        <v>86</v>
      </c>
      <c r="L9" s="15" t="s">
        <v>33</v>
      </c>
      <c r="N9" s="16" t="s">
        <v>87</v>
      </c>
      <c r="P9" s="16" t="s">
        <v>9</v>
      </c>
    </row>
    <row r="10" spans="2:20" s="15" customFormat="1" ht="13.5" customHeight="1">
      <c r="B10" s="18" t="s">
        <v>32</v>
      </c>
      <c r="C10" s="18"/>
      <c r="D10" s="16" t="s">
        <v>10</v>
      </c>
      <c r="E10" s="19"/>
      <c r="F10" s="19" t="s">
        <v>6</v>
      </c>
      <c r="G10" s="19"/>
      <c r="H10" s="19" t="s">
        <v>6</v>
      </c>
      <c r="I10" s="19"/>
      <c r="J10" s="19" t="s">
        <v>11</v>
      </c>
      <c r="K10" s="19"/>
      <c r="L10" s="18" t="s">
        <v>6</v>
      </c>
      <c r="M10" s="19"/>
      <c r="N10" s="19" t="s">
        <v>6</v>
      </c>
      <c r="O10" s="19"/>
      <c r="P10" s="19" t="s">
        <v>11</v>
      </c>
      <c r="Q10" s="19"/>
      <c r="R10" s="20"/>
      <c r="S10" s="21"/>
      <c r="T10" s="6"/>
    </row>
    <row r="11" spans="2:20" s="15" customFormat="1" ht="13.5" customHeight="1">
      <c r="B11" s="17" t="s">
        <v>12</v>
      </c>
      <c r="D11" s="19" t="s">
        <v>12</v>
      </c>
      <c r="E11" s="16"/>
      <c r="F11" s="17" t="s">
        <v>13</v>
      </c>
      <c r="G11" s="19"/>
      <c r="H11" s="17" t="s">
        <v>14</v>
      </c>
      <c r="I11" s="17"/>
      <c r="J11" s="17" t="s">
        <v>15</v>
      </c>
      <c r="K11" s="22"/>
      <c r="L11" s="17" t="s">
        <v>29</v>
      </c>
      <c r="M11" s="22"/>
      <c r="N11" s="17" t="s">
        <v>88</v>
      </c>
      <c r="O11" s="22"/>
      <c r="P11" s="17" t="s">
        <v>15</v>
      </c>
      <c r="Q11" s="22"/>
      <c r="R11" s="23" t="s">
        <v>31</v>
      </c>
      <c r="S11" s="20"/>
      <c r="T11" s="24">
        <v>2008</v>
      </c>
    </row>
    <row r="12" spans="1:23" s="20" customFormat="1" ht="12.75" customHeight="1">
      <c r="A12" s="25" t="s">
        <v>28</v>
      </c>
      <c r="B12" s="26"/>
      <c r="C12" s="27" t="s">
        <v>16</v>
      </c>
      <c r="D12" s="26"/>
      <c r="E12" s="28"/>
      <c r="F12" s="26"/>
      <c r="G12" s="29"/>
      <c r="H12" s="26"/>
      <c r="I12" s="26"/>
      <c r="J12" s="26"/>
      <c r="K12" s="29"/>
      <c r="L12" s="30"/>
      <c r="M12" s="31"/>
      <c r="N12" s="30"/>
      <c r="O12" s="31"/>
      <c r="P12" s="30"/>
      <c r="Q12" s="29"/>
      <c r="R12" s="26"/>
      <c r="S12" s="26"/>
      <c r="T12" s="26"/>
      <c r="U12" s="26"/>
      <c r="V12" s="26"/>
      <c r="W12" s="26"/>
    </row>
    <row r="13" spans="1:23" s="20" customFormat="1" ht="12.75" customHeight="1">
      <c r="A13" s="32"/>
      <c r="B13" s="26"/>
      <c r="C13" s="27"/>
      <c r="D13" s="26"/>
      <c r="E13" s="28"/>
      <c r="F13" s="26"/>
      <c r="G13" s="29"/>
      <c r="H13" s="26"/>
      <c r="I13" s="26"/>
      <c r="J13" s="26"/>
      <c r="K13" s="29"/>
      <c r="L13" s="30"/>
      <c r="M13" s="31"/>
      <c r="N13" s="30"/>
      <c r="O13" s="31"/>
      <c r="P13" s="30"/>
      <c r="Q13" s="29"/>
      <c r="R13" s="26"/>
      <c r="S13" s="26"/>
      <c r="T13" s="26"/>
      <c r="U13" s="26"/>
      <c r="V13" s="26"/>
      <c r="W13" s="26"/>
    </row>
    <row r="14" spans="1:23" s="20" customFormat="1" ht="12.75" customHeight="1">
      <c r="A14" s="32" t="s">
        <v>17</v>
      </c>
      <c r="B14" s="26">
        <f>+Land!H46+'Land Improv'!O40</f>
        <v>243592.15336631535</v>
      </c>
      <c r="C14" s="27"/>
      <c r="D14" s="26">
        <f>+Leaseholds!O40+'Bldgs-Wood'!O40+'Bldgs-Brick'!O40</f>
        <v>2635061.050333405</v>
      </c>
      <c r="E14" s="28"/>
      <c r="F14" s="26">
        <f>+Vehicles!O40+'Mach &amp; Equip'!O40+'Road Equip'!O40</f>
        <v>629334.6499999999</v>
      </c>
      <c r="G14" s="29"/>
      <c r="H14" s="26">
        <f>+Comp!O40</f>
        <v>37574.369999999995</v>
      </c>
      <c r="I14" s="26"/>
      <c r="J14" s="26">
        <f>+'Gen AUC'!H40</f>
        <v>412500</v>
      </c>
      <c r="K14" s="29"/>
      <c r="L14" s="30">
        <f>+'Trans-Land'!H40+'Rd Surface'!O53+'Rd Grade'!O57+Bridges!O40+'Traffic Lights &amp; Equip'!O40</f>
        <v>628272.45</v>
      </c>
      <c r="M14" s="31"/>
      <c r="N14" s="30">
        <f>+Dams!O40+'W&amp;S-Equip'!O40+'W&amp;S-Networks'!O40+'W&amp;S-Bldgs Wood'!O40+'W&amp;S-Bldgs Brick'!O40+'W&amp;S-Land Improv'!O40+'W&amp;S-Land'!H40</f>
        <v>5463710.61</v>
      </c>
      <c r="O14" s="31"/>
      <c r="P14" s="30">
        <f>+'W&amp;S-AUC'!H40+'Trans-AUC'!H40</f>
        <v>0</v>
      </c>
      <c r="Q14" s="29"/>
      <c r="R14" s="26">
        <f>SUM(B14:P14)</f>
        <v>10050045.283699721</v>
      </c>
      <c r="S14" s="26"/>
      <c r="T14" s="26">
        <f>+Land!E46+'Land Improv'!I40+'Bldgs-Brick'!I40+'Bldgs-Wood'!I40+Vehicles!I40+'Mach &amp; Equip'!I40+'Road Equip'!I40+Comp!I40+Leaseholds!I40+'Gen AUC'!E40+'Trans-Land'!E40+'Rd Surface'!I53+'Rd Grade'!I57+Bridges!I40+'Traffic Lights &amp; Equip'!I40+'Trans-AUC'!E40+'W&amp;S-Land'!E40+'W&amp;S-Land Improv'!I40+'W&amp;S-Bldgs Brick'!I40+'W&amp;S-Bldgs Wood'!I40+'W&amp;S-Networks'!I40+'W&amp;S-Equip'!I40+Dams!I40+'W&amp;S-AUC'!E40</f>
        <v>9407138.283699721</v>
      </c>
      <c r="U14" s="26"/>
      <c r="V14" s="26"/>
      <c r="W14" s="26"/>
    </row>
    <row r="15" spans="1:23" s="20" customFormat="1" ht="13.5" customHeight="1">
      <c r="A15" s="32"/>
      <c r="B15" s="26"/>
      <c r="C15" s="27"/>
      <c r="D15" s="26"/>
      <c r="E15" s="28"/>
      <c r="F15" s="26"/>
      <c r="G15" s="29"/>
      <c r="H15" s="26"/>
      <c r="I15" s="26"/>
      <c r="J15" s="26"/>
      <c r="K15" s="29"/>
      <c r="L15" s="30"/>
      <c r="M15" s="31"/>
      <c r="N15" s="30"/>
      <c r="O15" s="31"/>
      <c r="P15" s="30"/>
      <c r="Q15" s="29"/>
      <c r="R15" s="26"/>
      <c r="S15" s="26"/>
      <c r="T15" s="26"/>
      <c r="U15" s="26"/>
      <c r="V15" s="26"/>
      <c r="W15" s="26"/>
    </row>
    <row r="16" spans="1:23" s="20" customFormat="1" ht="13.5" customHeight="1">
      <c r="A16" s="32" t="s">
        <v>18</v>
      </c>
      <c r="B16" s="26">
        <f>+Land!I46+'Land Improv'!T40</f>
        <v>0</v>
      </c>
      <c r="C16" s="27"/>
      <c r="D16" s="26">
        <f>+Leaseholds!T40+'Bldgs-Wood'!T40+'Bldgs-Brick'!T40</f>
        <v>0</v>
      </c>
      <c r="E16" s="28"/>
      <c r="F16" s="26">
        <f>+Vehicles!T40+'Mach &amp; Equip'!T40+'Road Equip'!T40</f>
        <v>0</v>
      </c>
      <c r="G16" s="29"/>
      <c r="H16" s="26">
        <f>+Comp!T40</f>
        <v>4189.05</v>
      </c>
      <c r="I16" s="26"/>
      <c r="J16" s="26">
        <f>+'Gen AUC'!I40</f>
        <v>325000</v>
      </c>
      <c r="K16" s="29"/>
      <c r="L16" s="30">
        <f>+'Trans-Land'!I40+'Rd Surface'!T53+'Rd Grade'!T57+Bridges!T40+'Traffic Lights &amp; Equip'!T40</f>
        <v>0</v>
      </c>
      <c r="M16" s="31"/>
      <c r="N16" s="30">
        <f>+Dams!T40+'W&amp;S-Equip'!T40+'W&amp;S-Networks'!T40+'W&amp;S-Bldgs Wood'!T40+'W&amp;S-Bldgs Brick'!T40+'W&amp;S-Land Improv'!T40+'W&amp;S-Land'!I40</f>
        <v>0</v>
      </c>
      <c r="O16" s="31"/>
      <c r="P16" s="30">
        <f>+'W&amp;S-AUC'!I40+'Trans-AUC'!I40</f>
        <v>0</v>
      </c>
      <c r="Q16" s="29"/>
      <c r="R16" s="26">
        <f>SUM(B16:P16)</f>
        <v>329189.05</v>
      </c>
      <c r="S16" s="26"/>
      <c r="T16" s="26">
        <f>+Land!F46+'Land Improv'!M40+'Bldgs-Brick'!M40+'Bldgs-Wood'!M40+Vehicles!M40+'Mach &amp; Equip'!M40+'Road Equip'!M40+Comp!M40+Leaseholds!M40+'Gen AUC'!F40+'Trans-Land'!F40+'Rd Surface'!M53+'Rd Grade'!M57+Bridges!M40+'Traffic Lights &amp; Equip'!M40+'Trans-AUC'!F40+'W&amp;S-Land'!F40+'W&amp;S-Land Improv'!M40+'W&amp;S-Bldgs Brick'!M40+'W&amp;S-Bldgs Wood'!M40+'W&amp;S-Networks'!M40+'W&amp;S-Equip'!M40+Dams!M40+'W&amp;S-AUC'!F40</f>
        <v>642907</v>
      </c>
      <c r="U16" s="26"/>
      <c r="V16" s="26"/>
      <c r="W16" s="26"/>
    </row>
    <row r="17" spans="1:23" s="20" customFormat="1" ht="13.5" customHeight="1">
      <c r="A17" s="33"/>
      <c r="B17" s="26"/>
      <c r="C17" s="27"/>
      <c r="D17" s="26"/>
      <c r="E17" s="28"/>
      <c r="F17" s="26"/>
      <c r="G17" s="29"/>
      <c r="H17" s="26"/>
      <c r="I17" s="26"/>
      <c r="J17" s="26"/>
      <c r="K17" s="29"/>
      <c r="L17" s="30"/>
      <c r="M17" s="31"/>
      <c r="N17" s="30"/>
      <c r="O17" s="31"/>
      <c r="P17" s="30"/>
      <c r="Q17" s="29"/>
      <c r="R17" s="26"/>
      <c r="S17" s="26"/>
      <c r="T17" s="26"/>
      <c r="U17" s="26"/>
      <c r="V17" s="26"/>
      <c r="W17" s="26"/>
    </row>
    <row r="18" spans="1:23" s="20" customFormat="1" ht="13.5" customHeight="1">
      <c r="A18" s="32" t="s">
        <v>19</v>
      </c>
      <c r="B18" s="34">
        <f>+Land!J46+'Land Improv'!U40</f>
        <v>0</v>
      </c>
      <c r="C18" s="27"/>
      <c r="D18" s="34">
        <f>+Leaseholds!U40+'Bldgs-Wood'!U40+'Bldgs-Brick'!U40</f>
        <v>0</v>
      </c>
      <c r="E18" s="26"/>
      <c r="F18" s="34">
        <f>+Vehicles!U40+'Mach &amp; Equip'!U40+'Road Equip'!U40</f>
        <v>0</v>
      </c>
      <c r="G18" s="29"/>
      <c r="H18" s="34">
        <f>+Comp!U40</f>
        <v>0</v>
      </c>
      <c r="I18" s="29"/>
      <c r="J18" s="34">
        <f>+'Gen AUC'!J40</f>
        <v>0</v>
      </c>
      <c r="K18" s="29"/>
      <c r="L18" s="34">
        <f>+'Trans-Land'!J40+'Rd Surface'!U53+'Rd Grade'!U57+Bridges!U40+'Traffic Lights &amp; Equip'!U40</f>
        <v>0</v>
      </c>
      <c r="M18" s="29"/>
      <c r="N18" s="34">
        <f>+Dams!U40+'W&amp;S-Equip'!U40+'W&amp;S-Networks'!U40+'W&amp;S-Bldgs Wood'!U40+'W&amp;S-Bldgs Brick'!U40+'W&amp;S-Land Improv'!U40+'W&amp;S-Land'!J40</f>
        <v>0</v>
      </c>
      <c r="O18" s="29"/>
      <c r="P18" s="34">
        <f>+'W&amp;S-AUC'!J40+'Trans-AUC'!J40</f>
        <v>0</v>
      </c>
      <c r="Q18" s="29"/>
      <c r="R18" s="34">
        <f>SUM(B18:P18)</f>
        <v>0</v>
      </c>
      <c r="S18" s="26"/>
      <c r="T18" s="34">
        <f>+Land!G46+'Land Improv'!N40+'Bldgs-Brick'!N40+'Bldgs-Wood'!N40+Vehicles!N40+'Mach &amp; Equip'!N40+'Road Equip'!N40+Comp!N40+Leaseholds!N40+'Gen AUC'!G40+'Trans-Land'!G40+'Rd Surface'!N53+'Rd Grade'!N57+Bridges!N40+'Traffic Lights &amp; Equip'!N40+'Trans-AUC'!G40+'W&amp;S-Land'!G40+'W&amp;S-Land Improv'!N40+'W&amp;S-Bldgs Brick'!N40+'W&amp;S-Bldgs Wood'!N40+'W&amp;S-Networks'!N40+'W&amp;S-Equip'!N40+Dams!N40+'W&amp;S-AUC'!G40</f>
        <v>0</v>
      </c>
      <c r="U18" s="26"/>
      <c r="V18" s="26"/>
      <c r="W18" s="26"/>
    </row>
    <row r="19" spans="1:23" s="20" customFormat="1" ht="13.5" customHeight="1">
      <c r="A19" s="35"/>
      <c r="B19" s="29"/>
      <c r="C19" s="36"/>
      <c r="D19" s="29"/>
      <c r="E19" s="37"/>
      <c r="F19" s="29"/>
      <c r="G19" s="29"/>
      <c r="H19" s="29"/>
      <c r="I19" s="29"/>
      <c r="J19" s="29"/>
      <c r="K19" s="29"/>
      <c r="L19" s="29"/>
      <c r="M19" s="29"/>
      <c r="N19" s="29"/>
      <c r="O19" s="29"/>
      <c r="P19" s="29"/>
      <c r="Q19" s="29"/>
      <c r="R19" s="29"/>
      <c r="S19" s="29"/>
      <c r="T19" s="29"/>
      <c r="U19" s="29"/>
      <c r="V19" s="26"/>
      <c r="W19" s="26"/>
    </row>
    <row r="20" spans="1:23" s="20" customFormat="1" ht="13.5" customHeight="1">
      <c r="A20" s="32" t="s">
        <v>20</v>
      </c>
      <c r="B20" s="34">
        <f>SUM(B14:B18)</f>
        <v>243592.15336631535</v>
      </c>
      <c r="C20" s="27" t="s">
        <v>16</v>
      </c>
      <c r="D20" s="34">
        <f>SUM(D14:D18)</f>
        <v>2635061.050333405</v>
      </c>
      <c r="E20" s="26"/>
      <c r="F20" s="34">
        <f>SUM(F14:F18)</f>
        <v>629334.6499999999</v>
      </c>
      <c r="G20" s="29"/>
      <c r="H20" s="34">
        <f>SUM(H14:H18)</f>
        <v>41763.42</v>
      </c>
      <c r="I20" s="29"/>
      <c r="J20" s="34">
        <f>SUM(J14:J18)</f>
        <v>737500</v>
      </c>
      <c r="K20" s="29"/>
      <c r="L20" s="34">
        <f>SUM(L14:L18)</f>
        <v>628272.45</v>
      </c>
      <c r="M20" s="29"/>
      <c r="N20" s="34">
        <f>SUM(N14:N18)</f>
        <v>5463710.61</v>
      </c>
      <c r="O20" s="29"/>
      <c r="P20" s="34">
        <f>SUM(P14:P18)</f>
        <v>0</v>
      </c>
      <c r="Q20" s="29"/>
      <c r="R20" s="34">
        <f>SUM(R14:R18)</f>
        <v>10379234.333699722</v>
      </c>
      <c r="S20" s="26"/>
      <c r="T20" s="34">
        <f>SUM(T14:T18)</f>
        <v>10050045.283699721</v>
      </c>
      <c r="U20" s="26"/>
      <c r="V20" s="26"/>
      <c r="W20" s="26"/>
    </row>
    <row r="21" spans="1:23" s="20" customFormat="1" ht="13.5" customHeight="1">
      <c r="A21" s="38"/>
      <c r="B21" s="26"/>
      <c r="C21" s="27" t="s">
        <v>16</v>
      </c>
      <c r="D21" s="26"/>
      <c r="E21" s="28" t="s">
        <v>16</v>
      </c>
      <c r="F21" s="26"/>
      <c r="G21" s="29"/>
      <c r="H21" s="26"/>
      <c r="I21" s="26"/>
      <c r="J21" s="26"/>
      <c r="K21" s="29"/>
      <c r="L21" s="26"/>
      <c r="M21" s="29"/>
      <c r="N21" s="26"/>
      <c r="O21" s="29"/>
      <c r="P21" s="26"/>
      <c r="Q21" s="29"/>
      <c r="R21" s="26"/>
      <c r="S21" s="26"/>
      <c r="T21" s="26"/>
      <c r="U21" s="26"/>
      <c r="V21" s="26"/>
      <c r="W21" s="26"/>
    </row>
    <row r="22" spans="1:23" s="20" customFormat="1" ht="13.5" customHeight="1">
      <c r="A22" s="25" t="s">
        <v>21</v>
      </c>
      <c r="B22" s="26"/>
      <c r="C22" s="27" t="s">
        <v>16</v>
      </c>
      <c r="D22" s="26"/>
      <c r="E22" s="28" t="s">
        <v>16</v>
      </c>
      <c r="F22" s="26"/>
      <c r="G22" s="29"/>
      <c r="H22" s="26"/>
      <c r="I22" s="26"/>
      <c r="J22" s="26"/>
      <c r="K22" s="29"/>
      <c r="L22" s="26"/>
      <c r="M22" s="29"/>
      <c r="N22" s="26"/>
      <c r="O22" s="29"/>
      <c r="P22" s="26"/>
      <c r="Q22" s="29"/>
      <c r="R22" s="26"/>
      <c r="S22" s="26"/>
      <c r="T22" s="26"/>
      <c r="U22" s="26"/>
      <c r="V22" s="26"/>
      <c r="W22" s="26"/>
    </row>
    <row r="23" spans="1:23" s="20" customFormat="1" ht="13.5" customHeight="1">
      <c r="A23" s="32"/>
      <c r="B23" s="26"/>
      <c r="C23" s="27"/>
      <c r="D23" s="26"/>
      <c r="E23" s="28"/>
      <c r="F23" s="26"/>
      <c r="G23" s="29"/>
      <c r="H23" s="26"/>
      <c r="I23" s="26"/>
      <c r="J23" s="26"/>
      <c r="K23" s="29"/>
      <c r="L23" s="26"/>
      <c r="M23" s="29"/>
      <c r="N23" s="26"/>
      <c r="O23" s="29"/>
      <c r="P23" s="26"/>
      <c r="Q23" s="29"/>
      <c r="R23" s="26"/>
      <c r="S23" s="26"/>
      <c r="T23" s="26"/>
      <c r="U23" s="26"/>
      <c r="V23" s="26"/>
      <c r="W23" s="26"/>
    </row>
    <row r="24" spans="1:23" s="20" customFormat="1" ht="13.5" customHeight="1">
      <c r="A24" s="32" t="s">
        <v>22</v>
      </c>
      <c r="B24" s="26">
        <f>-'Land Improv'!R40</f>
        <v>90109.59912731005</v>
      </c>
      <c r="C24" s="27"/>
      <c r="D24" s="26">
        <f>-Leaseholds!R40-'Bldgs-Wood'!R40-'Bldgs-Brick'!R40</f>
        <v>1537352.9500405516</v>
      </c>
      <c r="E24" s="28"/>
      <c r="F24" s="26">
        <f>-Vehicles!R40-'Mach &amp; Equip'!R40-'Road Equip'!R40</f>
        <v>309569.90487589553</v>
      </c>
      <c r="G24" s="29"/>
      <c r="H24" s="26">
        <f>-Comp!R40</f>
        <v>20700.70848186174</v>
      </c>
      <c r="I24" s="26"/>
      <c r="J24" s="26">
        <v>0</v>
      </c>
      <c r="K24" s="29"/>
      <c r="L24" s="30">
        <f>-'Rd Surface'!R53-'Rd Grade'!R57-Bridges!R40-'Traffic Lights &amp; Equip'!R40</f>
        <v>447976.9962842231</v>
      </c>
      <c r="M24" s="31"/>
      <c r="N24" s="30">
        <f>-Dams!R40-'W&amp;S-Equip'!R40-'W&amp;S-Networks'!R40-'W&amp;S-Bldgs Wood'!R40-'W&amp;S-Bldgs Brick'!R40-'W&amp;S-Land Improv'!R40</f>
        <v>1208626.0738407485</v>
      </c>
      <c r="O24" s="31"/>
      <c r="P24" s="30">
        <v>0</v>
      </c>
      <c r="Q24" s="29"/>
      <c r="R24" s="26">
        <f>SUM(B24:P24)</f>
        <v>3614336.2326505906</v>
      </c>
      <c r="S24" s="26"/>
      <c r="T24" s="26">
        <f>-'Land Improv'!K40-'Bldgs-Brick'!K40-'Bldgs-Wood'!K40-Vehicles!K40-'Mach &amp; Equip'!K40-'Road Equip'!K40-Comp!K40-Leaseholds!K40-'Rd Surface'!K53-'Rd Grade'!K57-Bridges!K40-'Traffic Lights &amp; Equip'!K40-'W&amp;S-Land Improv'!K40-'W&amp;S-Bldgs Brick'!K40-'W&amp;S-Bldgs Wood'!K40-'W&amp;S-Networks'!K40-'W&amp;S-Equip'!K40-Dams!K40</f>
        <v>3358907.9128668234</v>
      </c>
      <c r="U24" s="26"/>
      <c r="V24" s="26"/>
      <c r="W24" s="26"/>
    </row>
    <row r="25" spans="2:23" s="20" customFormat="1" ht="13.5" customHeight="1">
      <c r="B25" s="26"/>
      <c r="C25" s="27"/>
      <c r="D25" s="26"/>
      <c r="E25" s="28"/>
      <c r="F25" s="26"/>
      <c r="G25" s="29"/>
      <c r="H25" s="26"/>
      <c r="I25" s="26"/>
      <c r="J25" s="26"/>
      <c r="K25" s="29"/>
      <c r="L25" s="30"/>
      <c r="M25" s="31"/>
      <c r="N25" s="30"/>
      <c r="O25" s="31"/>
      <c r="P25" s="30"/>
      <c r="Q25" s="29"/>
      <c r="R25" s="26"/>
      <c r="S25" s="26"/>
      <c r="T25" s="26"/>
      <c r="U25" s="26"/>
      <c r="V25" s="26"/>
      <c r="W25" s="26"/>
    </row>
    <row r="26" spans="1:23" s="20" customFormat="1" ht="13.5" customHeight="1">
      <c r="A26" s="32" t="s">
        <v>23</v>
      </c>
      <c r="B26" s="29">
        <f>-'Land Improv'!X40</f>
        <v>11155.800000000001</v>
      </c>
      <c r="C26" s="36"/>
      <c r="D26" s="29">
        <f>-Leaseholds!X40-'Bldgs-Wood'!X40-'Bldgs-Brick'!X40</f>
        <v>66957.98951710046</v>
      </c>
      <c r="E26" s="37"/>
      <c r="F26" s="29">
        <f>-Vehicles!X40-'Mach &amp; Equip'!X40-'Road Equip'!X40</f>
        <v>51788.599916666666</v>
      </c>
      <c r="G26" s="29"/>
      <c r="H26" s="29">
        <f>-Comp!X40</f>
        <v>5596.9995</v>
      </c>
      <c r="I26" s="29"/>
      <c r="J26" s="29">
        <v>0</v>
      </c>
      <c r="K26" s="29"/>
      <c r="L26" s="31">
        <f>-'Rd Surface'!X53-'Rd Grade'!X57-Bridges!X40-'Traffic Lights &amp; Equip'!X40</f>
        <v>14582.961249999997</v>
      </c>
      <c r="M26" s="31"/>
      <c r="N26" s="31">
        <f>-Dams!X40-'W&amp;S-Equip'!X40-'W&amp;S-Networks'!X40-'W&amp;S-Bldgs Wood'!X40-'W&amp;S-Bldgs Brick'!X40-'W&amp;S-Land Improv'!X40</f>
        <v>111815.926</v>
      </c>
      <c r="O26" s="31"/>
      <c r="P26" s="31">
        <v>0</v>
      </c>
      <c r="Q26" s="29"/>
      <c r="R26" s="26">
        <f>SUM(B26:P26)</f>
        <v>261898.27618376713</v>
      </c>
      <c r="S26" s="29"/>
      <c r="T26" s="26">
        <f>-'Land Improv'!Q40-'Bldgs-Brick'!Q40-'Bldgs-Wood'!Q40-Vehicles!Q40-'Mach &amp; Equip'!Q40-'Road Equip'!Q40-Comp!Q40-Leaseholds!Q40-'Rd Surface'!Q53-'Rd Grade'!Q57-Bridges!Q40-'Traffic Lights &amp; Equip'!Q40-'W&amp;S-Land Improv'!Q40-'W&amp;S-Bldgs Brick'!Q40-'W&amp;S-Bldgs Wood'!Q40-'W&amp;S-Networks'!Q40-'W&amp;S-Equip'!Q40-Dams!Q40</f>
        <v>255428.31978376713</v>
      </c>
      <c r="U26" s="26"/>
      <c r="V26" s="26"/>
      <c r="W26" s="26"/>
    </row>
    <row r="27" spans="1:23" s="20" customFormat="1" ht="13.5" customHeight="1">
      <c r="A27" s="32"/>
      <c r="B27" s="29"/>
      <c r="C27" s="36"/>
      <c r="D27" s="29"/>
      <c r="E27" s="37"/>
      <c r="F27" s="29"/>
      <c r="G27" s="29"/>
      <c r="H27" s="29"/>
      <c r="I27" s="29"/>
      <c r="J27" s="29"/>
      <c r="K27" s="29"/>
      <c r="L27" s="29"/>
      <c r="M27" s="29"/>
      <c r="N27" s="29"/>
      <c r="O27" s="29"/>
      <c r="P27" s="29"/>
      <c r="Q27" s="29"/>
      <c r="R27" s="29"/>
      <c r="S27" s="29"/>
      <c r="T27" s="29"/>
      <c r="U27" s="26"/>
      <c r="V27" s="26"/>
      <c r="W27" s="26"/>
    </row>
    <row r="28" spans="1:23" s="20" customFormat="1" ht="13.5" customHeight="1">
      <c r="A28" s="32" t="s">
        <v>24</v>
      </c>
      <c r="B28" s="142"/>
      <c r="C28" s="27"/>
      <c r="D28" s="142"/>
      <c r="E28" s="28"/>
      <c r="F28" s="142"/>
      <c r="G28" s="29"/>
      <c r="H28" s="142"/>
      <c r="I28" s="143"/>
      <c r="J28" s="144">
        <v>0</v>
      </c>
      <c r="K28" s="29"/>
      <c r="L28" s="142"/>
      <c r="M28" s="29"/>
      <c r="N28" s="142"/>
      <c r="O28" s="29"/>
      <c r="P28" s="144">
        <v>0</v>
      </c>
      <c r="Q28" s="29"/>
      <c r="R28" s="34">
        <f>SUM(B28:P28)</f>
        <v>0</v>
      </c>
      <c r="S28" s="26"/>
      <c r="T28" s="142"/>
      <c r="U28" s="26"/>
      <c r="V28" s="26"/>
      <c r="W28" s="26"/>
    </row>
    <row r="29" spans="1:23" s="40" customFormat="1" ht="13.5" customHeight="1">
      <c r="A29" s="39"/>
      <c r="B29" s="29"/>
      <c r="C29" s="36"/>
      <c r="D29" s="29"/>
      <c r="E29" s="37"/>
      <c r="F29" s="29"/>
      <c r="G29" s="29"/>
      <c r="H29" s="29"/>
      <c r="I29" s="29"/>
      <c r="J29" s="29"/>
      <c r="K29" s="29"/>
      <c r="L29" s="29"/>
      <c r="M29" s="29"/>
      <c r="N29" s="29"/>
      <c r="O29" s="29"/>
      <c r="P29" s="29"/>
      <c r="Q29" s="29"/>
      <c r="R29" s="29"/>
      <c r="S29" s="29"/>
      <c r="T29" s="29"/>
      <c r="U29" s="29"/>
      <c r="V29" s="29"/>
      <c r="W29" s="29"/>
    </row>
    <row r="30" spans="1:23" s="20" customFormat="1" ht="13.5" customHeight="1">
      <c r="A30" s="41" t="s">
        <v>25</v>
      </c>
      <c r="B30" s="34">
        <f>SUM(B24:B28)</f>
        <v>101265.39912731005</v>
      </c>
      <c r="C30" s="27" t="s">
        <v>16</v>
      </c>
      <c r="D30" s="34">
        <f>SUM(D24:D28)</f>
        <v>1604310.939557652</v>
      </c>
      <c r="E30" s="26"/>
      <c r="F30" s="34">
        <f>SUM(F24:F28)</f>
        <v>361358.5047925622</v>
      </c>
      <c r="G30" s="29"/>
      <c r="H30" s="34">
        <f>SUM(H24:H28)</f>
        <v>26297.707981861742</v>
      </c>
      <c r="I30" s="29"/>
      <c r="J30" s="34">
        <f>SUM(J24:J28)</f>
        <v>0</v>
      </c>
      <c r="K30" s="29"/>
      <c r="L30" s="34">
        <f>SUM(L24:L28)</f>
        <v>462559.9575342231</v>
      </c>
      <c r="M30" s="29"/>
      <c r="N30" s="34">
        <f>SUM(N24:N28)</f>
        <v>1320441.9998407485</v>
      </c>
      <c r="O30" s="29"/>
      <c r="P30" s="34">
        <f>SUM(P24:P28)</f>
        <v>0</v>
      </c>
      <c r="Q30" s="29"/>
      <c r="R30" s="34">
        <f>SUM(R24:R28)</f>
        <v>3876234.508834358</v>
      </c>
      <c r="S30" s="26"/>
      <c r="T30" s="34">
        <f>SUM(T24:T28)</f>
        <v>3614336.2326505906</v>
      </c>
      <c r="U30" s="26"/>
      <c r="V30" s="26"/>
      <c r="W30" s="26"/>
    </row>
    <row r="31" spans="1:23" s="20" customFormat="1" ht="13.5" customHeight="1">
      <c r="A31" s="41"/>
      <c r="B31" s="29"/>
      <c r="C31" s="27"/>
      <c r="D31" s="29"/>
      <c r="E31" s="26"/>
      <c r="F31" s="29"/>
      <c r="G31" s="29"/>
      <c r="H31" s="29"/>
      <c r="I31" s="29"/>
      <c r="J31" s="29"/>
      <c r="K31" s="29"/>
      <c r="L31" s="29"/>
      <c r="M31" s="29"/>
      <c r="N31" s="29"/>
      <c r="O31" s="29"/>
      <c r="P31" s="29"/>
      <c r="Q31" s="29"/>
      <c r="R31" s="29"/>
      <c r="S31" s="26"/>
      <c r="T31" s="29"/>
      <c r="U31" s="26"/>
      <c r="V31" s="26"/>
      <c r="W31" s="26"/>
    </row>
    <row r="32" spans="1:23" s="20" customFormat="1" ht="13.5" customHeight="1">
      <c r="A32" s="38" t="s">
        <v>26</v>
      </c>
      <c r="B32" s="29"/>
      <c r="C32" s="27"/>
      <c r="D32" s="29"/>
      <c r="E32" s="37"/>
      <c r="F32" s="29"/>
      <c r="G32" s="29"/>
      <c r="H32" s="29"/>
      <c r="I32" s="29"/>
      <c r="J32" s="29"/>
      <c r="K32" s="29"/>
      <c r="L32" s="29"/>
      <c r="M32" s="29"/>
      <c r="N32" s="29"/>
      <c r="O32" s="29"/>
      <c r="P32" s="29"/>
      <c r="Q32" s="29"/>
      <c r="R32" s="29"/>
      <c r="S32" s="29"/>
      <c r="T32" s="29"/>
      <c r="U32" s="29"/>
      <c r="V32" s="26"/>
      <c r="W32" s="26"/>
    </row>
    <row r="33" spans="1:23" s="20" customFormat="1" ht="13.5" customHeight="1" thickBot="1">
      <c r="A33" s="32" t="s">
        <v>27</v>
      </c>
      <c r="B33" s="42">
        <f>B20-B30</f>
        <v>142326.7542390053</v>
      </c>
      <c r="C33" s="27" t="s">
        <v>16</v>
      </c>
      <c r="D33" s="42">
        <f>D20-D30</f>
        <v>1030750.1107757529</v>
      </c>
      <c r="E33" s="26"/>
      <c r="F33" s="42">
        <f>F20-F30</f>
        <v>267976.1452074377</v>
      </c>
      <c r="G33" s="29"/>
      <c r="H33" s="42">
        <f>H20-H30</f>
        <v>15465.712018138256</v>
      </c>
      <c r="I33" s="29"/>
      <c r="J33" s="42">
        <f>J20-J30</f>
        <v>737500</v>
      </c>
      <c r="K33" s="29"/>
      <c r="L33" s="42">
        <f>L20-L30</f>
        <v>165712.49246577686</v>
      </c>
      <c r="M33" s="29"/>
      <c r="N33" s="42">
        <f>N20-N30</f>
        <v>4143268.610159252</v>
      </c>
      <c r="O33" s="29"/>
      <c r="P33" s="42">
        <f>P20-P30</f>
        <v>0</v>
      </c>
      <c r="Q33" s="29"/>
      <c r="R33" s="42">
        <f>R20-R30</f>
        <v>6502999.824865364</v>
      </c>
      <c r="S33" s="26"/>
      <c r="T33" s="42">
        <f>T20-T30</f>
        <v>6435709.05104913</v>
      </c>
      <c r="U33" s="26"/>
      <c r="V33" s="26"/>
      <c r="W33" s="26"/>
    </row>
    <row r="34" spans="1:23" s="20" customFormat="1" ht="13.5" customHeight="1" thickTop="1">
      <c r="A34" s="38"/>
      <c r="B34" s="26"/>
      <c r="C34" s="27" t="s">
        <v>16</v>
      </c>
      <c r="D34" s="26"/>
      <c r="E34" s="26"/>
      <c r="F34" s="26"/>
      <c r="G34" s="29"/>
      <c r="H34" s="26"/>
      <c r="I34" s="26"/>
      <c r="J34" s="26"/>
      <c r="K34" s="29"/>
      <c r="L34" s="26"/>
      <c r="M34" s="29"/>
      <c r="N34" s="26"/>
      <c r="O34" s="29"/>
      <c r="P34" s="26"/>
      <c r="Q34" s="29"/>
      <c r="R34" s="26"/>
      <c r="S34" s="26"/>
      <c r="T34" s="26"/>
      <c r="U34" s="26"/>
      <c r="V34" s="26"/>
      <c r="W34" s="26"/>
    </row>
    <row r="35" spans="1:23" s="20" customFormat="1" ht="13.5" customHeight="1">
      <c r="A35" s="38"/>
      <c r="B35" s="26"/>
      <c r="C35" s="27"/>
      <c r="D35" s="26"/>
      <c r="E35" s="26"/>
      <c r="F35" s="26"/>
      <c r="G35" s="29"/>
      <c r="H35" s="26"/>
      <c r="I35" s="26"/>
      <c r="J35" s="26"/>
      <c r="K35" s="29"/>
      <c r="L35" s="26"/>
      <c r="M35" s="29"/>
      <c r="N35" s="26"/>
      <c r="O35" s="29"/>
      <c r="P35" s="26"/>
      <c r="Q35" s="29"/>
      <c r="R35" s="26"/>
      <c r="S35" s="26"/>
      <c r="T35" s="26"/>
      <c r="U35" s="26"/>
      <c r="V35" s="26"/>
      <c r="W35" s="26"/>
    </row>
    <row r="36" spans="1:20" s="20" customFormat="1" ht="13.5" customHeight="1" thickBot="1">
      <c r="A36" s="145" t="s">
        <v>89</v>
      </c>
      <c r="B36" s="146">
        <f>+Land!K46+'Land Improv'!Z40</f>
        <v>142326.75423900527</v>
      </c>
      <c r="C36" s="38"/>
      <c r="D36" s="146">
        <f>+Leaseholds!Z40+'Bldgs-Wood'!Z40+'Bldgs-Brick'!Z40</f>
        <v>1030750.1107757527</v>
      </c>
      <c r="E36" s="26"/>
      <c r="F36" s="146">
        <f>+Vehicles!Z40+'Mach &amp; Equip'!Z40+'Road Equip'!Z40</f>
        <v>267976.1452074378</v>
      </c>
      <c r="G36" s="29"/>
      <c r="H36" s="146">
        <f>+Comp!Z40</f>
        <v>15465.712018138263</v>
      </c>
      <c r="I36" s="26"/>
      <c r="J36" s="146">
        <f>+'Gen AUC'!K40</f>
        <v>737500</v>
      </c>
      <c r="K36" s="29"/>
      <c r="L36" s="147">
        <f>+'Trans-Land'!K40+'Rd Surface'!Z53+'Rd Grade'!Z57+Bridges!Z40+'Traffic Lights &amp; Equip'!Z40</f>
        <v>165712.49246577692</v>
      </c>
      <c r="M36" s="31"/>
      <c r="N36" s="147">
        <f>+Dams!Z40+'W&amp;S-Equip'!Z40+'W&amp;S-Networks'!Z40+'W&amp;S-Bldgs Wood'!Z40+'W&amp;S-Bldgs Brick'!Z40+'W&amp;S-Land Improv'!Z40+'W&amp;S-Land'!K40</f>
        <v>4143268.6101592514</v>
      </c>
      <c r="O36" s="29"/>
      <c r="P36" s="147">
        <f>+'W&amp;S-AUC'!K40+'Trans-AUC'!K40</f>
        <v>0</v>
      </c>
      <c r="Q36" s="29"/>
      <c r="R36" s="146">
        <f>SUM(B36:P36)</f>
        <v>6502999.824865362</v>
      </c>
      <c r="S36" s="26"/>
      <c r="T36" s="146">
        <f>+Land!H46+'Land Improv'!S40+'Bldgs-Brick'!S40+'Bldgs-Wood'!S40+Vehicles!S40+'Mach &amp; Equip'!S40+'Road Equip'!S40+Comp!S40+Leaseholds!S40+'Gen AUC'!H40+'Trans-Land'!H40+'Rd Surface'!S53+'Rd Grade'!S57+Bridges!S40+'Traffic Lights &amp; Equip'!S40+'Trans-AUC'!H40+'W&amp;S-Land'!H40+'W&amp;S-Land Improv'!S40+'W&amp;S-Bldgs Brick'!S40+'W&amp;S-Bldgs Wood'!S40+'W&amp;S-Networks'!S40+'W&amp;S-Equip'!S40+Dams!S40+'W&amp;S-AUC'!H40</f>
        <v>6435709.051049129</v>
      </c>
    </row>
    <row r="37" spans="1:19" s="20" customFormat="1" ht="13.5" customHeight="1" thickTop="1">
      <c r="A37" s="32"/>
      <c r="B37" s="26"/>
      <c r="C37" s="38"/>
      <c r="D37" s="26"/>
      <c r="E37" s="26"/>
      <c r="F37" s="26"/>
      <c r="G37" s="29"/>
      <c r="H37" s="26"/>
      <c r="I37" s="26"/>
      <c r="J37" s="26"/>
      <c r="K37" s="29"/>
      <c r="L37" s="2"/>
      <c r="M37" s="31"/>
      <c r="N37" s="7"/>
      <c r="O37" s="31"/>
      <c r="P37" s="26"/>
      <c r="Q37" s="29"/>
      <c r="R37" s="26"/>
      <c r="S37" s="26"/>
    </row>
    <row r="38" spans="2:19" s="20" customFormat="1" ht="13.5" customHeight="1">
      <c r="B38" s="26"/>
      <c r="C38" s="38"/>
      <c r="D38" s="26"/>
      <c r="E38" s="26"/>
      <c r="F38" s="26"/>
      <c r="G38" s="29"/>
      <c r="H38" s="26"/>
      <c r="I38" s="26"/>
      <c r="J38" s="26"/>
      <c r="K38" s="29"/>
      <c r="L38" s="2"/>
      <c r="M38" s="31"/>
      <c r="N38" s="7"/>
      <c r="O38" s="31"/>
      <c r="P38" s="26"/>
      <c r="Q38" s="29"/>
      <c r="R38" s="26"/>
      <c r="S38" s="26"/>
    </row>
    <row r="39" spans="2:19" s="20" customFormat="1" ht="13.5" customHeight="1">
      <c r="B39" s="26"/>
      <c r="C39" s="38"/>
      <c r="D39" s="26"/>
      <c r="E39" s="26"/>
      <c r="F39" s="26"/>
      <c r="G39" s="29"/>
      <c r="H39" s="26"/>
      <c r="I39" s="26"/>
      <c r="J39" s="26"/>
      <c r="K39" s="29"/>
      <c r="L39" s="26"/>
      <c r="M39" s="29"/>
      <c r="N39" s="29"/>
      <c r="O39" s="29"/>
      <c r="P39" s="26"/>
      <c r="Q39" s="29"/>
      <c r="R39" s="26"/>
      <c r="S39" s="26"/>
    </row>
    <row r="40" spans="1:55" s="47" customFormat="1" ht="13.5" customHeight="1">
      <c r="A40" s="43"/>
      <c r="B40" s="44"/>
      <c r="C40" s="43" t="s">
        <v>16</v>
      </c>
      <c r="D40" s="44"/>
      <c r="E40" s="45" t="s">
        <v>16</v>
      </c>
      <c r="F40" s="44"/>
      <c r="G40" s="46"/>
      <c r="H40" s="44"/>
      <c r="I40" s="44"/>
      <c r="J40" s="44"/>
      <c r="K40" s="46"/>
      <c r="L40" s="44"/>
      <c r="M40" s="46"/>
      <c r="N40" s="44"/>
      <c r="O40" s="46"/>
      <c r="P40" s="44"/>
      <c r="Q40" s="46"/>
      <c r="R40" s="44"/>
      <c r="S40" s="44"/>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row>
    <row r="41" spans="1:55" s="47" customFormat="1" ht="13.5" customHeight="1">
      <c r="A41" s="43"/>
      <c r="B41" s="44"/>
      <c r="C41" s="43" t="s">
        <v>16</v>
      </c>
      <c r="D41" s="44"/>
      <c r="E41" s="45" t="s">
        <v>16</v>
      </c>
      <c r="F41" s="44"/>
      <c r="G41" s="46"/>
      <c r="H41" s="44"/>
      <c r="I41" s="44"/>
      <c r="J41" s="44"/>
      <c r="K41" s="46"/>
      <c r="L41" s="44"/>
      <c r="M41" s="46"/>
      <c r="N41" s="44"/>
      <c r="O41" s="46"/>
      <c r="P41" s="44"/>
      <c r="Q41" s="46"/>
      <c r="R41" s="44"/>
      <c r="S41" s="44"/>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row>
    <row r="42" spans="1:19" s="47" customFormat="1" ht="13.5" customHeight="1">
      <c r="A42" s="43"/>
      <c r="B42" s="44"/>
      <c r="C42" s="43" t="s">
        <v>16</v>
      </c>
      <c r="D42" s="44"/>
      <c r="E42" s="45" t="s">
        <v>16</v>
      </c>
      <c r="F42" s="44"/>
      <c r="G42" s="46"/>
      <c r="H42" s="44"/>
      <c r="I42" s="44"/>
      <c r="J42" s="44"/>
      <c r="K42" s="46"/>
      <c r="L42" s="44"/>
      <c r="M42" s="46"/>
      <c r="N42" s="49"/>
      <c r="O42" s="50"/>
      <c r="P42" s="44"/>
      <c r="Q42" s="46"/>
      <c r="R42" s="44"/>
      <c r="S42" s="44"/>
    </row>
    <row r="43" spans="1:19" s="47" customFormat="1" ht="13.5" customHeight="1">
      <c r="A43" s="43"/>
      <c r="B43" s="44"/>
      <c r="C43" s="43" t="s">
        <v>16</v>
      </c>
      <c r="D43" s="44"/>
      <c r="E43" s="45" t="s">
        <v>16</v>
      </c>
      <c r="F43" s="44"/>
      <c r="G43" s="46"/>
      <c r="H43" s="44"/>
      <c r="I43" s="44"/>
      <c r="J43" s="44"/>
      <c r="K43" s="46"/>
      <c r="L43" s="44"/>
      <c r="M43" s="46"/>
      <c r="N43" s="44"/>
      <c r="O43" s="46"/>
      <c r="P43" s="44"/>
      <c r="Q43" s="46"/>
      <c r="R43" s="44"/>
      <c r="S43" s="44"/>
    </row>
    <row r="44" spans="1:19" s="47" customFormat="1" ht="12" customHeight="1">
      <c r="A44" s="43"/>
      <c r="B44" s="46"/>
      <c r="C44" s="51"/>
      <c r="D44" s="51"/>
      <c r="E44" s="52"/>
      <c r="F44" s="46"/>
      <c r="G44" s="46"/>
      <c r="H44" s="53"/>
      <c r="I44" s="53"/>
      <c r="J44" s="53"/>
      <c r="K44" s="46"/>
      <c r="L44" s="44"/>
      <c r="M44" s="46"/>
      <c r="N44" s="44"/>
      <c r="O44" s="46"/>
      <c r="P44" s="44"/>
      <c r="Q44" s="46"/>
      <c r="R44" s="44"/>
      <c r="S44" s="44"/>
    </row>
    <row r="45" spans="1:19" s="47" customFormat="1" ht="12" customHeight="1">
      <c r="A45" s="43"/>
      <c r="B45" s="46"/>
      <c r="C45" s="54"/>
      <c r="D45" s="51"/>
      <c r="E45" s="52"/>
      <c r="F45" s="46"/>
      <c r="G45" s="46"/>
      <c r="H45" s="46"/>
      <c r="I45" s="46"/>
      <c r="J45" s="46"/>
      <c r="K45" s="46"/>
      <c r="L45" s="44"/>
      <c r="M45" s="46"/>
      <c r="O45" s="46"/>
      <c r="P45" s="44"/>
      <c r="Q45" s="46"/>
      <c r="R45" s="44"/>
      <c r="S45" s="44"/>
    </row>
    <row r="46" spans="1:19" s="47" customFormat="1" ht="12" customHeight="1">
      <c r="A46" s="43"/>
      <c r="B46" s="46"/>
      <c r="C46" s="54"/>
      <c r="D46" s="51"/>
      <c r="E46" s="52"/>
      <c r="F46" s="46"/>
      <c r="G46" s="46"/>
      <c r="H46" s="46"/>
      <c r="I46" s="46"/>
      <c r="J46" s="46"/>
      <c r="K46" s="46"/>
      <c r="L46" s="44"/>
      <c r="M46" s="46"/>
      <c r="N46" s="44"/>
      <c r="O46" s="46"/>
      <c r="P46" s="44"/>
      <c r="Q46" s="46"/>
      <c r="R46" s="44"/>
      <c r="S46" s="44"/>
    </row>
    <row r="47" spans="1:19" s="47" customFormat="1" ht="12" customHeight="1">
      <c r="A47" s="43"/>
      <c r="B47" s="46"/>
      <c r="C47" s="54"/>
      <c r="D47" s="51"/>
      <c r="E47" s="52"/>
      <c r="F47" s="46"/>
      <c r="G47" s="46"/>
      <c r="H47" s="46"/>
      <c r="I47" s="46"/>
      <c r="J47" s="46"/>
      <c r="K47" s="46"/>
      <c r="L47" s="44"/>
      <c r="M47" s="46"/>
      <c r="N47" s="49"/>
      <c r="O47" s="50"/>
      <c r="P47" s="44"/>
      <c r="Q47" s="46"/>
      <c r="R47" s="44"/>
      <c r="S47" s="44"/>
    </row>
    <row r="48" spans="1:19" s="47" customFormat="1" ht="12.75">
      <c r="A48" s="43"/>
      <c r="B48" s="46"/>
      <c r="C48" s="54"/>
      <c r="D48" s="51"/>
      <c r="E48" s="52"/>
      <c r="F48" s="46"/>
      <c r="G48" s="46"/>
      <c r="H48" s="46"/>
      <c r="I48" s="46"/>
      <c r="J48" s="46"/>
      <c r="K48" s="46"/>
      <c r="L48" s="44"/>
      <c r="M48" s="46"/>
      <c r="N48" s="44"/>
      <c r="O48" s="46"/>
      <c r="P48" s="44"/>
      <c r="Q48" s="46"/>
      <c r="R48" s="44"/>
      <c r="S48" s="44"/>
    </row>
    <row r="49" spans="1:19" s="47" customFormat="1" ht="12.75">
      <c r="A49" s="43"/>
      <c r="B49" s="46"/>
      <c r="C49" s="54"/>
      <c r="D49" s="46"/>
      <c r="E49" s="52"/>
      <c r="F49" s="46"/>
      <c r="G49" s="46"/>
      <c r="H49" s="46"/>
      <c r="I49" s="46"/>
      <c r="J49" s="46"/>
      <c r="K49" s="46"/>
      <c r="L49" s="44"/>
      <c r="M49" s="46"/>
      <c r="N49" s="44"/>
      <c r="O49" s="46"/>
      <c r="P49" s="44"/>
      <c r="Q49" s="46"/>
      <c r="R49" s="44"/>
      <c r="S49" s="44"/>
    </row>
    <row r="50" spans="1:19" s="47" customFormat="1" ht="12.75">
      <c r="A50" s="43"/>
      <c r="B50" s="46"/>
      <c r="C50" s="54"/>
      <c r="D50" s="46"/>
      <c r="E50" s="52"/>
      <c r="F50" s="46"/>
      <c r="G50" s="46"/>
      <c r="H50" s="55"/>
      <c r="I50" s="55"/>
      <c r="J50" s="55"/>
      <c r="K50" s="46"/>
      <c r="L50" s="44"/>
      <c r="M50" s="46"/>
      <c r="N50" s="44"/>
      <c r="O50" s="46"/>
      <c r="P50" s="44"/>
      <c r="Q50" s="46"/>
      <c r="R50" s="44"/>
      <c r="S50" s="44"/>
    </row>
    <row r="51" spans="1:19" s="47" customFormat="1" ht="12.75">
      <c r="A51" s="43"/>
      <c r="B51" s="46"/>
      <c r="C51" s="54"/>
      <c r="D51" s="46"/>
      <c r="E51" s="52"/>
      <c r="F51" s="46"/>
      <c r="G51" s="46"/>
      <c r="H51" s="46"/>
      <c r="I51" s="46"/>
      <c r="J51" s="46"/>
      <c r="K51" s="46"/>
      <c r="L51" s="44"/>
      <c r="M51" s="46"/>
      <c r="N51" s="44"/>
      <c r="O51" s="46"/>
      <c r="P51" s="44"/>
      <c r="Q51" s="46"/>
      <c r="R51" s="44"/>
      <c r="S51" s="44"/>
    </row>
    <row r="52" spans="1:19" s="47" customFormat="1" ht="12.75">
      <c r="A52" s="43"/>
      <c r="B52" s="44"/>
      <c r="C52" s="43" t="s">
        <v>16</v>
      </c>
      <c r="D52" s="44"/>
      <c r="E52" s="45"/>
      <c r="F52" s="44"/>
      <c r="G52" s="46"/>
      <c r="H52" s="44"/>
      <c r="I52" s="44"/>
      <c r="J52" s="44"/>
      <c r="K52" s="46"/>
      <c r="L52" s="44"/>
      <c r="M52" s="46"/>
      <c r="N52" s="44"/>
      <c r="O52" s="46"/>
      <c r="P52" s="44"/>
      <c r="Q52" s="46"/>
      <c r="R52" s="44"/>
      <c r="S52" s="44"/>
    </row>
    <row r="53" spans="1:19" s="47" customFormat="1" ht="13.5">
      <c r="A53" s="38"/>
      <c r="B53" s="44"/>
      <c r="C53" s="38"/>
      <c r="D53" s="44"/>
      <c r="E53" s="45"/>
      <c r="F53" s="44"/>
      <c r="G53" s="46"/>
      <c r="H53" s="44"/>
      <c r="I53" s="44"/>
      <c r="J53" s="44"/>
      <c r="K53" s="46"/>
      <c r="L53" s="44"/>
      <c r="M53" s="46"/>
      <c r="N53" s="44"/>
      <c r="O53" s="46"/>
      <c r="P53" s="44"/>
      <c r="Q53" s="46"/>
      <c r="R53" s="44"/>
      <c r="S53" s="44"/>
    </row>
    <row r="54" spans="1:19" s="47" customFormat="1" ht="13.5">
      <c r="A54" s="38"/>
      <c r="B54" s="44"/>
      <c r="C54" s="38" t="s">
        <v>16</v>
      </c>
      <c r="D54" s="44"/>
      <c r="E54" s="45" t="s">
        <v>16</v>
      </c>
      <c r="F54" s="44"/>
      <c r="G54" s="46"/>
      <c r="H54" s="44"/>
      <c r="I54" s="44"/>
      <c r="J54" s="44"/>
      <c r="K54" s="46"/>
      <c r="L54" s="44"/>
      <c r="M54" s="46"/>
      <c r="N54" s="44"/>
      <c r="O54" s="46"/>
      <c r="P54" s="44"/>
      <c r="Q54" s="46"/>
      <c r="R54" s="44"/>
      <c r="S54" s="44"/>
    </row>
    <row r="55" spans="1:19" s="47" customFormat="1" ht="13.5">
      <c r="A55" s="38"/>
      <c r="B55" s="44"/>
      <c r="C55" s="38" t="s">
        <v>16</v>
      </c>
      <c r="D55" s="44"/>
      <c r="E55" s="45" t="s">
        <v>16</v>
      </c>
      <c r="F55" s="44"/>
      <c r="G55" s="46"/>
      <c r="H55" s="44"/>
      <c r="I55" s="44"/>
      <c r="J55" s="44"/>
      <c r="K55" s="46"/>
      <c r="L55" s="44"/>
      <c r="M55" s="46"/>
      <c r="N55" s="44"/>
      <c r="O55" s="46"/>
      <c r="P55" s="44"/>
      <c r="Q55" s="46"/>
      <c r="R55" s="44"/>
      <c r="S55" s="44"/>
    </row>
    <row r="56" spans="1:19" s="47" customFormat="1" ht="13.5">
      <c r="A56" s="38"/>
      <c r="B56" s="44"/>
      <c r="C56" s="38"/>
      <c r="D56" s="44"/>
      <c r="E56" s="45"/>
      <c r="F56" s="44"/>
      <c r="G56" s="46"/>
      <c r="H56" s="44"/>
      <c r="I56" s="44"/>
      <c r="J56" s="44"/>
      <c r="K56" s="46"/>
      <c r="L56" s="44"/>
      <c r="M56" s="46"/>
      <c r="N56" s="44"/>
      <c r="O56" s="46"/>
      <c r="P56" s="44"/>
      <c r="Q56" s="46"/>
      <c r="R56" s="44"/>
      <c r="S56" s="44"/>
    </row>
    <row r="57" spans="1:19" s="47" customFormat="1" ht="13.5">
      <c r="A57" s="38"/>
      <c r="B57" s="44"/>
      <c r="C57" s="38"/>
      <c r="D57" s="44"/>
      <c r="E57" s="45"/>
      <c r="F57" s="44"/>
      <c r="G57" s="46"/>
      <c r="H57" s="44"/>
      <c r="I57" s="44"/>
      <c r="J57" s="44"/>
      <c r="K57" s="46"/>
      <c r="L57" s="44"/>
      <c r="M57" s="46"/>
      <c r="N57" s="44"/>
      <c r="O57" s="46"/>
      <c r="P57" s="44"/>
      <c r="Q57" s="46"/>
      <c r="R57" s="44"/>
      <c r="S57" s="44"/>
    </row>
    <row r="58" spans="1:19" s="47" customFormat="1" ht="13.5">
      <c r="A58" s="56"/>
      <c r="B58" s="44"/>
      <c r="C58" s="38"/>
      <c r="D58" s="44"/>
      <c r="E58" s="45"/>
      <c r="F58" s="44"/>
      <c r="G58" s="46"/>
      <c r="H58" s="44"/>
      <c r="I58" s="44"/>
      <c r="J58" s="44"/>
      <c r="K58" s="46"/>
      <c r="L58" s="44"/>
      <c r="M58" s="46"/>
      <c r="N58" s="44"/>
      <c r="O58" s="46"/>
      <c r="P58" s="44"/>
      <c r="Q58" s="46"/>
      <c r="R58" s="44"/>
      <c r="S58" s="44"/>
    </row>
    <row r="59" spans="1:19" s="47" customFormat="1" ht="13.5">
      <c r="A59" s="38"/>
      <c r="B59" s="44"/>
      <c r="C59" s="38"/>
      <c r="D59" s="44"/>
      <c r="E59" s="44"/>
      <c r="F59" s="44"/>
      <c r="G59" s="46"/>
      <c r="H59" s="44"/>
      <c r="I59" s="44"/>
      <c r="J59" s="44"/>
      <c r="K59" s="46"/>
      <c r="L59" s="44"/>
      <c r="M59" s="46"/>
      <c r="N59" s="44"/>
      <c r="O59" s="46"/>
      <c r="P59" s="44"/>
      <c r="Q59" s="46"/>
      <c r="R59" s="44"/>
      <c r="S59" s="44"/>
    </row>
    <row r="60" spans="1:19" s="47" customFormat="1" ht="13.5">
      <c r="A60" s="38"/>
      <c r="B60" s="44"/>
      <c r="C60" s="38" t="s">
        <v>16</v>
      </c>
      <c r="D60" s="44"/>
      <c r="E60" s="44"/>
      <c r="F60" s="44"/>
      <c r="G60" s="46"/>
      <c r="H60" s="44"/>
      <c r="I60" s="44"/>
      <c r="J60" s="44"/>
      <c r="K60" s="46"/>
      <c r="L60" s="44"/>
      <c r="M60" s="46"/>
      <c r="N60" s="44"/>
      <c r="O60" s="46"/>
      <c r="P60" s="44"/>
      <c r="Q60" s="46"/>
      <c r="R60" s="44"/>
      <c r="S60" s="44"/>
    </row>
    <row r="61" spans="1:19" s="47" customFormat="1" ht="13.5">
      <c r="A61" s="38"/>
      <c r="B61" s="44"/>
      <c r="C61" s="38" t="s">
        <v>16</v>
      </c>
      <c r="D61" s="44"/>
      <c r="E61" s="44"/>
      <c r="F61" s="44"/>
      <c r="G61" s="46"/>
      <c r="H61" s="44"/>
      <c r="I61" s="44"/>
      <c r="J61" s="44"/>
      <c r="K61" s="46"/>
      <c r="L61" s="44"/>
      <c r="M61" s="46"/>
      <c r="N61" s="44"/>
      <c r="O61" s="46"/>
      <c r="P61" s="44"/>
      <c r="Q61" s="46"/>
      <c r="R61" s="44"/>
      <c r="S61" s="44"/>
    </row>
    <row r="62" spans="1:19" s="47" customFormat="1" ht="13.5">
      <c r="A62" s="38"/>
      <c r="B62" s="44"/>
      <c r="C62" s="38" t="s">
        <v>16</v>
      </c>
      <c r="D62" s="44"/>
      <c r="E62" s="44"/>
      <c r="F62" s="44"/>
      <c r="G62" s="46"/>
      <c r="H62" s="44"/>
      <c r="I62" s="44"/>
      <c r="J62" s="44"/>
      <c r="K62" s="46"/>
      <c r="L62" s="44"/>
      <c r="M62" s="46"/>
      <c r="N62" s="44"/>
      <c r="O62" s="46"/>
      <c r="P62" s="44"/>
      <c r="Q62" s="46"/>
      <c r="R62" s="44"/>
      <c r="S62" s="44"/>
    </row>
    <row r="63" spans="1:19" s="47" customFormat="1" ht="13.5">
      <c r="A63" s="38"/>
      <c r="B63" s="44"/>
      <c r="C63" s="38" t="s">
        <v>16</v>
      </c>
      <c r="D63" s="44"/>
      <c r="E63" s="44"/>
      <c r="F63" s="44"/>
      <c r="G63" s="46"/>
      <c r="H63" s="44"/>
      <c r="I63" s="44"/>
      <c r="J63" s="44"/>
      <c r="K63" s="46"/>
      <c r="L63" s="44"/>
      <c r="M63" s="46"/>
      <c r="N63" s="44"/>
      <c r="O63" s="46"/>
      <c r="P63" s="44"/>
      <c r="Q63" s="46"/>
      <c r="R63" s="44"/>
      <c r="S63" s="44"/>
    </row>
    <row r="64" spans="1:19" s="47" customFormat="1" ht="13.5">
      <c r="A64" s="38"/>
      <c r="B64" s="44"/>
      <c r="C64" s="38" t="s">
        <v>16</v>
      </c>
      <c r="D64" s="44"/>
      <c r="E64" s="44"/>
      <c r="F64" s="44"/>
      <c r="G64" s="46"/>
      <c r="H64" s="44"/>
      <c r="I64" s="44"/>
      <c r="J64" s="44"/>
      <c r="K64" s="46"/>
      <c r="L64" s="44"/>
      <c r="M64" s="46"/>
      <c r="N64" s="44"/>
      <c r="O64" s="46"/>
      <c r="P64" s="44"/>
      <c r="Q64" s="46"/>
      <c r="R64" s="44"/>
      <c r="S64" s="44"/>
    </row>
    <row r="65" spans="1:19" s="47" customFormat="1" ht="13.5">
      <c r="A65" s="38"/>
      <c r="B65" s="44"/>
      <c r="C65" s="38" t="s">
        <v>16</v>
      </c>
      <c r="D65" s="44"/>
      <c r="E65" s="44"/>
      <c r="F65" s="44"/>
      <c r="G65" s="46"/>
      <c r="H65" s="44"/>
      <c r="I65" s="44"/>
      <c r="J65" s="44"/>
      <c r="K65" s="46"/>
      <c r="L65" s="44"/>
      <c r="M65" s="46"/>
      <c r="N65" s="44"/>
      <c r="O65" s="46"/>
      <c r="P65" s="44"/>
      <c r="Q65" s="46"/>
      <c r="R65" s="44"/>
      <c r="S65" s="44"/>
    </row>
    <row r="66" spans="1:19" s="47" customFormat="1" ht="13.5">
      <c r="A66" s="38"/>
      <c r="B66" s="44"/>
      <c r="C66" s="38"/>
      <c r="D66" s="44"/>
      <c r="E66" s="44"/>
      <c r="F66" s="44"/>
      <c r="G66" s="46"/>
      <c r="H66" s="44"/>
      <c r="I66" s="44"/>
      <c r="J66" s="44"/>
      <c r="K66" s="46"/>
      <c r="L66" s="44"/>
      <c r="M66" s="46"/>
      <c r="N66" s="44"/>
      <c r="O66" s="46"/>
      <c r="P66" s="44"/>
      <c r="Q66" s="46"/>
      <c r="R66" s="44"/>
      <c r="S66" s="44"/>
    </row>
    <row r="67" spans="1:19" s="47" customFormat="1" ht="13.5">
      <c r="A67" s="38"/>
      <c r="B67" s="44"/>
      <c r="C67" s="38"/>
      <c r="D67" s="44"/>
      <c r="E67" s="44"/>
      <c r="F67" s="44"/>
      <c r="G67" s="46"/>
      <c r="H67" s="44"/>
      <c r="I67" s="44"/>
      <c r="J67" s="44"/>
      <c r="K67" s="46"/>
      <c r="L67" s="44"/>
      <c r="M67" s="46"/>
      <c r="N67" s="44"/>
      <c r="O67" s="46"/>
      <c r="P67" s="44"/>
      <c r="Q67" s="46"/>
      <c r="R67" s="44"/>
      <c r="S67" s="44"/>
    </row>
    <row r="68" spans="1:19" s="47" customFormat="1" ht="13.5">
      <c r="A68" s="38"/>
      <c r="B68" s="44"/>
      <c r="C68" s="38"/>
      <c r="D68" s="44"/>
      <c r="E68" s="44"/>
      <c r="F68" s="44"/>
      <c r="G68" s="46"/>
      <c r="H68" s="44"/>
      <c r="I68" s="44"/>
      <c r="J68" s="44"/>
      <c r="K68" s="46"/>
      <c r="L68" s="44"/>
      <c r="M68" s="46"/>
      <c r="N68" s="44"/>
      <c r="O68" s="46"/>
      <c r="P68" s="44"/>
      <c r="Q68" s="46"/>
      <c r="R68" s="44"/>
      <c r="S68" s="44"/>
    </row>
    <row r="69" spans="1:19" s="47" customFormat="1" ht="13.5">
      <c r="A69" s="38"/>
      <c r="B69" s="44"/>
      <c r="C69" s="38"/>
      <c r="D69" s="44"/>
      <c r="E69" s="44"/>
      <c r="F69" s="44"/>
      <c r="G69" s="46"/>
      <c r="H69" s="44"/>
      <c r="I69" s="44"/>
      <c r="J69" s="44"/>
      <c r="K69" s="46"/>
      <c r="L69" s="44"/>
      <c r="M69" s="46"/>
      <c r="N69" s="44"/>
      <c r="O69" s="46"/>
      <c r="P69" s="44"/>
      <c r="Q69" s="46"/>
      <c r="R69" s="44"/>
      <c r="S69" s="44"/>
    </row>
    <row r="70" spans="1:19" s="47" customFormat="1" ht="13.5">
      <c r="A70" s="38"/>
      <c r="B70" s="44"/>
      <c r="C70" s="38"/>
      <c r="D70" s="44"/>
      <c r="E70" s="44"/>
      <c r="F70" s="44"/>
      <c r="G70" s="46"/>
      <c r="H70" s="44"/>
      <c r="I70" s="44"/>
      <c r="J70" s="44"/>
      <c r="K70" s="46"/>
      <c r="L70" s="44"/>
      <c r="M70" s="46"/>
      <c r="N70" s="44"/>
      <c r="O70" s="46"/>
      <c r="P70" s="44"/>
      <c r="Q70" s="46"/>
      <c r="R70" s="44"/>
      <c r="S70" s="44"/>
    </row>
    <row r="71" spans="1:19" s="47" customFormat="1" ht="13.5">
      <c r="A71" s="38"/>
      <c r="B71" s="44"/>
      <c r="C71" s="38"/>
      <c r="D71" s="44"/>
      <c r="E71" s="44"/>
      <c r="F71" s="44"/>
      <c r="G71" s="46"/>
      <c r="H71" s="44"/>
      <c r="I71" s="44"/>
      <c r="J71" s="44"/>
      <c r="K71" s="46"/>
      <c r="L71" s="44"/>
      <c r="M71" s="46"/>
      <c r="N71" s="44"/>
      <c r="O71" s="46"/>
      <c r="P71" s="44"/>
      <c r="Q71" s="46"/>
      <c r="R71" s="44"/>
      <c r="S71" s="44"/>
    </row>
    <row r="72" spans="1:19" s="47" customFormat="1" ht="13.5">
      <c r="A72" s="38"/>
      <c r="B72" s="44"/>
      <c r="C72" s="38"/>
      <c r="D72" s="44"/>
      <c r="E72" s="44"/>
      <c r="F72" s="44"/>
      <c r="G72" s="46"/>
      <c r="H72" s="44"/>
      <c r="I72" s="44"/>
      <c r="J72" s="44"/>
      <c r="K72" s="46"/>
      <c r="L72" s="44"/>
      <c r="M72" s="46"/>
      <c r="N72" s="44"/>
      <c r="O72" s="46"/>
      <c r="P72" s="44"/>
      <c r="Q72" s="46"/>
      <c r="R72" s="44"/>
      <c r="S72" s="44"/>
    </row>
    <row r="73" spans="1:19" s="47" customFormat="1" ht="13.5">
      <c r="A73" s="38"/>
      <c r="B73" s="44"/>
      <c r="C73" s="38"/>
      <c r="D73" s="44"/>
      <c r="E73" s="44"/>
      <c r="F73" s="44"/>
      <c r="G73" s="46"/>
      <c r="H73" s="44"/>
      <c r="I73" s="44"/>
      <c r="J73" s="44"/>
      <c r="K73" s="46"/>
      <c r="L73" s="44"/>
      <c r="M73" s="46"/>
      <c r="N73" s="44"/>
      <c r="O73" s="46"/>
      <c r="P73" s="44"/>
      <c r="Q73" s="46"/>
      <c r="R73" s="44"/>
      <c r="S73" s="44"/>
    </row>
    <row r="74" spans="1:19" s="47" customFormat="1" ht="13.5">
      <c r="A74" s="38"/>
      <c r="B74" s="44"/>
      <c r="C74" s="38"/>
      <c r="D74" s="44"/>
      <c r="E74" s="44"/>
      <c r="F74" s="44"/>
      <c r="G74" s="46"/>
      <c r="H74" s="44"/>
      <c r="I74" s="44"/>
      <c r="J74" s="44"/>
      <c r="K74" s="46"/>
      <c r="L74" s="44"/>
      <c r="M74" s="46"/>
      <c r="N74" s="44"/>
      <c r="O74" s="46"/>
      <c r="P74" s="44"/>
      <c r="Q74" s="46"/>
      <c r="R74" s="44"/>
      <c r="S74" s="44"/>
    </row>
    <row r="75" spans="1:19" s="47" customFormat="1" ht="13.5">
      <c r="A75" s="38"/>
      <c r="B75" s="44"/>
      <c r="C75" s="38"/>
      <c r="D75" s="44"/>
      <c r="E75" s="44"/>
      <c r="F75" s="44"/>
      <c r="G75" s="46"/>
      <c r="H75" s="44"/>
      <c r="I75" s="44"/>
      <c r="J75" s="44"/>
      <c r="K75" s="46"/>
      <c r="L75" s="44"/>
      <c r="M75" s="46"/>
      <c r="N75" s="44"/>
      <c r="O75" s="46"/>
      <c r="P75" s="44"/>
      <c r="Q75" s="46"/>
      <c r="R75" s="44"/>
      <c r="S75" s="44"/>
    </row>
    <row r="76" spans="1:19" s="47" customFormat="1" ht="13.5">
      <c r="A76" s="38"/>
      <c r="B76" s="44"/>
      <c r="C76" s="38"/>
      <c r="D76" s="44"/>
      <c r="E76" s="44"/>
      <c r="F76" s="44"/>
      <c r="G76" s="46"/>
      <c r="H76" s="44"/>
      <c r="I76" s="44"/>
      <c r="J76" s="44"/>
      <c r="K76" s="46"/>
      <c r="L76" s="44"/>
      <c r="M76" s="46"/>
      <c r="N76" s="44"/>
      <c r="O76" s="46"/>
      <c r="P76" s="44"/>
      <c r="Q76" s="46"/>
      <c r="R76" s="44"/>
      <c r="S76" s="44"/>
    </row>
    <row r="77" spans="1:19" s="47" customFormat="1" ht="13.5">
      <c r="A77" s="38"/>
      <c r="B77" s="44"/>
      <c r="C77" s="38"/>
      <c r="D77" s="44"/>
      <c r="E77" s="44"/>
      <c r="F77" s="44"/>
      <c r="G77" s="46"/>
      <c r="H77" s="44"/>
      <c r="I77" s="44"/>
      <c r="J77" s="44"/>
      <c r="K77" s="46"/>
      <c r="L77" s="44"/>
      <c r="M77" s="46"/>
      <c r="N77" s="44"/>
      <c r="O77" s="46"/>
      <c r="P77" s="44"/>
      <c r="Q77" s="46"/>
      <c r="R77" s="44"/>
      <c r="S77" s="44"/>
    </row>
    <row r="78" spans="1:19" s="47" customFormat="1" ht="13.5">
      <c r="A78" s="38"/>
      <c r="B78" s="44"/>
      <c r="C78" s="38"/>
      <c r="D78" s="44"/>
      <c r="E78" s="44"/>
      <c r="F78" s="44"/>
      <c r="G78" s="46"/>
      <c r="H78" s="44"/>
      <c r="I78" s="44"/>
      <c r="J78" s="44"/>
      <c r="K78" s="46"/>
      <c r="L78" s="44"/>
      <c r="M78" s="46"/>
      <c r="N78" s="44"/>
      <c r="O78" s="46"/>
      <c r="P78" s="44"/>
      <c r="Q78" s="46"/>
      <c r="R78" s="44"/>
      <c r="S78" s="44"/>
    </row>
    <row r="79" spans="1:19" s="47" customFormat="1" ht="13.5">
      <c r="A79" s="38"/>
      <c r="B79" s="44"/>
      <c r="C79" s="38"/>
      <c r="D79" s="44"/>
      <c r="E79" s="44"/>
      <c r="F79" s="44"/>
      <c r="G79" s="46"/>
      <c r="H79" s="44"/>
      <c r="I79" s="44"/>
      <c r="J79" s="44"/>
      <c r="K79" s="46"/>
      <c r="L79" s="44"/>
      <c r="M79" s="46"/>
      <c r="N79" s="44"/>
      <c r="O79" s="46"/>
      <c r="P79" s="44"/>
      <c r="Q79" s="46"/>
      <c r="R79" s="44"/>
      <c r="S79" s="44"/>
    </row>
    <row r="80" spans="1:19" s="47" customFormat="1" ht="13.5">
      <c r="A80" s="38"/>
      <c r="B80" s="44"/>
      <c r="C80" s="38"/>
      <c r="D80" s="44"/>
      <c r="E80" s="44"/>
      <c r="F80" s="44"/>
      <c r="G80" s="46"/>
      <c r="H80" s="44"/>
      <c r="I80" s="44"/>
      <c r="J80" s="44"/>
      <c r="K80" s="46"/>
      <c r="L80" s="44"/>
      <c r="M80" s="46"/>
      <c r="N80" s="44"/>
      <c r="O80" s="46"/>
      <c r="P80" s="44"/>
      <c r="Q80" s="46"/>
      <c r="R80" s="44"/>
      <c r="S80" s="44"/>
    </row>
    <row r="81" spans="1:19" s="47" customFormat="1" ht="13.5">
      <c r="A81" s="38"/>
      <c r="B81" s="44"/>
      <c r="C81" s="38"/>
      <c r="D81" s="44"/>
      <c r="E81" s="44"/>
      <c r="F81" s="44"/>
      <c r="G81" s="46"/>
      <c r="H81" s="44"/>
      <c r="I81" s="44"/>
      <c r="J81" s="44"/>
      <c r="K81" s="46"/>
      <c r="L81" s="44"/>
      <c r="M81" s="46"/>
      <c r="N81" s="44"/>
      <c r="O81" s="46"/>
      <c r="P81" s="44"/>
      <c r="Q81" s="46"/>
      <c r="R81" s="44"/>
      <c r="S81" s="44"/>
    </row>
    <row r="82" spans="1:19" s="47" customFormat="1" ht="13.5">
      <c r="A82" s="38"/>
      <c r="B82" s="44"/>
      <c r="C82" s="38"/>
      <c r="D82" s="44"/>
      <c r="E82" s="44"/>
      <c r="F82" s="44"/>
      <c r="G82" s="46"/>
      <c r="H82" s="44"/>
      <c r="I82" s="44"/>
      <c r="J82" s="44"/>
      <c r="K82" s="46"/>
      <c r="L82" s="44"/>
      <c r="M82" s="46"/>
      <c r="N82" s="44"/>
      <c r="O82" s="46"/>
      <c r="P82" s="44"/>
      <c r="Q82" s="46"/>
      <c r="R82" s="44"/>
      <c r="S82" s="44"/>
    </row>
    <row r="83" spans="1:19" s="47" customFormat="1" ht="13.5">
      <c r="A83" s="38"/>
      <c r="B83" s="44"/>
      <c r="C83" s="38"/>
      <c r="D83" s="44"/>
      <c r="E83" s="44"/>
      <c r="F83" s="44"/>
      <c r="G83" s="46"/>
      <c r="H83" s="44"/>
      <c r="I83" s="44"/>
      <c r="J83" s="44"/>
      <c r="K83" s="46"/>
      <c r="L83" s="44"/>
      <c r="M83" s="46"/>
      <c r="N83" s="44"/>
      <c r="O83" s="46"/>
      <c r="P83" s="44"/>
      <c r="Q83" s="46"/>
      <c r="R83" s="44"/>
      <c r="S83" s="44"/>
    </row>
    <row r="84" spans="1:19" s="47" customFormat="1" ht="13.5">
      <c r="A84" s="38"/>
      <c r="B84" s="44"/>
      <c r="C84" s="38"/>
      <c r="D84" s="44"/>
      <c r="E84" s="44"/>
      <c r="F84" s="44"/>
      <c r="G84" s="46"/>
      <c r="H84" s="44"/>
      <c r="I84" s="44"/>
      <c r="J84" s="44"/>
      <c r="K84" s="46"/>
      <c r="L84" s="44"/>
      <c r="M84" s="46"/>
      <c r="N84" s="44"/>
      <c r="O84" s="46"/>
      <c r="P84" s="44"/>
      <c r="Q84" s="46"/>
      <c r="R84" s="44"/>
      <c r="S84" s="44"/>
    </row>
    <row r="85" spans="1:19" s="47" customFormat="1" ht="13.5">
      <c r="A85" s="38"/>
      <c r="B85" s="44"/>
      <c r="C85" s="38"/>
      <c r="D85" s="44"/>
      <c r="E85" s="44"/>
      <c r="F85" s="44"/>
      <c r="G85" s="46"/>
      <c r="H85" s="44"/>
      <c r="I85" s="44"/>
      <c r="J85" s="44"/>
      <c r="K85" s="46"/>
      <c r="L85" s="44"/>
      <c r="M85" s="46"/>
      <c r="N85" s="44"/>
      <c r="O85" s="46"/>
      <c r="P85" s="44"/>
      <c r="Q85" s="46"/>
      <c r="R85" s="44"/>
      <c r="S85" s="44"/>
    </row>
    <row r="86" spans="1:19" s="47" customFormat="1" ht="13.5">
      <c r="A86" s="38"/>
      <c r="B86" s="44"/>
      <c r="C86" s="38"/>
      <c r="D86" s="44"/>
      <c r="E86" s="44"/>
      <c r="F86" s="44"/>
      <c r="G86" s="46"/>
      <c r="H86" s="44"/>
      <c r="I86" s="44"/>
      <c r="J86" s="44"/>
      <c r="K86" s="46"/>
      <c r="L86" s="44"/>
      <c r="M86" s="46"/>
      <c r="N86" s="44"/>
      <c r="O86" s="46"/>
      <c r="P86" s="44"/>
      <c r="Q86" s="46"/>
      <c r="R86" s="44"/>
      <c r="S86" s="44"/>
    </row>
    <row r="87" spans="1:19" s="47" customFormat="1" ht="13.5">
      <c r="A87" s="38"/>
      <c r="B87" s="44"/>
      <c r="C87" s="38"/>
      <c r="D87" s="44"/>
      <c r="E87" s="44"/>
      <c r="F87" s="44"/>
      <c r="G87" s="46"/>
      <c r="H87" s="44"/>
      <c r="I87" s="44"/>
      <c r="J87" s="44"/>
      <c r="K87" s="46"/>
      <c r="L87" s="44"/>
      <c r="M87" s="46"/>
      <c r="N87" s="44"/>
      <c r="O87" s="46"/>
      <c r="P87" s="44"/>
      <c r="Q87" s="46"/>
      <c r="R87" s="44"/>
      <c r="S87" s="44"/>
    </row>
    <row r="88" spans="1:19" s="47" customFormat="1" ht="13.5">
      <c r="A88" s="38"/>
      <c r="B88" s="44"/>
      <c r="C88" s="38"/>
      <c r="D88" s="44"/>
      <c r="E88" s="44"/>
      <c r="F88" s="44"/>
      <c r="G88" s="46"/>
      <c r="H88" s="44"/>
      <c r="I88" s="44"/>
      <c r="J88" s="44"/>
      <c r="K88" s="46"/>
      <c r="L88" s="44"/>
      <c r="M88" s="46"/>
      <c r="N88" s="44"/>
      <c r="O88" s="46"/>
      <c r="P88" s="44"/>
      <c r="Q88" s="46"/>
      <c r="R88" s="44"/>
      <c r="S88" s="44"/>
    </row>
    <row r="89" spans="1:19" s="47" customFormat="1" ht="13.5">
      <c r="A89" s="38"/>
      <c r="B89" s="44"/>
      <c r="C89" s="38"/>
      <c r="D89" s="44"/>
      <c r="E89" s="44"/>
      <c r="F89" s="44"/>
      <c r="G89" s="46"/>
      <c r="H89" s="44"/>
      <c r="I89" s="44"/>
      <c r="J89" s="44"/>
      <c r="K89" s="46"/>
      <c r="L89" s="44"/>
      <c r="M89" s="46"/>
      <c r="N89" s="44"/>
      <c r="O89" s="46"/>
      <c r="P89" s="44"/>
      <c r="Q89" s="46"/>
      <c r="R89" s="44"/>
      <c r="S89" s="44"/>
    </row>
  </sheetData>
  <mergeCells count="3">
    <mergeCell ref="B7:H7"/>
    <mergeCell ref="L7:P7"/>
    <mergeCell ref="R7:T7"/>
  </mergeCells>
  <printOptions horizontalCentered="1"/>
  <pageMargins left="0.25" right="0.25" top="0.5" bottom="0.5" header="0.5" footer="0.5"/>
  <pageSetup fitToHeight="1" fitToWidth="1" horizontalDpi="600" verticalDpi="600" orientation="landscape" paperSize="5" scale="87" r:id="rId1"/>
</worksheet>
</file>

<file path=xl/worksheets/sheet20.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78</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8" t="s">
        <v>204</v>
      </c>
      <c r="B7" s="59"/>
      <c r="E7" s="112"/>
      <c r="H7" s="93"/>
      <c r="I7" s="59"/>
      <c r="J7" s="59"/>
      <c r="K7" s="59"/>
      <c r="L7" s="96"/>
      <c r="M7" s="59"/>
      <c r="N7" s="59"/>
      <c r="O7" s="59"/>
      <c r="P7" s="59"/>
      <c r="Q7" s="59"/>
      <c r="R7" s="59"/>
      <c r="S7" s="96"/>
      <c r="T7" s="59"/>
      <c r="U7" s="59"/>
      <c r="V7" s="59"/>
      <c r="W7" s="59"/>
      <c r="X7" s="59"/>
      <c r="Y7" s="59"/>
      <c r="Z7" s="125"/>
      <c r="AA7" s="153"/>
    </row>
    <row r="8" spans="1:27" ht="15" customHeight="1">
      <c r="A8" s="161" t="s">
        <v>205</v>
      </c>
      <c r="B8" s="174">
        <v>33909</v>
      </c>
      <c r="C8" s="135"/>
      <c r="D8" s="72">
        <v>15</v>
      </c>
      <c r="E8" s="175">
        <v>24459.58</v>
      </c>
      <c r="F8" s="81">
        <v>2445</v>
      </c>
      <c r="G8" s="79">
        <f>+E8-F8</f>
        <v>22014.58</v>
      </c>
      <c r="H8" s="101">
        <f>+(E8-F8)/(D8*12)</f>
        <v>122.30322222222223</v>
      </c>
      <c r="I8" s="79">
        <f>IF(B8&lt;$I$5,E8,0)</f>
        <v>24459.58</v>
      </c>
      <c r="J8" s="76">
        <f>IF(B8&gt;$I$5,0,IF(($I$5-B8)/30.4375&gt;(D8*12),(D8*12),($I$5-B8)/30.4375))</f>
        <v>180</v>
      </c>
      <c r="K8" s="79">
        <f>IF(H8*J8&gt;I8,-I8,-H8*J8)</f>
        <v>-22014.58</v>
      </c>
      <c r="L8" s="101">
        <f>+I8+K8</f>
        <v>2445</v>
      </c>
      <c r="M8" s="79">
        <f>IF(AND($I$5&lt;B8,B8&lt;$M$5+1),E8,0)</f>
        <v>0</v>
      </c>
      <c r="N8" s="79">
        <f>IF(AND($I$5&lt;C8,C8&lt;$M$5+1),-E8,0)</f>
        <v>0</v>
      </c>
      <c r="O8" s="79">
        <f>+I8+M8+N8</f>
        <v>24459.58</v>
      </c>
      <c r="P8" s="72"/>
      <c r="Q8" s="79">
        <f>-H8*P8</f>
        <v>0</v>
      </c>
      <c r="R8" s="79">
        <f>IF(O8=0,0,K8+Q8)</f>
        <v>-22014.58</v>
      </c>
      <c r="S8" s="101">
        <f>+O8+R8</f>
        <v>2445</v>
      </c>
      <c r="T8" s="79">
        <f>IF(AND($M$5&lt;B8,J8&lt;$T$5+1),E8,0)</f>
        <v>0</v>
      </c>
      <c r="U8" s="79">
        <f>IF(AND($M$5&lt;C8,C8&lt;$T$5+1),-E8,0)</f>
        <v>0</v>
      </c>
      <c r="V8" s="79">
        <f>+O8+T8+U8</f>
        <v>24459.58</v>
      </c>
      <c r="W8" s="72"/>
      <c r="X8" s="79">
        <f>-H8*W8</f>
        <v>0</v>
      </c>
      <c r="Y8" s="79">
        <f>IF(V8=0,0,R8+X8)</f>
        <v>-22014.58</v>
      </c>
      <c r="Z8" s="126">
        <f>+V8+Y8</f>
        <v>2445</v>
      </c>
      <c r="AA8" s="154" t="str">
        <f>IF(J8+P8+W8&lt;((D8*12)+1),"OK","ERROR")</f>
        <v>OK</v>
      </c>
    </row>
    <row r="9" spans="1:27" ht="15" customHeight="1">
      <c r="A9" s="161" t="s">
        <v>206</v>
      </c>
      <c r="B9" s="174">
        <v>32933</v>
      </c>
      <c r="C9" s="99"/>
      <c r="D9" s="72">
        <v>15</v>
      </c>
      <c r="E9" s="175">
        <v>6000</v>
      </c>
      <c r="F9" s="81">
        <v>600</v>
      </c>
      <c r="G9" s="79">
        <f aca="true" t="shared" si="0" ref="G9:G38">+E9-F9</f>
        <v>5400</v>
      </c>
      <c r="H9" s="101">
        <f aca="true" t="shared" si="1" ref="H9:H38">+(E9-F9)/(D9*12)</f>
        <v>30</v>
      </c>
      <c r="I9" s="79">
        <f aca="true" t="shared" si="2" ref="I9:I38">IF(B9&lt;$I$5,E9,0)</f>
        <v>6000</v>
      </c>
      <c r="J9" s="76">
        <f aca="true" t="shared" si="3" ref="J9:J38">IF(B9&gt;$I$5,0,IF(($I$5-B9)/30.4375&gt;(D9*12),(D9*12),($I$5-B9)/30.4375))</f>
        <v>180</v>
      </c>
      <c r="K9" s="79">
        <f aca="true" t="shared" si="4" ref="K9:K38">IF(H9*J9&gt;I9,-I9,-H9*J9)</f>
        <v>-5400</v>
      </c>
      <c r="L9" s="101">
        <f aca="true" t="shared" si="5" ref="L9:L38">+I9+K9</f>
        <v>600</v>
      </c>
      <c r="M9" s="79">
        <f aca="true" t="shared" si="6" ref="M9:M38">IF(AND($I$5&lt;B9,B9&lt;$M$5+1),E9,0)</f>
        <v>0</v>
      </c>
      <c r="N9" s="79">
        <f aca="true" t="shared" si="7" ref="N9:N38">IF(AND($I$5&lt;C9,C9&lt;$M$5+1),-E9,0)</f>
        <v>0</v>
      </c>
      <c r="O9" s="79">
        <f aca="true" t="shared" si="8" ref="O9:O38">+I9+M9+N9</f>
        <v>6000</v>
      </c>
      <c r="P9" s="72"/>
      <c r="Q9" s="79">
        <f aca="true" t="shared" si="9" ref="Q9:Q38">-H9*P9</f>
        <v>0</v>
      </c>
      <c r="R9" s="79">
        <f aca="true" t="shared" si="10" ref="R9:R38">IF(O9=0,0,K9+Q9)</f>
        <v>-5400</v>
      </c>
      <c r="S9" s="101">
        <f aca="true" t="shared" si="11" ref="S9:S38">+O9+R9</f>
        <v>600</v>
      </c>
      <c r="T9" s="79">
        <f aca="true" t="shared" si="12" ref="T9:T38">IF(AND($M$5&lt;B9,J9&lt;$T$5+1),E9,0)</f>
        <v>0</v>
      </c>
      <c r="U9" s="79">
        <f aca="true" t="shared" si="13" ref="U9:U38">IF(AND($M$5&lt;C9,C9&lt;$T$5+1),-E9,0)</f>
        <v>0</v>
      </c>
      <c r="V9" s="79">
        <f aca="true" t="shared" si="14" ref="V9:V38">+O9+T9+U9</f>
        <v>6000</v>
      </c>
      <c r="W9" s="72"/>
      <c r="X9" s="79">
        <f aca="true" t="shared" si="15" ref="X9:X38">-H9*W9</f>
        <v>0</v>
      </c>
      <c r="Y9" s="79">
        <f aca="true" t="shared" si="16" ref="Y9:Y38">IF(V9=0,0,R9+X9)</f>
        <v>-5400</v>
      </c>
      <c r="Z9" s="126">
        <f aca="true" t="shared" si="17" ref="Z9:Z38">+V9+Y9</f>
        <v>600</v>
      </c>
      <c r="AA9" s="154" t="str">
        <f aca="true" t="shared" si="18" ref="AA9:AA38">IF(J9+P9+W9&lt;((D9*12)+1),"OK","ERROR")</f>
        <v>OK</v>
      </c>
    </row>
    <row r="10" spans="1:27" ht="15" customHeight="1">
      <c r="A10" s="161" t="s">
        <v>207</v>
      </c>
      <c r="B10" s="174">
        <v>35582</v>
      </c>
      <c r="C10" s="100"/>
      <c r="D10" s="72">
        <v>15</v>
      </c>
      <c r="E10" s="175">
        <v>65396.1</v>
      </c>
      <c r="F10" s="81">
        <v>6539</v>
      </c>
      <c r="G10" s="79">
        <f t="shared" si="0"/>
        <v>58857.1</v>
      </c>
      <c r="H10" s="101">
        <f t="shared" si="1"/>
        <v>326.9838888888889</v>
      </c>
      <c r="I10" s="79">
        <f t="shared" si="2"/>
        <v>65396.1</v>
      </c>
      <c r="J10" s="76">
        <f t="shared" si="3"/>
        <v>127.01437371663245</v>
      </c>
      <c r="K10" s="79">
        <f t="shared" si="4"/>
        <v>-41531.653862651154</v>
      </c>
      <c r="L10" s="101">
        <f t="shared" si="5"/>
        <v>23864.446137348845</v>
      </c>
      <c r="M10" s="79">
        <f t="shared" si="6"/>
        <v>0</v>
      </c>
      <c r="N10" s="79">
        <f t="shared" si="7"/>
        <v>0</v>
      </c>
      <c r="O10" s="79">
        <f t="shared" si="8"/>
        <v>65396.1</v>
      </c>
      <c r="P10" s="72">
        <v>12</v>
      </c>
      <c r="Q10" s="79">
        <f t="shared" si="9"/>
        <v>-3923.8066666666664</v>
      </c>
      <c r="R10" s="79">
        <f t="shared" si="10"/>
        <v>-45455.46052931782</v>
      </c>
      <c r="S10" s="101">
        <f t="shared" si="11"/>
        <v>19940.63947068218</v>
      </c>
      <c r="T10" s="79">
        <f t="shared" si="12"/>
        <v>0</v>
      </c>
      <c r="U10" s="79">
        <f t="shared" si="13"/>
        <v>0</v>
      </c>
      <c r="V10" s="79">
        <f t="shared" si="14"/>
        <v>65396.1</v>
      </c>
      <c r="W10" s="72">
        <v>12</v>
      </c>
      <c r="X10" s="79">
        <f t="shared" si="15"/>
        <v>-3923.8066666666664</v>
      </c>
      <c r="Y10" s="79">
        <f t="shared" si="16"/>
        <v>-49379.26719598448</v>
      </c>
      <c r="Z10" s="126">
        <f t="shared" si="17"/>
        <v>16016.832804015517</v>
      </c>
      <c r="AA10" s="154" t="str">
        <f t="shared" si="18"/>
        <v>OK</v>
      </c>
    </row>
    <row r="11" spans="1:31" s="66" customFormat="1" ht="13.5" customHeight="1">
      <c r="A11" s="161" t="s">
        <v>208</v>
      </c>
      <c r="B11" s="174">
        <v>37317</v>
      </c>
      <c r="C11" s="100"/>
      <c r="D11" s="72">
        <v>15</v>
      </c>
      <c r="E11" s="175">
        <v>3007.98</v>
      </c>
      <c r="F11" s="81">
        <v>300</v>
      </c>
      <c r="G11" s="79">
        <f t="shared" si="0"/>
        <v>2707.98</v>
      </c>
      <c r="H11" s="101">
        <f t="shared" si="1"/>
        <v>15.044333333333334</v>
      </c>
      <c r="I11" s="79">
        <f t="shared" si="2"/>
        <v>3007.98</v>
      </c>
      <c r="J11" s="76">
        <f t="shared" si="3"/>
        <v>70.01232032854209</v>
      </c>
      <c r="K11" s="79">
        <f t="shared" si="4"/>
        <v>-1053.2886844626967</v>
      </c>
      <c r="L11" s="101">
        <f t="shared" si="5"/>
        <v>1954.6913155373034</v>
      </c>
      <c r="M11" s="79">
        <f t="shared" si="6"/>
        <v>0</v>
      </c>
      <c r="N11" s="79">
        <f t="shared" si="7"/>
        <v>0</v>
      </c>
      <c r="O11" s="79">
        <f t="shared" si="8"/>
        <v>3007.98</v>
      </c>
      <c r="P11" s="72">
        <v>12</v>
      </c>
      <c r="Q11" s="79">
        <f t="shared" si="9"/>
        <v>-180.532</v>
      </c>
      <c r="R11" s="79">
        <f t="shared" si="10"/>
        <v>-1233.8206844626966</v>
      </c>
      <c r="S11" s="101">
        <f t="shared" si="11"/>
        <v>1774.1593155373034</v>
      </c>
      <c r="T11" s="79">
        <f t="shared" si="12"/>
        <v>0</v>
      </c>
      <c r="U11" s="79">
        <f t="shared" si="13"/>
        <v>0</v>
      </c>
      <c r="V11" s="79">
        <f t="shared" si="14"/>
        <v>3007.98</v>
      </c>
      <c r="W11" s="72">
        <v>12</v>
      </c>
      <c r="X11" s="79">
        <f t="shared" si="15"/>
        <v>-180.532</v>
      </c>
      <c r="Y11" s="79">
        <f t="shared" si="16"/>
        <v>-1414.3526844626965</v>
      </c>
      <c r="Z11" s="126">
        <f t="shared" si="17"/>
        <v>1593.6273155373035</v>
      </c>
      <c r="AA11" s="154" t="str">
        <f t="shared" si="18"/>
        <v>OK</v>
      </c>
      <c r="AB11" s="60"/>
      <c r="AC11" s="60"/>
      <c r="AD11" s="60"/>
      <c r="AE11" s="60"/>
    </row>
    <row r="12" spans="1:31" s="66" customFormat="1" ht="13.5" customHeight="1">
      <c r="A12" s="161" t="s">
        <v>209</v>
      </c>
      <c r="B12" s="174">
        <v>32509</v>
      </c>
      <c r="C12" s="100"/>
      <c r="D12" s="72">
        <v>15</v>
      </c>
      <c r="E12" s="175">
        <v>4000</v>
      </c>
      <c r="F12" s="81">
        <v>400</v>
      </c>
      <c r="G12" s="79">
        <f t="shared" si="0"/>
        <v>3600</v>
      </c>
      <c r="H12" s="101">
        <f t="shared" si="1"/>
        <v>20</v>
      </c>
      <c r="I12" s="79">
        <f t="shared" si="2"/>
        <v>4000</v>
      </c>
      <c r="J12" s="76">
        <f t="shared" si="3"/>
        <v>180</v>
      </c>
      <c r="K12" s="79">
        <f t="shared" si="4"/>
        <v>-3600</v>
      </c>
      <c r="L12" s="101">
        <f t="shared" si="5"/>
        <v>400</v>
      </c>
      <c r="M12" s="79">
        <f t="shared" si="6"/>
        <v>0</v>
      </c>
      <c r="N12" s="79">
        <f t="shared" si="7"/>
        <v>0</v>
      </c>
      <c r="O12" s="79">
        <f t="shared" si="8"/>
        <v>4000</v>
      </c>
      <c r="P12" s="72"/>
      <c r="Q12" s="79">
        <f t="shared" si="9"/>
        <v>0</v>
      </c>
      <c r="R12" s="79">
        <f t="shared" si="10"/>
        <v>-3600</v>
      </c>
      <c r="S12" s="101">
        <f t="shared" si="11"/>
        <v>400</v>
      </c>
      <c r="T12" s="79">
        <f t="shared" si="12"/>
        <v>0</v>
      </c>
      <c r="U12" s="79">
        <f t="shared" si="13"/>
        <v>0</v>
      </c>
      <c r="V12" s="79">
        <f t="shared" si="14"/>
        <v>4000</v>
      </c>
      <c r="W12" s="72"/>
      <c r="X12" s="79">
        <f t="shared" si="15"/>
        <v>0</v>
      </c>
      <c r="Y12" s="79">
        <f t="shared" si="16"/>
        <v>-3600</v>
      </c>
      <c r="Z12" s="126">
        <f t="shared" si="17"/>
        <v>400</v>
      </c>
      <c r="AA12" s="154" t="str">
        <f t="shared" si="18"/>
        <v>OK</v>
      </c>
      <c r="AB12" s="60"/>
      <c r="AC12" s="64"/>
      <c r="AD12" s="60"/>
      <c r="AE12" s="64"/>
    </row>
    <row r="13" spans="1:34" ht="12.75" customHeight="1">
      <c r="A13" s="161"/>
      <c r="B13" s="174"/>
      <c r="C13" s="100"/>
      <c r="D13" s="72">
        <v>15</v>
      </c>
      <c r="E13" s="175"/>
      <c r="F13" s="81"/>
      <c r="G13" s="79">
        <f t="shared" si="0"/>
        <v>0</v>
      </c>
      <c r="H13" s="101">
        <f t="shared" si="1"/>
        <v>0</v>
      </c>
      <c r="I13" s="79">
        <f t="shared" si="2"/>
        <v>0</v>
      </c>
      <c r="J13" s="76">
        <f t="shared" si="3"/>
        <v>180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76" t="s">
        <v>210</v>
      </c>
      <c r="B14" s="177" t="s">
        <v>59</v>
      </c>
      <c r="C14" s="178"/>
      <c r="D14" s="179"/>
      <c r="E14" s="180"/>
      <c r="F14" s="180"/>
      <c r="G14" s="79"/>
      <c r="H14" s="101"/>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61" t="s">
        <v>211</v>
      </c>
      <c r="B15" s="181">
        <v>35431</v>
      </c>
      <c r="C15" s="99"/>
      <c r="D15" s="72">
        <v>20</v>
      </c>
      <c r="E15" s="182">
        <v>49624.5</v>
      </c>
      <c r="F15" s="81">
        <v>4900</v>
      </c>
      <c r="G15" s="79">
        <f t="shared" si="0"/>
        <v>44724.5</v>
      </c>
      <c r="H15" s="101">
        <f t="shared" si="1"/>
        <v>186.35208333333333</v>
      </c>
      <c r="I15" s="79">
        <f t="shared" si="2"/>
        <v>49624.5</v>
      </c>
      <c r="J15" s="76">
        <f t="shared" si="3"/>
        <v>131.97535934291582</v>
      </c>
      <c r="K15" s="79">
        <f t="shared" si="4"/>
        <v>-24593.88316221766</v>
      </c>
      <c r="L15" s="101">
        <f t="shared" si="5"/>
        <v>25030.61683778234</v>
      </c>
      <c r="M15" s="79">
        <f t="shared" si="6"/>
        <v>0</v>
      </c>
      <c r="N15" s="79">
        <f t="shared" si="7"/>
        <v>0</v>
      </c>
      <c r="O15" s="79">
        <f t="shared" si="8"/>
        <v>49624.5</v>
      </c>
      <c r="P15" s="72">
        <v>12</v>
      </c>
      <c r="Q15" s="79">
        <f t="shared" si="9"/>
        <v>-2236.225</v>
      </c>
      <c r="R15" s="79">
        <f t="shared" si="10"/>
        <v>-26830.108162217657</v>
      </c>
      <c r="S15" s="101">
        <f t="shared" si="11"/>
        <v>22794.391837782343</v>
      </c>
      <c r="T15" s="79">
        <f t="shared" si="12"/>
        <v>0</v>
      </c>
      <c r="U15" s="79">
        <f t="shared" si="13"/>
        <v>0</v>
      </c>
      <c r="V15" s="79">
        <f t="shared" si="14"/>
        <v>49624.5</v>
      </c>
      <c r="W15" s="72">
        <v>12</v>
      </c>
      <c r="X15" s="79">
        <f t="shared" si="15"/>
        <v>-2236.225</v>
      </c>
      <c r="Y15" s="79">
        <f t="shared" si="16"/>
        <v>-29066.333162217656</v>
      </c>
      <c r="Z15" s="126">
        <f t="shared" si="17"/>
        <v>20558.166837782344</v>
      </c>
      <c r="AA15" s="154" t="str">
        <f t="shared" si="18"/>
        <v>OK</v>
      </c>
      <c r="AF15" s="5"/>
      <c r="AG15" s="5"/>
      <c r="AH15" s="5"/>
    </row>
    <row r="16" spans="1:34" ht="13.5" customHeight="1">
      <c r="A16" s="161" t="s">
        <v>212</v>
      </c>
      <c r="B16" s="181">
        <v>37257</v>
      </c>
      <c r="C16" s="73"/>
      <c r="D16" s="72">
        <v>20</v>
      </c>
      <c r="E16" s="182">
        <v>36840</v>
      </c>
      <c r="F16" s="81">
        <v>3700</v>
      </c>
      <c r="G16" s="79">
        <f t="shared" si="0"/>
        <v>33140</v>
      </c>
      <c r="H16" s="101">
        <f t="shared" si="1"/>
        <v>138.08333333333334</v>
      </c>
      <c r="I16" s="79">
        <f t="shared" si="2"/>
        <v>36840</v>
      </c>
      <c r="J16" s="76">
        <f t="shared" si="3"/>
        <v>71.9835728952772</v>
      </c>
      <c r="K16" s="79">
        <f t="shared" si="4"/>
        <v>-9939.73169062286</v>
      </c>
      <c r="L16" s="101">
        <f t="shared" si="5"/>
        <v>26900.26830937714</v>
      </c>
      <c r="M16" s="79">
        <f t="shared" si="6"/>
        <v>0</v>
      </c>
      <c r="N16" s="79">
        <f t="shared" si="7"/>
        <v>0</v>
      </c>
      <c r="O16" s="79">
        <f t="shared" si="8"/>
        <v>36840</v>
      </c>
      <c r="P16" s="72">
        <v>12</v>
      </c>
      <c r="Q16" s="79">
        <f t="shared" si="9"/>
        <v>-1657</v>
      </c>
      <c r="R16" s="79">
        <f t="shared" si="10"/>
        <v>-11596.73169062286</v>
      </c>
      <c r="S16" s="101">
        <f t="shared" si="11"/>
        <v>25243.26830937714</v>
      </c>
      <c r="T16" s="79">
        <f t="shared" si="12"/>
        <v>0</v>
      </c>
      <c r="U16" s="79">
        <f t="shared" si="13"/>
        <v>0</v>
      </c>
      <c r="V16" s="79">
        <f t="shared" si="14"/>
        <v>36840</v>
      </c>
      <c r="W16" s="72">
        <v>12</v>
      </c>
      <c r="X16" s="79">
        <f t="shared" si="15"/>
        <v>-1657</v>
      </c>
      <c r="Y16" s="79">
        <f t="shared" si="16"/>
        <v>-13253.73169062286</v>
      </c>
      <c r="Z16" s="126">
        <f t="shared" si="17"/>
        <v>23586.26830937714</v>
      </c>
      <c r="AA16" s="154" t="str">
        <f t="shared" si="18"/>
        <v>OK</v>
      </c>
      <c r="AF16" s="5"/>
      <c r="AG16" s="5"/>
      <c r="AH16" s="5"/>
    </row>
    <row r="17" spans="1:34" ht="13.5" customHeight="1">
      <c r="A17" s="161" t="s">
        <v>213</v>
      </c>
      <c r="B17" s="181">
        <v>37622</v>
      </c>
      <c r="C17" s="100"/>
      <c r="D17" s="72">
        <v>20</v>
      </c>
      <c r="E17" s="182">
        <v>14326.77</v>
      </c>
      <c r="F17" s="81">
        <v>4300</v>
      </c>
      <c r="G17" s="79">
        <f t="shared" si="0"/>
        <v>10026.77</v>
      </c>
      <c r="H17" s="101">
        <f t="shared" si="1"/>
        <v>41.77820833333333</v>
      </c>
      <c r="I17" s="79">
        <f t="shared" si="2"/>
        <v>14326.77</v>
      </c>
      <c r="J17" s="76">
        <f t="shared" si="3"/>
        <v>59.9917864476386</v>
      </c>
      <c r="K17" s="79">
        <f t="shared" si="4"/>
        <v>-2506.3493524982887</v>
      </c>
      <c r="L17" s="101">
        <f t="shared" si="5"/>
        <v>11820.420647501713</v>
      </c>
      <c r="M17" s="79">
        <f t="shared" si="6"/>
        <v>0</v>
      </c>
      <c r="N17" s="79">
        <f t="shared" si="7"/>
        <v>0</v>
      </c>
      <c r="O17" s="79">
        <f t="shared" si="8"/>
        <v>14326.77</v>
      </c>
      <c r="P17" s="72">
        <v>12</v>
      </c>
      <c r="Q17" s="79">
        <f t="shared" si="9"/>
        <v>-501.33849999999995</v>
      </c>
      <c r="R17" s="79">
        <f t="shared" si="10"/>
        <v>-3007.6878524982885</v>
      </c>
      <c r="S17" s="101">
        <f t="shared" si="11"/>
        <v>11319.082147501711</v>
      </c>
      <c r="T17" s="79">
        <f t="shared" si="12"/>
        <v>0</v>
      </c>
      <c r="U17" s="79">
        <f t="shared" si="13"/>
        <v>0</v>
      </c>
      <c r="V17" s="79">
        <f t="shared" si="14"/>
        <v>14326.77</v>
      </c>
      <c r="W17" s="72">
        <v>12</v>
      </c>
      <c r="X17" s="79">
        <f t="shared" si="15"/>
        <v>-501.33849999999995</v>
      </c>
      <c r="Y17" s="79">
        <f t="shared" si="16"/>
        <v>-3509.0263524982884</v>
      </c>
      <c r="Z17" s="126">
        <f t="shared" si="17"/>
        <v>10817.743647501713</v>
      </c>
      <c r="AA17" s="154" t="str">
        <f t="shared" si="18"/>
        <v>OK</v>
      </c>
      <c r="AF17" s="5"/>
      <c r="AG17" s="5"/>
      <c r="AH17" s="5"/>
    </row>
    <row r="18" spans="1:34" ht="13.5" customHeight="1">
      <c r="A18" s="116"/>
      <c r="B18" s="98" t="s">
        <v>59</v>
      </c>
      <c r="C18" s="99"/>
      <c r="D18" s="72">
        <v>15</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15</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15</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15</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15</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15</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15</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15</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15</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15</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15</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15</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15</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15</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15</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15</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15</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15</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15</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15</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15</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203654.92999999996</v>
      </c>
      <c r="J40" s="79"/>
      <c r="K40" s="80">
        <f>SUM(K8:K38)</f>
        <v>-110639.48675245266</v>
      </c>
      <c r="L40" s="104">
        <f>SUM(L8:L38)</f>
        <v>93015.44324754734</v>
      </c>
      <c r="M40" s="80">
        <f>SUM(M8:M38)</f>
        <v>0</v>
      </c>
      <c r="N40" s="80">
        <f>SUM(N8:N38)</f>
        <v>0</v>
      </c>
      <c r="O40" s="80">
        <f aca="true" t="shared" si="19" ref="O40:U40">SUM(O8:O38)</f>
        <v>203654.92999999996</v>
      </c>
      <c r="P40" s="79"/>
      <c r="Q40" s="80">
        <f t="shared" si="19"/>
        <v>-8498.902166666667</v>
      </c>
      <c r="R40" s="80">
        <f t="shared" si="19"/>
        <v>-119138.38891911933</v>
      </c>
      <c r="S40" s="104">
        <f t="shared" si="19"/>
        <v>84516.54108088069</v>
      </c>
      <c r="T40" s="80">
        <f t="shared" si="19"/>
        <v>0</v>
      </c>
      <c r="U40" s="80">
        <f t="shared" si="19"/>
        <v>0</v>
      </c>
      <c r="V40" s="80">
        <f>SUM(V8:V38)</f>
        <v>203654.92999999996</v>
      </c>
      <c r="W40" s="79"/>
      <c r="X40" s="80">
        <f>SUM(X8:X38)</f>
        <v>-8498.902166666667</v>
      </c>
      <c r="Y40" s="80">
        <f>SUM(Y8:Y38)</f>
        <v>-127637.29108578597</v>
      </c>
      <c r="Z40" s="128">
        <f>SUM(Z8:Z38)</f>
        <v>76017.63891421401</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4" r:id="rId1"/>
</worksheet>
</file>

<file path=xl/worksheets/sheet21.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79</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t="s">
        <v>183</v>
      </c>
      <c r="B8" s="98">
        <v>36250</v>
      </c>
      <c r="C8" s="135"/>
      <c r="D8" s="72">
        <v>10</v>
      </c>
      <c r="E8" s="137">
        <v>1926</v>
      </c>
      <c r="F8" s="81">
        <v>0</v>
      </c>
      <c r="G8" s="79">
        <f>+E8-F8</f>
        <v>1926</v>
      </c>
      <c r="H8" s="101">
        <f>+(E8-F8)/(D8*12)</f>
        <v>16.05</v>
      </c>
      <c r="I8" s="79">
        <f>IF(B8&lt;$I$5,E8,0)</f>
        <v>1926</v>
      </c>
      <c r="J8" s="76">
        <f>IF(B8&gt;$I$5,0,IF(($I$5-B8)/30.4375&gt;(D8*12),(D8*12),($I$5-B8)/30.4375))</f>
        <v>105.06776180698152</v>
      </c>
      <c r="K8" s="79">
        <f>IF(H8*J8&gt;I8,-I8,-H8*J8)</f>
        <v>-1686.3375770020534</v>
      </c>
      <c r="L8" s="101">
        <f>+I8+K8</f>
        <v>239.66242299794658</v>
      </c>
      <c r="M8" s="79">
        <f>IF(AND($I$5&lt;B8,B8&lt;$M$5+1),E8,0)</f>
        <v>0</v>
      </c>
      <c r="N8" s="79">
        <f>IF(AND($I$5&lt;C8,C8&lt;$M$5+1),-E8,0)</f>
        <v>0</v>
      </c>
      <c r="O8" s="79">
        <f>+I8+M8+N8</f>
        <v>1926</v>
      </c>
      <c r="P8" s="72">
        <v>12</v>
      </c>
      <c r="Q8" s="79">
        <f>-H8*P8</f>
        <v>-192.60000000000002</v>
      </c>
      <c r="R8" s="79">
        <f>IF(O8=0,0,K8+Q8)</f>
        <v>-1878.9375770020533</v>
      </c>
      <c r="S8" s="101">
        <f>+O8+R8</f>
        <v>47.06242299794667</v>
      </c>
      <c r="T8" s="79">
        <f>IF(AND($M$5&lt;B8,J8&lt;$T$5+1),E8,0)</f>
        <v>0</v>
      </c>
      <c r="U8" s="79">
        <f>IF(AND($M$5&lt;C8,C8&lt;$T$5+1),-E8,0)</f>
        <v>0</v>
      </c>
      <c r="V8" s="79">
        <f>+O8+T8+U8</f>
        <v>1926</v>
      </c>
      <c r="W8" s="72">
        <v>3</v>
      </c>
      <c r="X8" s="79">
        <f>-H8*W8</f>
        <v>-48.150000000000006</v>
      </c>
      <c r="Y8" s="79">
        <f>IF(V8=0,0,R8+X8)</f>
        <v>-1927.0875770020534</v>
      </c>
      <c r="Z8" s="126">
        <f>+V8+Y8</f>
        <v>-1.087577002053422</v>
      </c>
      <c r="AA8" s="154" t="str">
        <f>IF(J8+P8+W8&lt;((D8*12)+1),"OK","ERROR")</f>
        <v>OK</v>
      </c>
    </row>
    <row r="9" spans="1:27" ht="15" customHeight="1">
      <c r="A9" s="115" t="s">
        <v>184</v>
      </c>
      <c r="B9" s="98">
        <v>36433</v>
      </c>
      <c r="C9" s="135"/>
      <c r="D9" s="72">
        <v>10</v>
      </c>
      <c r="E9" s="137">
        <v>3204.65</v>
      </c>
      <c r="F9" s="81">
        <v>0</v>
      </c>
      <c r="G9" s="79">
        <f aca="true" t="shared" si="0" ref="G9:G38">+E9-F9</f>
        <v>3204.65</v>
      </c>
      <c r="H9" s="101">
        <f aca="true" t="shared" si="1" ref="H9:H38">+(E9-F9)/(D9*12)</f>
        <v>26.705416666666668</v>
      </c>
      <c r="I9" s="79">
        <f aca="true" t="shared" si="2" ref="I9:I38">IF(B9&lt;$I$5,E9,0)</f>
        <v>3204.65</v>
      </c>
      <c r="J9" s="76">
        <f aca="true" t="shared" si="3" ref="J9:J38">IF(B9&gt;$I$5,0,IF(($I$5-B9)/30.4375&gt;(D9*12),(D9*12),($I$5-B9)/30.4375))</f>
        <v>99.05544147843942</v>
      </c>
      <c r="K9" s="79">
        <f aca="true" t="shared" si="4" ref="K9:K38">IF(H9*J9&gt;I9,-I9,-H9*J9)</f>
        <v>-2645.316837782341</v>
      </c>
      <c r="L9" s="101">
        <f aca="true" t="shared" si="5" ref="L9:L38">+I9+K9</f>
        <v>559.3331622176593</v>
      </c>
      <c r="M9" s="79">
        <f aca="true" t="shared" si="6" ref="M9:M38">IF(AND($I$5&lt;B9,B9&lt;$M$5+1),E9,0)</f>
        <v>0</v>
      </c>
      <c r="N9" s="79">
        <f aca="true" t="shared" si="7" ref="N9:N38">IF(AND($I$5&lt;C9,C9&lt;$M$5+1),-E9,0)</f>
        <v>0</v>
      </c>
      <c r="O9" s="79">
        <f aca="true" t="shared" si="8" ref="O9:O38">+I9+M9+N9</f>
        <v>3204.65</v>
      </c>
      <c r="P9" s="72">
        <v>12</v>
      </c>
      <c r="Q9" s="79">
        <f aca="true" t="shared" si="9" ref="Q9:Q38">-H9*P9</f>
        <v>-320.46500000000003</v>
      </c>
      <c r="R9" s="79">
        <f aca="true" t="shared" si="10" ref="R9:R38">IF(O9=0,0,K9+Q9)</f>
        <v>-2965.781837782341</v>
      </c>
      <c r="S9" s="101">
        <f aca="true" t="shared" si="11" ref="S9:S38">+O9+R9</f>
        <v>238.86816221765912</v>
      </c>
      <c r="T9" s="79">
        <f aca="true" t="shared" si="12" ref="T9:T38">IF(AND($M$5&lt;B9,J9&lt;$T$5+1),E9,0)</f>
        <v>0</v>
      </c>
      <c r="U9" s="79">
        <f aca="true" t="shared" si="13" ref="U9:U38">IF(AND($M$5&lt;C9,C9&lt;$T$5+1),-E9,0)</f>
        <v>0</v>
      </c>
      <c r="V9" s="79">
        <f aca="true" t="shared" si="14" ref="V9:V38">+O9+T9+U9</f>
        <v>3204.65</v>
      </c>
      <c r="W9" s="72">
        <v>9</v>
      </c>
      <c r="X9" s="79">
        <f aca="true" t="shared" si="15" ref="X9:X38">-H9*W9</f>
        <v>-240.34875000000002</v>
      </c>
      <c r="Y9" s="79">
        <f aca="true" t="shared" si="16" ref="Y9:Y38">IF(V9=0,0,R9+X9)</f>
        <v>-3206.130587782341</v>
      </c>
      <c r="Z9" s="126">
        <f aca="true" t="shared" si="17" ref="Z9:Z38">+V9+Y9</f>
        <v>-1.48058778234099</v>
      </c>
      <c r="AA9" s="154" t="str">
        <f aca="true" t="shared" si="18" ref="AA9:AA38">IF(J9+P9+W9&lt;((D9*12)+1),"OK","ERROR")</f>
        <v>OK</v>
      </c>
    </row>
    <row r="10" spans="1:27" ht="15" customHeight="1">
      <c r="A10" s="115" t="s">
        <v>185</v>
      </c>
      <c r="B10" s="98">
        <v>37437</v>
      </c>
      <c r="C10" s="135"/>
      <c r="D10" s="72">
        <v>10</v>
      </c>
      <c r="E10" s="137">
        <v>5153.43</v>
      </c>
      <c r="F10" s="81">
        <v>0</v>
      </c>
      <c r="G10" s="79">
        <f t="shared" si="0"/>
        <v>5153.43</v>
      </c>
      <c r="H10" s="101">
        <f t="shared" si="1"/>
        <v>42.94525</v>
      </c>
      <c r="I10" s="79">
        <f t="shared" si="2"/>
        <v>5153.43</v>
      </c>
      <c r="J10" s="76">
        <f t="shared" si="3"/>
        <v>66.06981519507187</v>
      </c>
      <c r="K10" s="79">
        <f t="shared" si="4"/>
        <v>-2837.38473100616</v>
      </c>
      <c r="L10" s="101">
        <f t="shared" si="5"/>
        <v>2316.04526899384</v>
      </c>
      <c r="M10" s="79">
        <f t="shared" si="6"/>
        <v>0</v>
      </c>
      <c r="N10" s="79">
        <f t="shared" si="7"/>
        <v>0</v>
      </c>
      <c r="O10" s="79">
        <f t="shared" si="8"/>
        <v>5153.43</v>
      </c>
      <c r="P10" s="72">
        <v>12</v>
      </c>
      <c r="Q10" s="79">
        <f t="shared" si="9"/>
        <v>-515.3430000000001</v>
      </c>
      <c r="R10" s="79">
        <f t="shared" si="10"/>
        <v>-3352.72773100616</v>
      </c>
      <c r="S10" s="101">
        <f t="shared" si="11"/>
        <v>1800.7022689938403</v>
      </c>
      <c r="T10" s="79">
        <f t="shared" si="12"/>
        <v>0</v>
      </c>
      <c r="U10" s="79">
        <f t="shared" si="13"/>
        <v>0</v>
      </c>
      <c r="V10" s="79">
        <f t="shared" si="14"/>
        <v>5153.43</v>
      </c>
      <c r="W10" s="72">
        <v>12</v>
      </c>
      <c r="X10" s="79">
        <f t="shared" si="15"/>
        <v>-515.3430000000001</v>
      </c>
      <c r="Y10" s="79">
        <f t="shared" si="16"/>
        <v>-3868.07073100616</v>
      </c>
      <c r="Z10" s="126">
        <f t="shared" si="17"/>
        <v>1285.3592689938405</v>
      </c>
      <c r="AA10" s="154" t="str">
        <f t="shared" si="18"/>
        <v>OK</v>
      </c>
    </row>
    <row r="11" spans="1:31" s="66" customFormat="1" ht="13.5" customHeight="1">
      <c r="A11" s="115" t="s">
        <v>186</v>
      </c>
      <c r="B11" s="98">
        <v>37376</v>
      </c>
      <c r="C11" s="135" t="s">
        <v>59</v>
      </c>
      <c r="D11" s="72">
        <v>10</v>
      </c>
      <c r="E11" s="137">
        <v>6800.92</v>
      </c>
      <c r="F11" s="81">
        <v>0</v>
      </c>
      <c r="G11" s="79">
        <f t="shared" si="0"/>
        <v>6800.92</v>
      </c>
      <c r="H11" s="101">
        <f t="shared" si="1"/>
        <v>56.67433333333334</v>
      </c>
      <c r="I11" s="79">
        <f t="shared" si="2"/>
        <v>6800.92</v>
      </c>
      <c r="J11" s="76">
        <f t="shared" si="3"/>
        <v>68.07392197125257</v>
      </c>
      <c r="K11" s="79">
        <f t="shared" si="4"/>
        <v>-3858.0441451060924</v>
      </c>
      <c r="L11" s="101">
        <f t="shared" si="5"/>
        <v>2942.8758548939077</v>
      </c>
      <c r="M11" s="79">
        <f t="shared" si="6"/>
        <v>0</v>
      </c>
      <c r="N11" s="79">
        <f t="shared" si="7"/>
        <v>0</v>
      </c>
      <c r="O11" s="79">
        <f t="shared" si="8"/>
        <v>6800.92</v>
      </c>
      <c r="P11" s="72">
        <v>12</v>
      </c>
      <c r="Q11" s="79">
        <f t="shared" si="9"/>
        <v>-680.0920000000001</v>
      </c>
      <c r="R11" s="79">
        <f t="shared" si="10"/>
        <v>-4538.136145106093</v>
      </c>
      <c r="S11" s="101">
        <f t="shared" si="11"/>
        <v>2262.783854893907</v>
      </c>
      <c r="T11" s="79">
        <f t="shared" si="12"/>
        <v>0</v>
      </c>
      <c r="U11" s="79">
        <f t="shared" si="13"/>
        <v>0</v>
      </c>
      <c r="V11" s="79">
        <f t="shared" si="14"/>
        <v>6800.92</v>
      </c>
      <c r="W11" s="72">
        <v>12</v>
      </c>
      <c r="X11" s="79">
        <f t="shared" si="15"/>
        <v>-680.0920000000001</v>
      </c>
      <c r="Y11" s="79">
        <f t="shared" si="16"/>
        <v>-5218.2281451060935</v>
      </c>
      <c r="Z11" s="126">
        <f t="shared" si="17"/>
        <v>1582.6918548939066</v>
      </c>
      <c r="AA11" s="154" t="str">
        <f t="shared" si="18"/>
        <v>OK</v>
      </c>
      <c r="AB11" s="60"/>
      <c r="AC11" s="60"/>
      <c r="AD11" s="60"/>
      <c r="AE11" s="60"/>
    </row>
    <row r="12" spans="1:31" s="66" customFormat="1" ht="13.5" customHeight="1">
      <c r="A12" s="115" t="s">
        <v>187</v>
      </c>
      <c r="B12" s="156">
        <v>37376</v>
      </c>
      <c r="C12" s="135" t="s">
        <v>59</v>
      </c>
      <c r="D12" s="72">
        <v>10</v>
      </c>
      <c r="E12" s="137">
        <v>5162.75</v>
      </c>
      <c r="F12" s="81">
        <v>0</v>
      </c>
      <c r="G12" s="79">
        <f t="shared" si="0"/>
        <v>5162.75</v>
      </c>
      <c r="H12" s="101">
        <f t="shared" si="1"/>
        <v>43.02291666666667</v>
      </c>
      <c r="I12" s="79">
        <f t="shared" si="2"/>
        <v>5162.75</v>
      </c>
      <c r="J12" s="76">
        <f t="shared" si="3"/>
        <v>68.07392197125257</v>
      </c>
      <c r="K12" s="79">
        <f t="shared" si="4"/>
        <v>-2928.7386721423686</v>
      </c>
      <c r="L12" s="101">
        <f t="shared" si="5"/>
        <v>2234.0113278576314</v>
      </c>
      <c r="M12" s="79">
        <f t="shared" si="6"/>
        <v>0</v>
      </c>
      <c r="N12" s="79">
        <f t="shared" si="7"/>
        <v>0</v>
      </c>
      <c r="O12" s="79">
        <f t="shared" si="8"/>
        <v>5162.75</v>
      </c>
      <c r="P12" s="72">
        <v>12</v>
      </c>
      <c r="Q12" s="79">
        <f t="shared" si="9"/>
        <v>-516.275</v>
      </c>
      <c r="R12" s="79">
        <f t="shared" si="10"/>
        <v>-3445.0136721423687</v>
      </c>
      <c r="S12" s="101">
        <f t="shared" si="11"/>
        <v>1717.7363278576313</v>
      </c>
      <c r="T12" s="79">
        <f t="shared" si="12"/>
        <v>0</v>
      </c>
      <c r="U12" s="79">
        <f t="shared" si="13"/>
        <v>0</v>
      </c>
      <c r="V12" s="79">
        <f t="shared" si="14"/>
        <v>5162.75</v>
      </c>
      <c r="W12" s="72">
        <v>12</v>
      </c>
      <c r="X12" s="79">
        <f t="shared" si="15"/>
        <v>-516.275</v>
      </c>
      <c r="Y12" s="79">
        <f t="shared" si="16"/>
        <v>-3961.288672142369</v>
      </c>
      <c r="Z12" s="126">
        <f t="shared" si="17"/>
        <v>1201.4613278576312</v>
      </c>
      <c r="AA12" s="154" t="str">
        <f t="shared" si="18"/>
        <v>OK</v>
      </c>
      <c r="AB12" s="60"/>
      <c r="AC12" s="64"/>
      <c r="AD12" s="60"/>
      <c r="AE12" s="64"/>
    </row>
    <row r="13" spans="1:34" ht="12.75" customHeight="1">
      <c r="A13" s="116" t="s">
        <v>188</v>
      </c>
      <c r="B13" s="156">
        <v>37376</v>
      </c>
      <c r="C13" s="99"/>
      <c r="D13" s="72">
        <v>10</v>
      </c>
      <c r="E13" s="137">
        <v>8346</v>
      </c>
      <c r="F13" s="81">
        <v>0</v>
      </c>
      <c r="G13" s="79">
        <f t="shared" si="0"/>
        <v>8346</v>
      </c>
      <c r="H13" s="101">
        <f t="shared" si="1"/>
        <v>69.55</v>
      </c>
      <c r="I13" s="79">
        <f t="shared" si="2"/>
        <v>8346</v>
      </c>
      <c r="J13" s="76">
        <f t="shared" si="3"/>
        <v>68.07392197125257</v>
      </c>
      <c r="K13" s="79">
        <f t="shared" si="4"/>
        <v>-4734.541273100616</v>
      </c>
      <c r="L13" s="101">
        <f t="shared" si="5"/>
        <v>3611.4587268993837</v>
      </c>
      <c r="M13" s="79">
        <f t="shared" si="6"/>
        <v>0</v>
      </c>
      <c r="N13" s="79">
        <f t="shared" si="7"/>
        <v>0</v>
      </c>
      <c r="O13" s="79">
        <f t="shared" si="8"/>
        <v>8346</v>
      </c>
      <c r="P13" s="72">
        <v>12</v>
      </c>
      <c r="Q13" s="79">
        <f t="shared" si="9"/>
        <v>-834.5999999999999</v>
      </c>
      <c r="R13" s="79">
        <f t="shared" si="10"/>
        <v>-5569.141273100617</v>
      </c>
      <c r="S13" s="101">
        <f t="shared" si="11"/>
        <v>2776.8587268993833</v>
      </c>
      <c r="T13" s="79">
        <f t="shared" si="12"/>
        <v>0</v>
      </c>
      <c r="U13" s="79">
        <f t="shared" si="13"/>
        <v>0</v>
      </c>
      <c r="V13" s="79">
        <f t="shared" si="14"/>
        <v>8346</v>
      </c>
      <c r="W13" s="72">
        <v>12</v>
      </c>
      <c r="X13" s="79">
        <f t="shared" si="15"/>
        <v>-834.5999999999999</v>
      </c>
      <c r="Y13" s="79">
        <f t="shared" si="16"/>
        <v>-6403.741273100617</v>
      </c>
      <c r="Z13" s="126">
        <f t="shared" si="17"/>
        <v>1942.258726899383</v>
      </c>
      <c r="AA13" s="154" t="str">
        <f t="shared" si="18"/>
        <v>OK</v>
      </c>
      <c r="AF13" s="5"/>
      <c r="AG13" s="5"/>
      <c r="AH13" s="5"/>
    </row>
    <row r="14" spans="1:34" ht="12.75" customHeight="1">
      <c r="A14" s="116" t="s">
        <v>189</v>
      </c>
      <c r="B14" s="135">
        <v>37376</v>
      </c>
      <c r="C14" s="99"/>
      <c r="D14" s="72">
        <v>10</v>
      </c>
      <c r="E14" s="137">
        <v>2255.56</v>
      </c>
      <c r="F14" s="81">
        <v>0</v>
      </c>
      <c r="G14" s="79">
        <f t="shared" si="0"/>
        <v>2255.56</v>
      </c>
      <c r="H14" s="101">
        <f t="shared" si="1"/>
        <v>18.796333333333333</v>
      </c>
      <c r="I14" s="79">
        <f t="shared" si="2"/>
        <v>2255.56</v>
      </c>
      <c r="J14" s="76">
        <f t="shared" si="3"/>
        <v>68.07392197125257</v>
      </c>
      <c r="K14" s="79">
        <f t="shared" si="4"/>
        <v>-1279.540128678987</v>
      </c>
      <c r="L14" s="101">
        <f t="shared" si="5"/>
        <v>976.0198713210129</v>
      </c>
      <c r="M14" s="79">
        <f t="shared" si="6"/>
        <v>0</v>
      </c>
      <c r="N14" s="79">
        <f t="shared" si="7"/>
        <v>0</v>
      </c>
      <c r="O14" s="79">
        <f t="shared" si="8"/>
        <v>2255.56</v>
      </c>
      <c r="P14" s="72">
        <v>12</v>
      </c>
      <c r="Q14" s="79">
        <f t="shared" si="9"/>
        <v>-225.55599999999998</v>
      </c>
      <c r="R14" s="79">
        <f t="shared" si="10"/>
        <v>-1505.096128678987</v>
      </c>
      <c r="S14" s="101">
        <f t="shared" si="11"/>
        <v>750.4638713210129</v>
      </c>
      <c r="T14" s="79">
        <f t="shared" si="12"/>
        <v>0</v>
      </c>
      <c r="U14" s="79">
        <f t="shared" si="13"/>
        <v>0</v>
      </c>
      <c r="V14" s="79">
        <f t="shared" si="14"/>
        <v>2255.56</v>
      </c>
      <c r="W14" s="72">
        <v>12</v>
      </c>
      <c r="X14" s="79">
        <f t="shared" si="15"/>
        <v>-225.55599999999998</v>
      </c>
      <c r="Y14" s="79">
        <f t="shared" si="16"/>
        <v>-1730.652128678987</v>
      </c>
      <c r="Z14" s="126">
        <f t="shared" si="17"/>
        <v>524.9078713210129</v>
      </c>
      <c r="AA14" s="154" t="str">
        <f t="shared" si="18"/>
        <v>OK</v>
      </c>
      <c r="AF14" s="5"/>
      <c r="AG14" s="5"/>
      <c r="AH14" s="5"/>
    </row>
    <row r="15" spans="1:34" ht="13.5" customHeight="1">
      <c r="A15" s="116" t="s">
        <v>190</v>
      </c>
      <c r="B15" s="135">
        <v>37376</v>
      </c>
      <c r="C15" s="99"/>
      <c r="D15" s="72">
        <v>10</v>
      </c>
      <c r="E15" s="137">
        <v>3386.55</v>
      </c>
      <c r="F15" s="81">
        <v>0</v>
      </c>
      <c r="G15" s="79">
        <f t="shared" si="0"/>
        <v>3386.55</v>
      </c>
      <c r="H15" s="101">
        <f t="shared" si="1"/>
        <v>28.22125</v>
      </c>
      <c r="I15" s="79">
        <f t="shared" si="2"/>
        <v>3386.55</v>
      </c>
      <c r="J15" s="76">
        <f t="shared" si="3"/>
        <v>68.07392197125257</v>
      </c>
      <c r="K15" s="79">
        <f t="shared" si="4"/>
        <v>-1921.1311704312118</v>
      </c>
      <c r="L15" s="101">
        <f t="shared" si="5"/>
        <v>1465.4188295687884</v>
      </c>
      <c r="M15" s="79">
        <f t="shared" si="6"/>
        <v>0</v>
      </c>
      <c r="N15" s="79">
        <f t="shared" si="7"/>
        <v>0</v>
      </c>
      <c r="O15" s="79">
        <f t="shared" si="8"/>
        <v>3386.55</v>
      </c>
      <c r="P15" s="72">
        <v>12</v>
      </c>
      <c r="Q15" s="79">
        <f t="shared" si="9"/>
        <v>-338.65500000000003</v>
      </c>
      <c r="R15" s="79">
        <f t="shared" si="10"/>
        <v>-2259.7861704312118</v>
      </c>
      <c r="S15" s="101">
        <f t="shared" si="11"/>
        <v>1126.7638295687884</v>
      </c>
      <c r="T15" s="79">
        <f t="shared" si="12"/>
        <v>0</v>
      </c>
      <c r="U15" s="79">
        <f t="shared" si="13"/>
        <v>0</v>
      </c>
      <c r="V15" s="79">
        <f t="shared" si="14"/>
        <v>3386.55</v>
      </c>
      <c r="W15" s="72">
        <v>12</v>
      </c>
      <c r="X15" s="79">
        <f t="shared" si="15"/>
        <v>-338.65500000000003</v>
      </c>
      <c r="Y15" s="79">
        <f t="shared" si="16"/>
        <v>-2598.441170431212</v>
      </c>
      <c r="Z15" s="126">
        <f t="shared" si="17"/>
        <v>788.1088295687882</v>
      </c>
      <c r="AA15" s="154" t="str">
        <f t="shared" si="18"/>
        <v>OK</v>
      </c>
      <c r="AF15" s="5"/>
      <c r="AG15" s="5"/>
      <c r="AH15" s="5"/>
    </row>
    <row r="16" spans="1:34" ht="13.5" customHeight="1">
      <c r="A16" s="116" t="s">
        <v>191</v>
      </c>
      <c r="B16" s="98">
        <v>37376</v>
      </c>
      <c r="C16" s="99"/>
      <c r="D16" s="72">
        <v>10</v>
      </c>
      <c r="E16" s="81">
        <v>936.25</v>
      </c>
      <c r="F16" s="81">
        <v>0</v>
      </c>
      <c r="G16" s="79">
        <f t="shared" si="0"/>
        <v>936.25</v>
      </c>
      <c r="H16" s="101">
        <f t="shared" si="1"/>
        <v>7.802083333333333</v>
      </c>
      <c r="I16" s="79">
        <f t="shared" si="2"/>
        <v>936.25</v>
      </c>
      <c r="J16" s="76">
        <f t="shared" si="3"/>
        <v>68.07392197125257</v>
      </c>
      <c r="K16" s="79">
        <f t="shared" si="4"/>
        <v>-531.1184120465435</v>
      </c>
      <c r="L16" s="101">
        <f t="shared" si="5"/>
        <v>405.13158795345646</v>
      </c>
      <c r="M16" s="79">
        <f t="shared" si="6"/>
        <v>0</v>
      </c>
      <c r="N16" s="79">
        <f t="shared" si="7"/>
        <v>0</v>
      </c>
      <c r="O16" s="79">
        <f t="shared" si="8"/>
        <v>936.25</v>
      </c>
      <c r="P16" s="72">
        <v>12</v>
      </c>
      <c r="Q16" s="79">
        <f t="shared" si="9"/>
        <v>-93.625</v>
      </c>
      <c r="R16" s="79">
        <f t="shared" si="10"/>
        <v>-624.7434120465435</v>
      </c>
      <c r="S16" s="101">
        <f t="shared" si="11"/>
        <v>311.50658795345646</v>
      </c>
      <c r="T16" s="79">
        <f t="shared" si="12"/>
        <v>0</v>
      </c>
      <c r="U16" s="79">
        <f t="shared" si="13"/>
        <v>0</v>
      </c>
      <c r="V16" s="79">
        <f t="shared" si="14"/>
        <v>936.25</v>
      </c>
      <c r="W16" s="72">
        <v>12</v>
      </c>
      <c r="X16" s="79">
        <f t="shared" si="15"/>
        <v>-93.625</v>
      </c>
      <c r="Y16" s="79">
        <f t="shared" si="16"/>
        <v>-718.3684120465435</v>
      </c>
      <c r="Z16" s="126">
        <f t="shared" si="17"/>
        <v>217.88158795345646</v>
      </c>
      <c r="AA16" s="154" t="str">
        <f t="shared" si="18"/>
        <v>OK</v>
      </c>
      <c r="AF16" s="5"/>
      <c r="AG16" s="5"/>
      <c r="AH16" s="5"/>
    </row>
    <row r="17" spans="1:34" ht="13.5" customHeight="1">
      <c r="A17" s="116" t="s">
        <v>192</v>
      </c>
      <c r="B17" s="98">
        <v>37376</v>
      </c>
      <c r="C17" s="99"/>
      <c r="D17" s="72">
        <v>10</v>
      </c>
      <c r="E17" s="81">
        <v>3929.04</v>
      </c>
      <c r="F17" s="81">
        <v>0</v>
      </c>
      <c r="G17" s="79">
        <f t="shared" si="0"/>
        <v>3929.04</v>
      </c>
      <c r="H17" s="101">
        <f t="shared" si="1"/>
        <v>32.742</v>
      </c>
      <c r="I17" s="79">
        <f t="shared" si="2"/>
        <v>3929.04</v>
      </c>
      <c r="J17" s="76">
        <f t="shared" si="3"/>
        <v>68.07392197125257</v>
      </c>
      <c r="K17" s="79">
        <f t="shared" si="4"/>
        <v>-2228.8763531827517</v>
      </c>
      <c r="L17" s="101">
        <f t="shared" si="5"/>
        <v>1700.1636468172483</v>
      </c>
      <c r="M17" s="79">
        <f t="shared" si="6"/>
        <v>0</v>
      </c>
      <c r="N17" s="79">
        <f t="shared" si="7"/>
        <v>0</v>
      </c>
      <c r="O17" s="79">
        <f t="shared" si="8"/>
        <v>3929.04</v>
      </c>
      <c r="P17" s="72">
        <v>12</v>
      </c>
      <c r="Q17" s="79">
        <f t="shared" si="9"/>
        <v>-392.904</v>
      </c>
      <c r="R17" s="79">
        <f t="shared" si="10"/>
        <v>-2621.7803531827517</v>
      </c>
      <c r="S17" s="101">
        <f t="shared" si="11"/>
        <v>1307.2596468172483</v>
      </c>
      <c r="T17" s="79">
        <f t="shared" si="12"/>
        <v>0</v>
      </c>
      <c r="U17" s="79">
        <f t="shared" si="13"/>
        <v>0</v>
      </c>
      <c r="V17" s="79">
        <f t="shared" si="14"/>
        <v>3929.04</v>
      </c>
      <c r="W17" s="72">
        <v>12</v>
      </c>
      <c r="X17" s="79">
        <f t="shared" si="15"/>
        <v>-392.904</v>
      </c>
      <c r="Y17" s="79">
        <f t="shared" si="16"/>
        <v>-3014.6843531827517</v>
      </c>
      <c r="Z17" s="126">
        <f t="shared" si="17"/>
        <v>914.3556468172483</v>
      </c>
      <c r="AA17" s="154" t="str">
        <f t="shared" si="18"/>
        <v>OK</v>
      </c>
      <c r="AF17" s="5"/>
      <c r="AG17" s="5"/>
      <c r="AH17" s="5"/>
    </row>
    <row r="18" spans="1:34" ht="13.5" customHeight="1">
      <c r="A18" s="116" t="s">
        <v>193</v>
      </c>
      <c r="B18" s="98">
        <v>37376</v>
      </c>
      <c r="C18" s="99"/>
      <c r="D18" s="72">
        <v>10</v>
      </c>
      <c r="E18" s="81">
        <v>807.85</v>
      </c>
      <c r="F18" s="81">
        <v>0</v>
      </c>
      <c r="G18" s="79">
        <f t="shared" si="0"/>
        <v>807.85</v>
      </c>
      <c r="H18" s="101">
        <f t="shared" si="1"/>
        <v>6.732083333333334</v>
      </c>
      <c r="I18" s="79">
        <f t="shared" si="2"/>
        <v>807.85</v>
      </c>
      <c r="J18" s="76">
        <f t="shared" si="3"/>
        <v>68.07392197125257</v>
      </c>
      <c r="K18" s="79">
        <f t="shared" si="4"/>
        <v>-458.27931553730326</v>
      </c>
      <c r="L18" s="101">
        <f t="shared" si="5"/>
        <v>349.57068446269676</v>
      </c>
      <c r="M18" s="79">
        <f t="shared" si="6"/>
        <v>0</v>
      </c>
      <c r="N18" s="79">
        <f t="shared" si="7"/>
        <v>0</v>
      </c>
      <c r="O18" s="79">
        <f t="shared" si="8"/>
        <v>807.85</v>
      </c>
      <c r="P18" s="72">
        <v>12</v>
      </c>
      <c r="Q18" s="79">
        <f t="shared" si="9"/>
        <v>-80.785</v>
      </c>
      <c r="R18" s="79">
        <f t="shared" si="10"/>
        <v>-539.0643155373033</v>
      </c>
      <c r="S18" s="101">
        <f t="shared" si="11"/>
        <v>268.78568446269674</v>
      </c>
      <c r="T18" s="79">
        <f t="shared" si="12"/>
        <v>0</v>
      </c>
      <c r="U18" s="79">
        <f t="shared" si="13"/>
        <v>0</v>
      </c>
      <c r="V18" s="79">
        <f t="shared" si="14"/>
        <v>807.85</v>
      </c>
      <c r="W18" s="72">
        <v>12</v>
      </c>
      <c r="X18" s="79">
        <f t="shared" si="15"/>
        <v>-80.785</v>
      </c>
      <c r="Y18" s="79">
        <f t="shared" si="16"/>
        <v>-619.8493155373033</v>
      </c>
      <c r="Z18" s="126">
        <f t="shared" si="17"/>
        <v>188.00068446269677</v>
      </c>
      <c r="AA18" s="154" t="str">
        <f t="shared" si="18"/>
        <v>OK</v>
      </c>
      <c r="AF18" s="5"/>
      <c r="AG18" s="5"/>
      <c r="AH18" s="5"/>
    </row>
    <row r="19" spans="1:34" ht="13.5" customHeight="1">
      <c r="A19" s="116" t="s">
        <v>194</v>
      </c>
      <c r="B19" s="98">
        <v>37376</v>
      </c>
      <c r="C19" s="99"/>
      <c r="D19" s="72">
        <v>10</v>
      </c>
      <c r="E19" s="81">
        <v>1364.25</v>
      </c>
      <c r="F19" s="81">
        <v>0</v>
      </c>
      <c r="G19" s="79">
        <f t="shared" si="0"/>
        <v>1364.25</v>
      </c>
      <c r="H19" s="101">
        <f t="shared" si="1"/>
        <v>11.36875</v>
      </c>
      <c r="I19" s="79">
        <f t="shared" si="2"/>
        <v>1364.25</v>
      </c>
      <c r="J19" s="76">
        <f t="shared" si="3"/>
        <v>68.07392197125257</v>
      </c>
      <c r="K19" s="79">
        <f t="shared" si="4"/>
        <v>-773.9154004106778</v>
      </c>
      <c r="L19" s="101">
        <f t="shared" si="5"/>
        <v>590.3345995893222</v>
      </c>
      <c r="M19" s="79">
        <f t="shared" si="6"/>
        <v>0</v>
      </c>
      <c r="N19" s="79">
        <f t="shared" si="7"/>
        <v>0</v>
      </c>
      <c r="O19" s="79">
        <f t="shared" si="8"/>
        <v>1364.25</v>
      </c>
      <c r="P19" s="72">
        <v>12</v>
      </c>
      <c r="Q19" s="79">
        <f t="shared" si="9"/>
        <v>-136.425</v>
      </c>
      <c r="R19" s="79">
        <f t="shared" si="10"/>
        <v>-910.3404004106778</v>
      </c>
      <c r="S19" s="101">
        <f t="shared" si="11"/>
        <v>453.90959958932217</v>
      </c>
      <c r="T19" s="79">
        <f t="shared" si="12"/>
        <v>0</v>
      </c>
      <c r="U19" s="79">
        <f t="shared" si="13"/>
        <v>0</v>
      </c>
      <c r="V19" s="79">
        <f t="shared" si="14"/>
        <v>1364.25</v>
      </c>
      <c r="W19" s="72">
        <v>12</v>
      </c>
      <c r="X19" s="79">
        <f t="shared" si="15"/>
        <v>-136.425</v>
      </c>
      <c r="Y19" s="79">
        <f t="shared" si="16"/>
        <v>-1046.7654004106778</v>
      </c>
      <c r="Z19" s="126">
        <f t="shared" si="17"/>
        <v>317.4845995893222</v>
      </c>
      <c r="AA19" s="154" t="str">
        <f t="shared" si="18"/>
        <v>OK</v>
      </c>
      <c r="AF19" s="5"/>
      <c r="AG19" s="5"/>
      <c r="AH19" s="5"/>
    </row>
    <row r="20" spans="1:34" ht="13.5" customHeight="1">
      <c r="A20" s="116" t="s">
        <v>195</v>
      </c>
      <c r="B20" s="98">
        <v>37407</v>
      </c>
      <c r="C20" s="100"/>
      <c r="D20" s="72">
        <v>10</v>
      </c>
      <c r="E20" s="81">
        <v>3504.25</v>
      </c>
      <c r="F20" s="81">
        <v>0</v>
      </c>
      <c r="G20" s="79">
        <f t="shared" si="0"/>
        <v>3504.25</v>
      </c>
      <c r="H20" s="101">
        <f t="shared" si="1"/>
        <v>29.202083333333334</v>
      </c>
      <c r="I20" s="79">
        <f t="shared" si="2"/>
        <v>3504.25</v>
      </c>
      <c r="J20" s="76">
        <f t="shared" si="3"/>
        <v>67.05544147843942</v>
      </c>
      <c r="K20" s="79">
        <f t="shared" si="4"/>
        <v>-1958.1585900068446</v>
      </c>
      <c r="L20" s="101">
        <f t="shared" si="5"/>
        <v>1546.0914099931554</v>
      </c>
      <c r="M20" s="79">
        <f t="shared" si="6"/>
        <v>0</v>
      </c>
      <c r="N20" s="79">
        <f t="shared" si="7"/>
        <v>0</v>
      </c>
      <c r="O20" s="79">
        <f t="shared" si="8"/>
        <v>3504.25</v>
      </c>
      <c r="P20" s="72">
        <v>12</v>
      </c>
      <c r="Q20" s="79">
        <f t="shared" si="9"/>
        <v>-350.425</v>
      </c>
      <c r="R20" s="79">
        <f t="shared" si="10"/>
        <v>-2308.5835900068446</v>
      </c>
      <c r="S20" s="101">
        <f t="shared" si="11"/>
        <v>1195.6664099931554</v>
      </c>
      <c r="T20" s="79">
        <f t="shared" si="12"/>
        <v>0</v>
      </c>
      <c r="U20" s="79">
        <f t="shared" si="13"/>
        <v>0</v>
      </c>
      <c r="V20" s="79">
        <f t="shared" si="14"/>
        <v>3504.25</v>
      </c>
      <c r="W20" s="72">
        <v>12</v>
      </c>
      <c r="X20" s="79">
        <f t="shared" si="15"/>
        <v>-350.425</v>
      </c>
      <c r="Y20" s="79">
        <f t="shared" si="16"/>
        <v>-2659.0085900068448</v>
      </c>
      <c r="Z20" s="126">
        <f t="shared" si="17"/>
        <v>845.2414099931552</v>
      </c>
      <c r="AA20" s="154" t="str">
        <f t="shared" si="18"/>
        <v>OK</v>
      </c>
      <c r="AF20" s="5"/>
      <c r="AG20" s="5"/>
      <c r="AH20" s="5"/>
    </row>
    <row r="21" spans="1:34" ht="13.5" customHeight="1">
      <c r="A21" s="116" t="s">
        <v>196</v>
      </c>
      <c r="B21" s="98">
        <v>38112</v>
      </c>
      <c r="C21" s="100"/>
      <c r="D21" s="72">
        <v>10</v>
      </c>
      <c r="E21" s="81">
        <v>10000</v>
      </c>
      <c r="F21" s="81">
        <v>0</v>
      </c>
      <c r="G21" s="79">
        <f t="shared" si="0"/>
        <v>10000</v>
      </c>
      <c r="H21" s="101">
        <f t="shared" si="1"/>
        <v>83.33333333333333</v>
      </c>
      <c r="I21" s="79">
        <f t="shared" si="2"/>
        <v>10000</v>
      </c>
      <c r="J21" s="76">
        <f t="shared" si="3"/>
        <v>43.893223819301845</v>
      </c>
      <c r="K21" s="79">
        <f t="shared" si="4"/>
        <v>-3657.768651608487</v>
      </c>
      <c r="L21" s="101">
        <f t="shared" si="5"/>
        <v>6342.231348391513</v>
      </c>
      <c r="M21" s="79">
        <f t="shared" si="6"/>
        <v>0</v>
      </c>
      <c r="N21" s="79">
        <f t="shared" si="7"/>
        <v>0</v>
      </c>
      <c r="O21" s="79">
        <f t="shared" si="8"/>
        <v>10000</v>
      </c>
      <c r="P21" s="72">
        <v>12</v>
      </c>
      <c r="Q21" s="79">
        <f t="shared" si="9"/>
        <v>-1000</v>
      </c>
      <c r="R21" s="79">
        <f t="shared" si="10"/>
        <v>-4657.768651608487</v>
      </c>
      <c r="S21" s="101">
        <f t="shared" si="11"/>
        <v>5342.231348391513</v>
      </c>
      <c r="T21" s="79">
        <f t="shared" si="12"/>
        <v>0</v>
      </c>
      <c r="U21" s="79">
        <f t="shared" si="13"/>
        <v>0</v>
      </c>
      <c r="V21" s="79">
        <f t="shared" si="14"/>
        <v>10000</v>
      </c>
      <c r="W21" s="72">
        <v>12</v>
      </c>
      <c r="X21" s="79">
        <f t="shared" si="15"/>
        <v>-1000</v>
      </c>
      <c r="Y21" s="79">
        <f t="shared" si="16"/>
        <v>-5657.768651608487</v>
      </c>
      <c r="Z21" s="126">
        <f t="shared" si="17"/>
        <v>4342.231348391513</v>
      </c>
      <c r="AA21" s="154" t="str">
        <f t="shared" si="18"/>
        <v>OK</v>
      </c>
      <c r="AF21" s="5"/>
      <c r="AG21" s="5"/>
      <c r="AH21" s="5"/>
    </row>
    <row r="22" spans="1:34" ht="13.5" customHeight="1">
      <c r="A22" s="116" t="s">
        <v>197</v>
      </c>
      <c r="B22" s="98">
        <v>38355</v>
      </c>
      <c r="C22" s="100"/>
      <c r="D22" s="72">
        <v>10</v>
      </c>
      <c r="E22" s="81">
        <v>75430</v>
      </c>
      <c r="F22" s="81">
        <v>7500</v>
      </c>
      <c r="G22" s="79">
        <f t="shared" si="0"/>
        <v>67930</v>
      </c>
      <c r="H22" s="101">
        <f t="shared" si="1"/>
        <v>566.0833333333334</v>
      </c>
      <c r="I22" s="79">
        <f t="shared" si="2"/>
        <v>75430</v>
      </c>
      <c r="J22" s="76">
        <f t="shared" si="3"/>
        <v>35.90965092402464</v>
      </c>
      <c r="K22" s="79">
        <f t="shared" si="4"/>
        <v>-20327.854893908283</v>
      </c>
      <c r="L22" s="101">
        <f t="shared" si="5"/>
        <v>55102.14510609172</v>
      </c>
      <c r="M22" s="79">
        <f t="shared" si="6"/>
        <v>0</v>
      </c>
      <c r="N22" s="79">
        <f t="shared" si="7"/>
        <v>0</v>
      </c>
      <c r="O22" s="79">
        <f t="shared" si="8"/>
        <v>75430</v>
      </c>
      <c r="P22" s="72">
        <v>12</v>
      </c>
      <c r="Q22" s="79">
        <f t="shared" si="9"/>
        <v>-6793</v>
      </c>
      <c r="R22" s="79">
        <f t="shared" si="10"/>
        <v>-27120.854893908283</v>
      </c>
      <c r="S22" s="101">
        <f t="shared" si="11"/>
        <v>48309.14510609172</v>
      </c>
      <c r="T22" s="79">
        <f t="shared" si="12"/>
        <v>0</v>
      </c>
      <c r="U22" s="79">
        <f t="shared" si="13"/>
        <v>0</v>
      </c>
      <c r="V22" s="79">
        <f t="shared" si="14"/>
        <v>75430</v>
      </c>
      <c r="W22" s="72">
        <v>12</v>
      </c>
      <c r="X22" s="79">
        <f t="shared" si="15"/>
        <v>-6793</v>
      </c>
      <c r="Y22" s="79">
        <f t="shared" si="16"/>
        <v>-33913.85489390828</v>
      </c>
      <c r="Z22" s="126">
        <f t="shared" si="17"/>
        <v>41516.14510609172</v>
      </c>
      <c r="AA22" s="154" t="str">
        <f t="shared" si="18"/>
        <v>OK</v>
      </c>
      <c r="AF22" s="5"/>
      <c r="AG22" s="5"/>
      <c r="AH22" s="5"/>
    </row>
    <row r="23" spans="1:34" ht="13.5" customHeight="1">
      <c r="A23" s="116" t="s">
        <v>198</v>
      </c>
      <c r="B23" s="98">
        <v>39603</v>
      </c>
      <c r="C23" s="100"/>
      <c r="D23" s="72">
        <v>10</v>
      </c>
      <c r="E23" s="81">
        <v>96960</v>
      </c>
      <c r="F23" s="81">
        <v>9700</v>
      </c>
      <c r="G23" s="79">
        <f t="shared" si="0"/>
        <v>87260</v>
      </c>
      <c r="H23" s="101">
        <f t="shared" si="1"/>
        <v>727.1666666666666</v>
      </c>
      <c r="I23" s="79">
        <f t="shared" si="2"/>
        <v>0</v>
      </c>
      <c r="J23" s="76">
        <f t="shared" si="3"/>
        <v>0</v>
      </c>
      <c r="K23" s="79">
        <f t="shared" si="4"/>
        <v>0</v>
      </c>
      <c r="L23" s="101">
        <f t="shared" si="5"/>
        <v>0</v>
      </c>
      <c r="M23" s="79">
        <f t="shared" si="6"/>
        <v>96960</v>
      </c>
      <c r="N23" s="79">
        <f t="shared" si="7"/>
        <v>0</v>
      </c>
      <c r="O23" s="79">
        <f t="shared" si="8"/>
        <v>96960</v>
      </c>
      <c r="P23" s="72">
        <v>6.9</v>
      </c>
      <c r="Q23" s="79">
        <f t="shared" si="9"/>
        <v>-5017.45</v>
      </c>
      <c r="R23" s="79">
        <f t="shared" si="10"/>
        <v>-5017.45</v>
      </c>
      <c r="S23" s="101">
        <f t="shared" si="11"/>
        <v>91942.55</v>
      </c>
      <c r="T23" s="79">
        <f t="shared" si="12"/>
        <v>0</v>
      </c>
      <c r="U23" s="79">
        <f t="shared" si="13"/>
        <v>0</v>
      </c>
      <c r="V23" s="79">
        <f t="shared" si="14"/>
        <v>96960</v>
      </c>
      <c r="W23" s="72">
        <v>12</v>
      </c>
      <c r="X23" s="79">
        <f t="shared" si="15"/>
        <v>-8726</v>
      </c>
      <c r="Y23" s="79">
        <f t="shared" si="16"/>
        <v>-13743.45</v>
      </c>
      <c r="Z23" s="126">
        <f t="shared" si="17"/>
        <v>83216.55</v>
      </c>
      <c r="AA23" s="154" t="str">
        <f t="shared" si="18"/>
        <v>OK</v>
      </c>
      <c r="AF23" s="5"/>
      <c r="AG23" s="5"/>
      <c r="AH23" s="5"/>
    </row>
    <row r="24" spans="1:27" ht="13.5" customHeight="1">
      <c r="A24" s="116" t="s">
        <v>199</v>
      </c>
      <c r="B24" s="98">
        <v>35970</v>
      </c>
      <c r="C24" s="100"/>
      <c r="D24" s="72">
        <v>10</v>
      </c>
      <c r="E24" s="81">
        <v>6213.4</v>
      </c>
      <c r="F24" s="81">
        <v>0</v>
      </c>
      <c r="G24" s="79">
        <f t="shared" si="0"/>
        <v>6213.4</v>
      </c>
      <c r="H24" s="101">
        <f t="shared" si="1"/>
        <v>51.77833333333333</v>
      </c>
      <c r="I24" s="79">
        <f t="shared" si="2"/>
        <v>6213.4</v>
      </c>
      <c r="J24" s="76">
        <f t="shared" si="3"/>
        <v>114.26694045174538</v>
      </c>
      <c r="K24" s="79">
        <f t="shared" si="4"/>
        <v>-5916.551731690623</v>
      </c>
      <c r="L24" s="101">
        <f t="shared" si="5"/>
        <v>296.8482683093771</v>
      </c>
      <c r="M24" s="79">
        <f t="shared" si="6"/>
        <v>0</v>
      </c>
      <c r="N24" s="79">
        <f t="shared" si="7"/>
        <v>0</v>
      </c>
      <c r="O24" s="79">
        <f t="shared" si="8"/>
        <v>6213.4</v>
      </c>
      <c r="P24" s="72">
        <v>5.73</v>
      </c>
      <c r="Q24" s="79">
        <f t="shared" si="9"/>
        <v>-296.68985</v>
      </c>
      <c r="R24" s="79">
        <f t="shared" si="10"/>
        <v>-6213.241581690622</v>
      </c>
      <c r="S24" s="101">
        <f t="shared" si="11"/>
        <v>0.15841830937733903</v>
      </c>
      <c r="T24" s="79">
        <f t="shared" si="12"/>
        <v>0</v>
      </c>
      <c r="U24" s="79">
        <f t="shared" si="13"/>
        <v>0</v>
      </c>
      <c r="V24" s="79">
        <f t="shared" si="14"/>
        <v>6213.4</v>
      </c>
      <c r="W24" s="72"/>
      <c r="X24" s="79">
        <f t="shared" si="15"/>
        <v>0</v>
      </c>
      <c r="Y24" s="79">
        <f t="shared" si="16"/>
        <v>-6213.241581690622</v>
      </c>
      <c r="Z24" s="126">
        <f t="shared" si="17"/>
        <v>0.15841830937733903</v>
      </c>
      <c r="AA24" s="154" t="str">
        <f t="shared" si="18"/>
        <v>OK</v>
      </c>
    </row>
    <row r="25" spans="1:27" ht="13.5" customHeight="1">
      <c r="A25" s="116" t="s">
        <v>200</v>
      </c>
      <c r="B25" s="98">
        <v>35747</v>
      </c>
      <c r="C25" s="99"/>
      <c r="D25" s="72">
        <v>10</v>
      </c>
      <c r="E25" s="81">
        <v>5564</v>
      </c>
      <c r="F25" s="81">
        <v>0</v>
      </c>
      <c r="G25" s="79">
        <f t="shared" si="0"/>
        <v>5564</v>
      </c>
      <c r="H25" s="101">
        <f t="shared" si="1"/>
        <v>46.36666666666667</v>
      </c>
      <c r="I25" s="79">
        <f t="shared" si="2"/>
        <v>5564</v>
      </c>
      <c r="J25" s="76">
        <f t="shared" si="3"/>
        <v>120</v>
      </c>
      <c r="K25" s="79">
        <f t="shared" si="4"/>
        <v>-5564</v>
      </c>
      <c r="L25" s="101">
        <f t="shared" si="5"/>
        <v>0</v>
      </c>
      <c r="M25" s="79">
        <f t="shared" si="6"/>
        <v>0</v>
      </c>
      <c r="N25" s="79">
        <f t="shared" si="7"/>
        <v>0</v>
      </c>
      <c r="O25" s="79">
        <f t="shared" si="8"/>
        <v>5564</v>
      </c>
      <c r="P25" s="72"/>
      <c r="Q25" s="79">
        <f t="shared" si="9"/>
        <v>0</v>
      </c>
      <c r="R25" s="79">
        <f t="shared" si="10"/>
        <v>-5564</v>
      </c>
      <c r="S25" s="101">
        <f t="shared" si="11"/>
        <v>0</v>
      </c>
      <c r="T25" s="79">
        <f t="shared" si="12"/>
        <v>0</v>
      </c>
      <c r="U25" s="79">
        <f t="shared" si="13"/>
        <v>0</v>
      </c>
      <c r="V25" s="79">
        <f t="shared" si="14"/>
        <v>5564</v>
      </c>
      <c r="W25" s="72"/>
      <c r="X25" s="79">
        <f t="shared" si="15"/>
        <v>0</v>
      </c>
      <c r="Y25" s="79">
        <f t="shared" si="16"/>
        <v>-5564</v>
      </c>
      <c r="Z25" s="126">
        <f t="shared" si="17"/>
        <v>0</v>
      </c>
      <c r="AA25" s="154" t="str">
        <f t="shared" si="18"/>
        <v>OK</v>
      </c>
    </row>
    <row r="26" spans="1:27" ht="13.5" customHeight="1">
      <c r="A26" s="115" t="s">
        <v>201</v>
      </c>
      <c r="B26" s="98">
        <v>30421</v>
      </c>
      <c r="C26" s="73"/>
      <c r="D26" s="72">
        <v>10</v>
      </c>
      <c r="E26" s="81">
        <v>4725</v>
      </c>
      <c r="F26" s="81">
        <v>0</v>
      </c>
      <c r="G26" s="79">
        <f t="shared" si="0"/>
        <v>4725</v>
      </c>
      <c r="H26" s="101">
        <f t="shared" si="1"/>
        <v>39.375</v>
      </c>
      <c r="I26" s="79">
        <f t="shared" si="2"/>
        <v>4725</v>
      </c>
      <c r="J26" s="76">
        <f t="shared" si="3"/>
        <v>120</v>
      </c>
      <c r="K26" s="79">
        <f t="shared" si="4"/>
        <v>-4725</v>
      </c>
      <c r="L26" s="101">
        <f t="shared" si="5"/>
        <v>0</v>
      </c>
      <c r="M26" s="79">
        <f t="shared" si="6"/>
        <v>0</v>
      </c>
      <c r="N26" s="79">
        <f t="shared" si="7"/>
        <v>0</v>
      </c>
      <c r="O26" s="79">
        <f t="shared" si="8"/>
        <v>4725</v>
      </c>
      <c r="P26" s="72"/>
      <c r="Q26" s="79">
        <f t="shared" si="9"/>
        <v>0</v>
      </c>
      <c r="R26" s="79">
        <f t="shared" si="10"/>
        <v>-4725</v>
      </c>
      <c r="S26" s="101">
        <f t="shared" si="11"/>
        <v>0</v>
      </c>
      <c r="T26" s="79">
        <f t="shared" si="12"/>
        <v>0</v>
      </c>
      <c r="U26" s="79">
        <f t="shared" si="13"/>
        <v>0</v>
      </c>
      <c r="V26" s="79">
        <f t="shared" si="14"/>
        <v>4725</v>
      </c>
      <c r="W26" s="72"/>
      <c r="X26" s="79">
        <f t="shared" si="15"/>
        <v>0</v>
      </c>
      <c r="Y26" s="79">
        <f t="shared" si="16"/>
        <v>-4725</v>
      </c>
      <c r="Z26" s="126">
        <f t="shared" si="17"/>
        <v>0</v>
      </c>
      <c r="AA26" s="154" t="str">
        <f t="shared" si="18"/>
        <v>OK</v>
      </c>
    </row>
    <row r="27" spans="1:27" ht="13.5" customHeight="1">
      <c r="A27" s="116" t="s">
        <v>202</v>
      </c>
      <c r="B27" s="98">
        <v>36658</v>
      </c>
      <c r="C27" s="100"/>
      <c r="D27" s="72">
        <v>10</v>
      </c>
      <c r="E27" s="81">
        <v>16155.14</v>
      </c>
      <c r="F27" s="81">
        <v>0</v>
      </c>
      <c r="G27" s="79">
        <f t="shared" si="0"/>
        <v>16155.14</v>
      </c>
      <c r="H27" s="101">
        <f t="shared" si="1"/>
        <v>134.62616666666665</v>
      </c>
      <c r="I27" s="79">
        <f t="shared" si="2"/>
        <v>16155.14</v>
      </c>
      <c r="J27" s="76">
        <f t="shared" si="3"/>
        <v>91.66324435318275</v>
      </c>
      <c r="K27" s="79">
        <f t="shared" si="4"/>
        <v>-12340.271211498972</v>
      </c>
      <c r="L27" s="101">
        <f t="shared" si="5"/>
        <v>3814.8687885010277</v>
      </c>
      <c r="M27" s="79">
        <f t="shared" si="6"/>
        <v>0</v>
      </c>
      <c r="N27" s="79">
        <f t="shared" si="7"/>
        <v>0</v>
      </c>
      <c r="O27" s="79">
        <f t="shared" si="8"/>
        <v>16155.14</v>
      </c>
      <c r="P27" s="72">
        <v>12</v>
      </c>
      <c r="Q27" s="79">
        <f t="shared" si="9"/>
        <v>-1615.5139999999997</v>
      </c>
      <c r="R27" s="79">
        <f t="shared" si="10"/>
        <v>-13955.785211498971</v>
      </c>
      <c r="S27" s="101">
        <f t="shared" si="11"/>
        <v>2199.3547885010285</v>
      </c>
      <c r="T27" s="79">
        <f t="shared" si="12"/>
        <v>0</v>
      </c>
      <c r="U27" s="79">
        <f t="shared" si="13"/>
        <v>0</v>
      </c>
      <c r="V27" s="79">
        <f t="shared" si="14"/>
        <v>16155.14</v>
      </c>
      <c r="W27" s="72">
        <v>12</v>
      </c>
      <c r="X27" s="79">
        <f t="shared" si="15"/>
        <v>-1615.5139999999997</v>
      </c>
      <c r="Y27" s="79">
        <f t="shared" si="16"/>
        <v>-15571.29921149897</v>
      </c>
      <c r="Z27" s="126">
        <f t="shared" si="17"/>
        <v>583.8407885010292</v>
      </c>
      <c r="AA27" s="154" t="str">
        <f t="shared" si="18"/>
        <v>OK</v>
      </c>
    </row>
    <row r="28" spans="1:27" ht="13.5" customHeight="1">
      <c r="A28" s="116" t="s">
        <v>203</v>
      </c>
      <c r="B28" s="98">
        <v>35240</v>
      </c>
      <c r="C28" s="100"/>
      <c r="D28" s="72">
        <v>10</v>
      </c>
      <c r="E28" s="81">
        <v>20577</v>
      </c>
      <c r="F28" s="81">
        <v>2000</v>
      </c>
      <c r="G28" s="79">
        <f t="shared" si="0"/>
        <v>18577</v>
      </c>
      <c r="H28" s="101">
        <f t="shared" si="1"/>
        <v>154.80833333333334</v>
      </c>
      <c r="I28" s="79">
        <f t="shared" si="2"/>
        <v>20577</v>
      </c>
      <c r="J28" s="76">
        <f t="shared" si="3"/>
        <v>120</v>
      </c>
      <c r="K28" s="79">
        <f t="shared" si="4"/>
        <v>-18577</v>
      </c>
      <c r="L28" s="101">
        <f t="shared" si="5"/>
        <v>2000</v>
      </c>
      <c r="M28" s="79">
        <f t="shared" si="6"/>
        <v>0</v>
      </c>
      <c r="N28" s="79">
        <f t="shared" si="7"/>
        <v>0</v>
      </c>
      <c r="O28" s="79">
        <f t="shared" si="8"/>
        <v>20577</v>
      </c>
      <c r="P28" s="72"/>
      <c r="Q28" s="79">
        <f t="shared" si="9"/>
        <v>0</v>
      </c>
      <c r="R28" s="79">
        <f t="shared" si="10"/>
        <v>-18577</v>
      </c>
      <c r="S28" s="101">
        <f t="shared" si="11"/>
        <v>2000</v>
      </c>
      <c r="T28" s="79">
        <f t="shared" si="12"/>
        <v>0</v>
      </c>
      <c r="U28" s="79">
        <f t="shared" si="13"/>
        <v>0</v>
      </c>
      <c r="V28" s="79">
        <f t="shared" si="14"/>
        <v>20577</v>
      </c>
      <c r="W28" s="72"/>
      <c r="X28" s="79">
        <f t="shared" si="15"/>
        <v>0</v>
      </c>
      <c r="Y28" s="79">
        <f t="shared" si="16"/>
        <v>-18577</v>
      </c>
      <c r="Z28" s="126">
        <f t="shared" si="17"/>
        <v>2000</v>
      </c>
      <c r="AA28" s="154" t="str">
        <f t="shared" si="18"/>
        <v>OK</v>
      </c>
    </row>
    <row r="29" spans="1:27" ht="13.5" customHeight="1">
      <c r="A29" s="117"/>
      <c r="B29" s="98" t="s">
        <v>59</v>
      </c>
      <c r="C29" s="100"/>
      <c r="D29" s="72">
        <v>10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10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10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10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10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10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10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10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10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10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185442.03999999998</v>
      </c>
      <c r="J40" s="79"/>
      <c r="K40" s="80">
        <f>SUM(K8:K38)</f>
        <v>-98949.82909514032</v>
      </c>
      <c r="L40" s="104">
        <f>SUM(L8:L38)</f>
        <v>86492.21090485969</v>
      </c>
      <c r="M40" s="80">
        <f>SUM(M8:M38)</f>
        <v>96960</v>
      </c>
      <c r="N40" s="80">
        <f>SUM(N8:N38)</f>
        <v>0</v>
      </c>
      <c r="O40" s="80">
        <f aca="true" t="shared" si="19" ref="O40:U40">SUM(O8:O38)</f>
        <v>282402.04</v>
      </c>
      <c r="P40" s="79"/>
      <c r="Q40" s="80">
        <f t="shared" si="19"/>
        <v>-19400.40385</v>
      </c>
      <c r="R40" s="80">
        <f t="shared" si="19"/>
        <v>-118350.23294514032</v>
      </c>
      <c r="S40" s="104">
        <f t="shared" si="19"/>
        <v>164051.8070548597</v>
      </c>
      <c r="T40" s="80">
        <f t="shared" si="19"/>
        <v>0</v>
      </c>
      <c r="U40" s="80">
        <f t="shared" si="19"/>
        <v>0</v>
      </c>
      <c r="V40" s="80">
        <f>SUM(V8:V38)</f>
        <v>282402.04</v>
      </c>
      <c r="W40" s="79"/>
      <c r="X40" s="80">
        <f>SUM(X8:X38)</f>
        <v>-22587.69775</v>
      </c>
      <c r="Y40" s="80">
        <f>SUM(Y8:Y38)</f>
        <v>-140937.93069514033</v>
      </c>
      <c r="Z40" s="128">
        <f>SUM(Z8:Z38)</f>
        <v>141464.10930485968</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4" r:id="rId1"/>
</worksheet>
</file>

<file path=xl/worksheets/sheet22.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7</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6" t="s">
        <v>174</v>
      </c>
      <c r="B8" s="135">
        <v>38929</v>
      </c>
      <c r="C8" s="99"/>
      <c r="D8" s="72">
        <v>5</v>
      </c>
      <c r="E8" s="137">
        <v>43660</v>
      </c>
      <c r="F8" s="81">
        <v>4300</v>
      </c>
      <c r="G8" s="79">
        <f>+E8-F8</f>
        <v>39360</v>
      </c>
      <c r="H8" s="101">
        <f>+(E8-F8)/(D8*12)</f>
        <v>656</v>
      </c>
      <c r="I8" s="79">
        <f>IF(B8&lt;$I$5,E8,0)</f>
        <v>43660</v>
      </c>
      <c r="J8" s="76">
        <f>IF(B8&gt;$I$5,0,IF(($I$5-B8)/30.4375&gt;(D8*12),(D8*12),($I$5-B8)/30.4375))</f>
        <v>17.05133470225873</v>
      </c>
      <c r="K8" s="79">
        <f>IF(H8*J8&gt;G8,-G8,-H8*J8)</f>
        <v>-11185.675564681726</v>
      </c>
      <c r="L8" s="101">
        <f>+I8+K8</f>
        <v>32474.324435318274</v>
      </c>
      <c r="M8" s="79">
        <f>IF(AND($I$5&lt;B8,B8&lt;$M$5+1),E8,0)</f>
        <v>0</v>
      </c>
      <c r="N8" s="79">
        <f>IF(AND($I$5&lt;C8,C8&lt;$M$5+1),-E8,0)</f>
        <v>0</v>
      </c>
      <c r="O8" s="79">
        <f>+I8+M8+N8</f>
        <v>43660</v>
      </c>
      <c r="P8" s="72">
        <v>12</v>
      </c>
      <c r="Q8" s="79">
        <f>-H8*P8</f>
        <v>-7872</v>
      </c>
      <c r="R8" s="79">
        <f>IF(O8=0,0,K8+Q8)</f>
        <v>-19057.675564681726</v>
      </c>
      <c r="S8" s="101">
        <f>+O8+R8</f>
        <v>24602.324435318274</v>
      </c>
      <c r="T8" s="79">
        <f>IF(AND($M$5&lt;B8,J8&lt;$T$5+1),E8,0)</f>
        <v>0</v>
      </c>
      <c r="U8" s="79">
        <f>IF(AND($M$5&lt;C8,C8&lt;$T$5+1),-E8,0)</f>
        <v>0</v>
      </c>
      <c r="V8" s="79">
        <f>+O8+T8+U8</f>
        <v>43660</v>
      </c>
      <c r="W8" s="72">
        <v>12</v>
      </c>
      <c r="X8" s="79">
        <f>-H8*W8</f>
        <v>-7872</v>
      </c>
      <c r="Y8" s="79">
        <f>IF(V8=0,0,R8+X8)</f>
        <v>-26929.675564681726</v>
      </c>
      <c r="Z8" s="126">
        <f>+V8+Y8</f>
        <v>16730.324435318274</v>
      </c>
      <c r="AA8" s="154" t="str">
        <f>IF(J8+P8+W8&lt;((D8*12)+1),"OK","ERROR")</f>
        <v>OK</v>
      </c>
    </row>
    <row r="9" spans="1:27" ht="15" customHeight="1">
      <c r="A9" s="116" t="s">
        <v>175</v>
      </c>
      <c r="B9" s="98">
        <v>39325</v>
      </c>
      <c r="C9" s="99"/>
      <c r="D9" s="72">
        <v>5</v>
      </c>
      <c r="E9" s="81">
        <v>48150</v>
      </c>
      <c r="F9" s="81">
        <v>4800</v>
      </c>
      <c r="G9" s="79">
        <f aca="true" t="shared" si="0" ref="G9:G38">+E9-F9</f>
        <v>43350</v>
      </c>
      <c r="H9" s="101">
        <f aca="true" t="shared" si="1" ref="H9:H38">+(E9-F9)/(D9*12)</f>
        <v>722.5</v>
      </c>
      <c r="I9" s="79">
        <f aca="true" t="shared" si="2" ref="I9:I38">IF(B9&lt;$I$5,E9,0)</f>
        <v>48150</v>
      </c>
      <c r="J9" s="76">
        <f aca="true" t="shared" si="3" ref="J9:J38">IF(B9&gt;$I$5,0,IF(($I$5-B9)/30.4375&gt;(D9*12),(D9*12),($I$5-B9)/30.4375))</f>
        <v>4.041067761806982</v>
      </c>
      <c r="K9" s="79">
        <f aca="true" t="shared" si="4" ref="K9:K38">IF(H9*J9&gt;G9,-G9,-H9*J9)</f>
        <v>-2919.6714579055442</v>
      </c>
      <c r="L9" s="101">
        <f aca="true" t="shared" si="5" ref="L9:L38">+I9+K9</f>
        <v>45230.32854209446</v>
      </c>
      <c r="M9" s="79">
        <f aca="true" t="shared" si="6" ref="M9:M38">IF(AND($I$5&lt;B9,B9&lt;$M$5+1),E9,0)</f>
        <v>0</v>
      </c>
      <c r="N9" s="79">
        <f aca="true" t="shared" si="7" ref="N9:N38">IF(AND($I$5&lt;C9,C9&lt;$M$5+1),-E9,0)</f>
        <v>0</v>
      </c>
      <c r="O9" s="79">
        <f aca="true" t="shared" si="8" ref="O9:O38">+I9+M9+N9</f>
        <v>48150</v>
      </c>
      <c r="P9" s="72">
        <v>12</v>
      </c>
      <c r="Q9" s="79">
        <f aca="true" t="shared" si="9" ref="Q9:Q38">-H9*P9</f>
        <v>-8670</v>
      </c>
      <c r="R9" s="79">
        <f aca="true" t="shared" si="10" ref="R9:R38">IF(O9=0,0,K9+Q9)</f>
        <v>-11589.671457905544</v>
      </c>
      <c r="S9" s="101">
        <f aca="true" t="shared" si="11" ref="S9:S38">+O9+R9</f>
        <v>36560.32854209446</v>
      </c>
      <c r="T9" s="79">
        <f aca="true" t="shared" si="12" ref="T9:T38">IF(AND($M$5&lt;B9,J9&lt;$T$5+1),E9,0)</f>
        <v>0</v>
      </c>
      <c r="U9" s="79">
        <f aca="true" t="shared" si="13" ref="U9:U38">IF(AND($M$5&lt;C9,C9&lt;$T$5+1),-E9,0)</f>
        <v>0</v>
      </c>
      <c r="V9" s="79">
        <f aca="true" t="shared" si="14" ref="V9:V38">+O9+T9+U9</f>
        <v>48150</v>
      </c>
      <c r="W9" s="72">
        <v>12</v>
      </c>
      <c r="X9" s="79">
        <f aca="true" t="shared" si="15" ref="X9:X38">-H9*W9</f>
        <v>-8670</v>
      </c>
      <c r="Y9" s="79">
        <f aca="true" t="shared" si="16" ref="Y9:Y38">IF(V9=0,0,R9+X9)</f>
        <v>-20259.671457905544</v>
      </c>
      <c r="Z9" s="126">
        <f aca="true" t="shared" si="17" ref="Z9:Z38">+V9+Y9</f>
        <v>27890.328542094456</v>
      </c>
      <c r="AA9" s="154" t="str">
        <f aca="true" t="shared" si="18" ref="AA9:AA38">IF(J9+P9+W9&lt;((D9*12)+1),"OK","ERROR")</f>
        <v>OK</v>
      </c>
    </row>
    <row r="10" spans="1:27" ht="15" customHeight="1">
      <c r="A10" s="116" t="s">
        <v>176</v>
      </c>
      <c r="B10" s="98">
        <v>37346</v>
      </c>
      <c r="C10" s="99"/>
      <c r="D10" s="72">
        <v>5</v>
      </c>
      <c r="E10" s="81">
        <v>2635.68</v>
      </c>
      <c r="F10" s="81">
        <v>0</v>
      </c>
      <c r="G10" s="79">
        <f t="shared" si="0"/>
        <v>2635.68</v>
      </c>
      <c r="H10" s="101">
        <f t="shared" si="1"/>
        <v>43.928</v>
      </c>
      <c r="I10" s="79">
        <f t="shared" si="2"/>
        <v>2635.68</v>
      </c>
      <c r="J10" s="76">
        <f t="shared" si="3"/>
        <v>60</v>
      </c>
      <c r="K10" s="79">
        <f t="shared" si="4"/>
        <v>-2635.68</v>
      </c>
      <c r="L10" s="101">
        <f t="shared" si="5"/>
        <v>0</v>
      </c>
      <c r="M10" s="79">
        <f t="shared" si="6"/>
        <v>0</v>
      </c>
      <c r="N10" s="79">
        <f t="shared" si="7"/>
        <v>0</v>
      </c>
      <c r="O10" s="79">
        <f t="shared" si="8"/>
        <v>2635.68</v>
      </c>
      <c r="P10" s="72"/>
      <c r="Q10" s="79">
        <f t="shared" si="9"/>
        <v>0</v>
      </c>
      <c r="R10" s="79">
        <f t="shared" si="10"/>
        <v>-2635.68</v>
      </c>
      <c r="S10" s="101">
        <f t="shared" si="11"/>
        <v>0</v>
      </c>
      <c r="T10" s="79">
        <f t="shared" si="12"/>
        <v>0</v>
      </c>
      <c r="U10" s="79">
        <f t="shared" si="13"/>
        <v>0</v>
      </c>
      <c r="V10" s="79">
        <f t="shared" si="14"/>
        <v>2635.68</v>
      </c>
      <c r="W10" s="72"/>
      <c r="X10" s="79">
        <f t="shared" si="15"/>
        <v>0</v>
      </c>
      <c r="Y10" s="79">
        <f t="shared" si="16"/>
        <v>-2635.68</v>
      </c>
      <c r="Z10" s="126">
        <f t="shared" si="17"/>
        <v>0</v>
      </c>
      <c r="AA10" s="154" t="str">
        <f t="shared" si="18"/>
        <v>OK</v>
      </c>
    </row>
    <row r="11" spans="1:31" s="66" customFormat="1" ht="13.5" customHeight="1">
      <c r="A11" s="116" t="s">
        <v>177</v>
      </c>
      <c r="B11" s="98">
        <v>38717</v>
      </c>
      <c r="C11" s="99"/>
      <c r="D11" s="72">
        <v>5</v>
      </c>
      <c r="E11" s="81">
        <v>21000</v>
      </c>
      <c r="F11" s="81">
        <v>2100</v>
      </c>
      <c r="G11" s="79">
        <f t="shared" si="0"/>
        <v>18900</v>
      </c>
      <c r="H11" s="101">
        <f t="shared" si="1"/>
        <v>315</v>
      </c>
      <c r="I11" s="79">
        <f t="shared" si="2"/>
        <v>21000</v>
      </c>
      <c r="J11" s="76">
        <f t="shared" si="3"/>
        <v>24.016427104722794</v>
      </c>
      <c r="K11" s="79">
        <f t="shared" si="4"/>
        <v>-7565.17453798768</v>
      </c>
      <c r="L11" s="101">
        <f t="shared" si="5"/>
        <v>13434.825462012319</v>
      </c>
      <c r="M11" s="79">
        <f t="shared" si="6"/>
        <v>0</v>
      </c>
      <c r="N11" s="79">
        <f t="shared" si="7"/>
        <v>0</v>
      </c>
      <c r="O11" s="79">
        <f t="shared" si="8"/>
        <v>21000</v>
      </c>
      <c r="P11" s="72">
        <v>12</v>
      </c>
      <c r="Q11" s="79">
        <f t="shared" si="9"/>
        <v>-3780</v>
      </c>
      <c r="R11" s="79">
        <f t="shared" si="10"/>
        <v>-11345.174537987681</v>
      </c>
      <c r="S11" s="101">
        <f t="shared" si="11"/>
        <v>9654.825462012319</v>
      </c>
      <c r="T11" s="79">
        <f t="shared" si="12"/>
        <v>0</v>
      </c>
      <c r="U11" s="79">
        <f t="shared" si="13"/>
        <v>0</v>
      </c>
      <c r="V11" s="79">
        <f t="shared" si="14"/>
        <v>21000</v>
      </c>
      <c r="W11" s="72">
        <v>12</v>
      </c>
      <c r="X11" s="79">
        <f t="shared" si="15"/>
        <v>-3780</v>
      </c>
      <c r="Y11" s="79">
        <f t="shared" si="16"/>
        <v>-15125.174537987681</v>
      </c>
      <c r="Z11" s="126">
        <f t="shared" si="17"/>
        <v>5874.825462012319</v>
      </c>
      <c r="AA11" s="154" t="str">
        <f t="shared" si="18"/>
        <v>OK</v>
      </c>
      <c r="AB11" s="60"/>
      <c r="AC11" s="60"/>
      <c r="AD11" s="60"/>
      <c r="AE11" s="60"/>
    </row>
    <row r="12" spans="1:31" s="66" customFormat="1" ht="13.5" customHeight="1">
      <c r="A12" s="116" t="s">
        <v>178</v>
      </c>
      <c r="B12" s="98">
        <v>34080</v>
      </c>
      <c r="C12" s="99"/>
      <c r="D12" s="72">
        <v>5</v>
      </c>
      <c r="E12" s="81">
        <v>11857</v>
      </c>
      <c r="F12" s="81">
        <v>0</v>
      </c>
      <c r="G12" s="79">
        <f t="shared" si="0"/>
        <v>11857</v>
      </c>
      <c r="H12" s="101">
        <f t="shared" si="1"/>
        <v>197.61666666666667</v>
      </c>
      <c r="I12" s="79">
        <f t="shared" si="2"/>
        <v>11857</v>
      </c>
      <c r="J12" s="76">
        <f t="shared" si="3"/>
        <v>60</v>
      </c>
      <c r="K12" s="79">
        <f t="shared" si="4"/>
        <v>-11857</v>
      </c>
      <c r="L12" s="101">
        <f t="shared" si="5"/>
        <v>0</v>
      </c>
      <c r="M12" s="79">
        <f t="shared" si="6"/>
        <v>0</v>
      </c>
      <c r="N12" s="79">
        <f t="shared" si="7"/>
        <v>0</v>
      </c>
      <c r="O12" s="79">
        <f t="shared" si="8"/>
        <v>11857</v>
      </c>
      <c r="P12" s="72"/>
      <c r="Q12" s="79">
        <f t="shared" si="9"/>
        <v>0</v>
      </c>
      <c r="R12" s="79">
        <f t="shared" si="10"/>
        <v>-11857</v>
      </c>
      <c r="S12" s="101">
        <f t="shared" si="11"/>
        <v>0</v>
      </c>
      <c r="T12" s="79">
        <f t="shared" si="12"/>
        <v>0</v>
      </c>
      <c r="U12" s="79">
        <f t="shared" si="13"/>
        <v>0</v>
      </c>
      <c r="V12" s="79">
        <f t="shared" si="14"/>
        <v>11857</v>
      </c>
      <c r="W12" s="72"/>
      <c r="X12" s="79">
        <f t="shared" si="15"/>
        <v>0</v>
      </c>
      <c r="Y12" s="79">
        <f t="shared" si="16"/>
        <v>-11857</v>
      </c>
      <c r="Z12" s="126">
        <f t="shared" si="17"/>
        <v>0</v>
      </c>
      <c r="AA12" s="154" t="str">
        <f t="shared" si="18"/>
        <v>OK</v>
      </c>
      <c r="AB12" s="60"/>
      <c r="AC12" s="64"/>
      <c r="AD12" s="60"/>
      <c r="AE12" s="64"/>
    </row>
    <row r="13" spans="1:34" ht="12.75" customHeight="1">
      <c r="A13" s="116" t="s">
        <v>179</v>
      </c>
      <c r="B13" s="98">
        <v>38160</v>
      </c>
      <c r="C13" s="100"/>
      <c r="D13" s="72">
        <v>5</v>
      </c>
      <c r="E13" s="81">
        <v>4000</v>
      </c>
      <c r="F13" s="81">
        <v>0</v>
      </c>
      <c r="G13" s="79">
        <f t="shared" si="0"/>
        <v>4000</v>
      </c>
      <c r="H13" s="101">
        <f t="shared" si="1"/>
        <v>66.66666666666667</v>
      </c>
      <c r="I13" s="79">
        <f t="shared" si="2"/>
        <v>4000</v>
      </c>
      <c r="J13" s="76">
        <f t="shared" si="3"/>
        <v>42.31622176591376</v>
      </c>
      <c r="K13" s="79">
        <f t="shared" si="4"/>
        <v>-2821.0814510609175</v>
      </c>
      <c r="L13" s="101">
        <f t="shared" si="5"/>
        <v>1178.9185489390825</v>
      </c>
      <c r="M13" s="79">
        <f t="shared" si="6"/>
        <v>0</v>
      </c>
      <c r="N13" s="79">
        <f t="shared" si="7"/>
        <v>0</v>
      </c>
      <c r="O13" s="79">
        <f t="shared" si="8"/>
        <v>4000</v>
      </c>
      <c r="P13" s="72">
        <v>12</v>
      </c>
      <c r="Q13" s="79">
        <f t="shared" si="9"/>
        <v>-800</v>
      </c>
      <c r="R13" s="79">
        <f t="shared" si="10"/>
        <v>-3621.0814510609175</v>
      </c>
      <c r="S13" s="101">
        <f t="shared" si="11"/>
        <v>378.9185489390825</v>
      </c>
      <c r="T13" s="79">
        <f t="shared" si="12"/>
        <v>0</v>
      </c>
      <c r="U13" s="79">
        <f t="shared" si="13"/>
        <v>0</v>
      </c>
      <c r="V13" s="79">
        <f t="shared" si="14"/>
        <v>4000</v>
      </c>
      <c r="W13" s="72">
        <v>5.7</v>
      </c>
      <c r="X13" s="79">
        <f t="shared" si="15"/>
        <v>-380.00000000000006</v>
      </c>
      <c r="Y13" s="79">
        <f t="shared" si="16"/>
        <v>-4001.0814510609175</v>
      </c>
      <c r="Z13" s="126">
        <f t="shared" si="17"/>
        <v>-1.0814510609175159</v>
      </c>
      <c r="AA13" s="154" t="str">
        <f t="shared" si="18"/>
        <v>OK</v>
      </c>
      <c r="AF13" s="5"/>
      <c r="AG13" s="5"/>
      <c r="AH13" s="5"/>
    </row>
    <row r="14" spans="1:34" ht="12.75" customHeight="1">
      <c r="A14" s="116" t="s">
        <v>180</v>
      </c>
      <c r="B14" s="98">
        <v>27394</v>
      </c>
      <c r="C14" s="99"/>
      <c r="D14" s="72">
        <v>5</v>
      </c>
      <c r="E14" s="81">
        <v>3300</v>
      </c>
      <c r="F14" s="81">
        <v>0</v>
      </c>
      <c r="G14" s="79">
        <f t="shared" si="0"/>
        <v>3300</v>
      </c>
      <c r="H14" s="101">
        <f t="shared" si="1"/>
        <v>55</v>
      </c>
      <c r="I14" s="79">
        <f t="shared" si="2"/>
        <v>3300</v>
      </c>
      <c r="J14" s="76">
        <f t="shared" si="3"/>
        <v>60</v>
      </c>
      <c r="K14" s="79">
        <f t="shared" si="4"/>
        <v>-3300</v>
      </c>
      <c r="L14" s="101">
        <f t="shared" si="5"/>
        <v>0</v>
      </c>
      <c r="M14" s="79">
        <f t="shared" si="6"/>
        <v>0</v>
      </c>
      <c r="N14" s="79">
        <f t="shared" si="7"/>
        <v>0</v>
      </c>
      <c r="O14" s="79">
        <f t="shared" si="8"/>
        <v>3300</v>
      </c>
      <c r="P14" s="72"/>
      <c r="Q14" s="79">
        <f t="shared" si="9"/>
        <v>0</v>
      </c>
      <c r="R14" s="79">
        <f t="shared" si="10"/>
        <v>-3300</v>
      </c>
      <c r="S14" s="101">
        <f t="shared" si="11"/>
        <v>0</v>
      </c>
      <c r="T14" s="79">
        <f t="shared" si="12"/>
        <v>0</v>
      </c>
      <c r="U14" s="79">
        <f t="shared" si="13"/>
        <v>0</v>
      </c>
      <c r="V14" s="79">
        <f t="shared" si="14"/>
        <v>3300</v>
      </c>
      <c r="W14" s="72"/>
      <c r="X14" s="79">
        <f t="shared" si="15"/>
        <v>0</v>
      </c>
      <c r="Y14" s="79">
        <f t="shared" si="16"/>
        <v>-3300</v>
      </c>
      <c r="Z14" s="126">
        <f t="shared" si="17"/>
        <v>0</v>
      </c>
      <c r="AA14" s="154" t="str">
        <f t="shared" si="18"/>
        <v>OK</v>
      </c>
      <c r="AF14" s="5"/>
      <c r="AG14" s="5"/>
      <c r="AH14" s="5"/>
    </row>
    <row r="15" spans="1:34" ht="13.5" customHeight="1">
      <c r="A15" s="116" t="s">
        <v>181</v>
      </c>
      <c r="B15" s="98">
        <v>31412</v>
      </c>
      <c r="C15" s="173"/>
      <c r="D15" s="72">
        <v>5</v>
      </c>
      <c r="E15" s="81">
        <v>8000</v>
      </c>
      <c r="F15" s="81">
        <v>0</v>
      </c>
      <c r="G15" s="79">
        <f t="shared" si="0"/>
        <v>8000</v>
      </c>
      <c r="H15" s="101">
        <f t="shared" si="1"/>
        <v>133.33333333333334</v>
      </c>
      <c r="I15" s="79">
        <f t="shared" si="2"/>
        <v>8000</v>
      </c>
      <c r="J15" s="76">
        <f t="shared" si="3"/>
        <v>60</v>
      </c>
      <c r="K15" s="79">
        <f t="shared" si="4"/>
        <v>-8000.000000000001</v>
      </c>
      <c r="L15" s="101">
        <f t="shared" si="5"/>
        <v>0</v>
      </c>
      <c r="M15" s="79">
        <f t="shared" si="6"/>
        <v>0</v>
      </c>
      <c r="N15" s="79">
        <f t="shared" si="7"/>
        <v>0</v>
      </c>
      <c r="O15" s="79">
        <f t="shared" si="8"/>
        <v>8000</v>
      </c>
      <c r="P15" s="72"/>
      <c r="Q15" s="79">
        <f t="shared" si="9"/>
        <v>0</v>
      </c>
      <c r="R15" s="79">
        <f t="shared" si="10"/>
        <v>-8000.000000000001</v>
      </c>
      <c r="S15" s="101">
        <f t="shared" si="11"/>
        <v>0</v>
      </c>
      <c r="T15" s="79">
        <f t="shared" si="12"/>
        <v>0</v>
      </c>
      <c r="U15" s="79">
        <f t="shared" si="13"/>
        <v>0</v>
      </c>
      <c r="V15" s="79">
        <f t="shared" si="14"/>
        <v>8000</v>
      </c>
      <c r="W15" s="72"/>
      <c r="X15" s="79">
        <f t="shared" si="15"/>
        <v>0</v>
      </c>
      <c r="Y15" s="79">
        <f t="shared" si="16"/>
        <v>-8000.000000000001</v>
      </c>
      <c r="Z15" s="126">
        <f t="shared" si="17"/>
        <v>0</v>
      </c>
      <c r="AA15" s="154" t="str">
        <f t="shared" si="18"/>
        <v>OK</v>
      </c>
      <c r="AF15" s="5"/>
      <c r="AG15" s="5"/>
      <c r="AH15" s="5"/>
    </row>
    <row r="16" spans="1:34" ht="13.5" customHeight="1">
      <c r="A16" s="116" t="s">
        <v>182</v>
      </c>
      <c r="B16" s="98">
        <v>33238</v>
      </c>
      <c r="C16" s="100"/>
      <c r="D16" s="72">
        <v>5</v>
      </c>
      <c r="E16" s="81">
        <v>675</v>
      </c>
      <c r="F16" s="81">
        <v>0</v>
      </c>
      <c r="G16" s="79">
        <f t="shared" si="0"/>
        <v>675</v>
      </c>
      <c r="H16" s="101">
        <f t="shared" si="1"/>
        <v>11.25</v>
      </c>
      <c r="I16" s="79">
        <f t="shared" si="2"/>
        <v>675</v>
      </c>
      <c r="J16" s="76">
        <f t="shared" si="3"/>
        <v>60</v>
      </c>
      <c r="K16" s="79">
        <f t="shared" si="4"/>
        <v>-675</v>
      </c>
      <c r="L16" s="101">
        <f t="shared" si="5"/>
        <v>0</v>
      </c>
      <c r="M16" s="79">
        <f t="shared" si="6"/>
        <v>0</v>
      </c>
      <c r="N16" s="79">
        <f t="shared" si="7"/>
        <v>0</v>
      </c>
      <c r="O16" s="79">
        <f t="shared" si="8"/>
        <v>675</v>
      </c>
      <c r="P16" s="72"/>
      <c r="Q16" s="79">
        <f t="shared" si="9"/>
        <v>0</v>
      </c>
      <c r="R16" s="79">
        <f t="shared" si="10"/>
        <v>-675</v>
      </c>
      <c r="S16" s="101">
        <f t="shared" si="11"/>
        <v>0</v>
      </c>
      <c r="T16" s="79">
        <f t="shared" si="12"/>
        <v>0</v>
      </c>
      <c r="U16" s="79">
        <f t="shared" si="13"/>
        <v>0</v>
      </c>
      <c r="V16" s="79">
        <f t="shared" si="14"/>
        <v>675</v>
      </c>
      <c r="W16" s="72"/>
      <c r="X16" s="79">
        <f t="shared" si="15"/>
        <v>0</v>
      </c>
      <c r="Y16" s="79">
        <f t="shared" si="16"/>
        <v>-675</v>
      </c>
      <c r="Z16" s="126">
        <f t="shared" si="17"/>
        <v>0</v>
      </c>
      <c r="AA16" s="154" t="str">
        <f t="shared" si="18"/>
        <v>OK</v>
      </c>
      <c r="AF16" s="5"/>
      <c r="AG16" s="5"/>
      <c r="AH16" s="5"/>
    </row>
    <row r="17" spans="1:34" ht="13.5" customHeight="1">
      <c r="A17" s="116"/>
      <c r="B17" s="98" t="s">
        <v>59</v>
      </c>
      <c r="C17" s="99"/>
      <c r="D17" s="72">
        <v>5</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5</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5</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5</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5</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5</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5</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5</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5</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5</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5</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5</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5</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5</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5</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5</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5</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5</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5</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5</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5</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5</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143277.68</v>
      </c>
      <c r="J40" s="79"/>
      <c r="K40" s="80">
        <f>SUM(K8:K38)</f>
        <v>-50959.28301163587</v>
      </c>
      <c r="L40" s="104">
        <f>SUM(L8:L38)</f>
        <v>92318.39698836414</v>
      </c>
      <c r="M40" s="80">
        <f>SUM(M8:M38)</f>
        <v>0</v>
      </c>
      <c r="N40" s="80">
        <f>SUM(N8:N38)</f>
        <v>0</v>
      </c>
      <c r="O40" s="80">
        <f aca="true" t="shared" si="19" ref="O40:U40">SUM(O8:O38)</f>
        <v>143277.68</v>
      </c>
      <c r="P40" s="79"/>
      <c r="Q40" s="80">
        <f t="shared" si="19"/>
        <v>-21122</v>
      </c>
      <c r="R40" s="80">
        <f t="shared" si="19"/>
        <v>-72081.28301163587</v>
      </c>
      <c r="S40" s="104">
        <f t="shared" si="19"/>
        <v>71196.39698836414</v>
      </c>
      <c r="T40" s="80">
        <f t="shared" si="19"/>
        <v>0</v>
      </c>
      <c r="U40" s="80">
        <f t="shared" si="19"/>
        <v>0</v>
      </c>
      <c r="V40" s="80">
        <f>SUM(V8:V38)</f>
        <v>143277.68</v>
      </c>
      <c r="W40" s="79"/>
      <c r="X40" s="80">
        <f>SUM(X8:X38)</f>
        <v>-20702</v>
      </c>
      <c r="Y40" s="80">
        <f>SUM(Y8:Y38)</f>
        <v>-92783.28301163588</v>
      </c>
      <c r="Z40" s="128">
        <f>SUM(Z8:Z38)</f>
        <v>50494.396988364126</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2" r:id="rId1"/>
</worksheet>
</file>

<file path=xl/worksheets/sheet23.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80</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t="s">
        <v>164</v>
      </c>
      <c r="B8" s="98">
        <v>37407</v>
      </c>
      <c r="C8" s="135"/>
      <c r="D8" s="72">
        <v>25</v>
      </c>
      <c r="E8" s="137">
        <f>(533000*364.6)/464.9</f>
        <v>418007.7436007744</v>
      </c>
      <c r="F8" s="81">
        <v>0</v>
      </c>
      <c r="G8" s="79">
        <f>+E8-F8</f>
        <v>418007.7436007744</v>
      </c>
      <c r="H8" s="101">
        <f>+(E8-F8)/(D8*12)</f>
        <v>1393.3591453359147</v>
      </c>
      <c r="I8" s="79">
        <f>IF(B8&lt;$I$5,E8,0)</f>
        <v>418007.7436007744</v>
      </c>
      <c r="J8" s="76">
        <f>IF(B8&gt;$I$5,0,IF(($I$5-B8)/30.4375&gt;(D8*12),(D8*12),($I$5-B8)/30.4375))</f>
        <v>67.05544147843942</v>
      </c>
      <c r="K8" s="79">
        <f>IF(H8*J8&gt;I8,-I8,-H8*J8)</f>
        <v>-93432.3126285208</v>
      </c>
      <c r="L8" s="101">
        <f>+I8+K8</f>
        <v>324575.43097225355</v>
      </c>
      <c r="M8" s="79">
        <f>IF(AND($I$5&lt;B8,B8&lt;$M$5+1),E8,0)</f>
        <v>0</v>
      </c>
      <c r="N8" s="79">
        <f>IF(AND($I$5&lt;C8,C8&lt;$M$5+1),-E8,0)</f>
        <v>0</v>
      </c>
      <c r="O8" s="79">
        <f>+I8+M8+N8</f>
        <v>418007.7436007744</v>
      </c>
      <c r="P8" s="72">
        <v>12</v>
      </c>
      <c r="Q8" s="79">
        <f>-H8*P8</f>
        <v>-16720.309744030976</v>
      </c>
      <c r="R8" s="79">
        <f>IF(O8=0,0,K8+Q8)</f>
        <v>-110152.62237255178</v>
      </c>
      <c r="S8" s="101">
        <f>+O8+R8</f>
        <v>307855.1212282226</v>
      </c>
      <c r="T8" s="79">
        <f>IF(AND($M$5&lt;B8,J8&lt;$T$5+1),E8,0)</f>
        <v>0</v>
      </c>
      <c r="U8" s="79">
        <f>IF(AND($M$5&lt;C8,C8&lt;$T$5+1),-E8,0)</f>
        <v>0</v>
      </c>
      <c r="V8" s="79">
        <f>+O8+T8+U8</f>
        <v>418007.7436007744</v>
      </c>
      <c r="W8" s="72">
        <v>12</v>
      </c>
      <c r="X8" s="79">
        <f>-H8*W8</f>
        <v>-16720.309744030976</v>
      </c>
      <c r="Y8" s="79">
        <f>IF(V8=0,0,R8+X8)</f>
        <v>-126872.93211658276</v>
      </c>
      <c r="Z8" s="126">
        <f>+V8+Y8</f>
        <v>291134.8114841916</v>
      </c>
      <c r="AA8" s="154" t="str">
        <f>IF(J8+P8+W8&lt;((D8*12)+1),"OK","ERROR")</f>
        <v>OK</v>
      </c>
    </row>
    <row r="9" spans="1:27" ht="15" customHeight="1">
      <c r="A9" s="115" t="s">
        <v>165</v>
      </c>
      <c r="B9" s="98">
        <v>25203</v>
      </c>
      <c r="C9" s="135"/>
      <c r="D9" s="72">
        <v>25</v>
      </c>
      <c r="E9" s="137">
        <f>(1042100*78.8)/464.9</f>
        <v>176634.71714347173</v>
      </c>
      <c r="F9" s="81">
        <v>0</v>
      </c>
      <c r="G9" s="79">
        <f aca="true" t="shared" si="0" ref="G9:G38">+E9-F9</f>
        <v>176634.71714347173</v>
      </c>
      <c r="H9" s="101">
        <f aca="true" t="shared" si="1" ref="H9:H38">+(E9-F9)/(D9*12)</f>
        <v>588.7823904782391</v>
      </c>
      <c r="I9" s="79">
        <f aca="true" t="shared" si="2" ref="I9:I38">IF(B9&lt;$I$5,E9,0)</f>
        <v>176634.71714347173</v>
      </c>
      <c r="J9" s="76">
        <f aca="true" t="shared" si="3" ref="J9:J38">IF(B9&gt;$I$5,0,IF(($I$5-B9)/30.4375&gt;(D9*12),(D9*12),($I$5-B9)/30.4375))</f>
        <v>300</v>
      </c>
      <c r="K9" s="79">
        <f aca="true" t="shared" si="4" ref="K9:K38">IF(H9*J9&gt;I9,-I9,-H9*J9)</f>
        <v>-176634.71714347173</v>
      </c>
      <c r="L9" s="101">
        <f aca="true" t="shared" si="5" ref="L9:L38">+I9+K9</f>
        <v>0</v>
      </c>
      <c r="M9" s="79">
        <f aca="true" t="shared" si="6" ref="M9:M38">IF(AND($I$5&lt;B9,B9&lt;$M$5+1),E9,0)</f>
        <v>0</v>
      </c>
      <c r="N9" s="79">
        <f aca="true" t="shared" si="7" ref="N9:N38">IF(AND($I$5&lt;C9,C9&lt;$M$5+1),-E9,0)</f>
        <v>0</v>
      </c>
      <c r="O9" s="79">
        <f aca="true" t="shared" si="8" ref="O9:O38">+I9+M9+N9</f>
        <v>176634.71714347173</v>
      </c>
      <c r="P9" s="72"/>
      <c r="Q9" s="79">
        <f aca="true" t="shared" si="9" ref="Q9:Q38">-H9*P9</f>
        <v>0</v>
      </c>
      <c r="R9" s="79">
        <f aca="true" t="shared" si="10" ref="R9:R38">IF(O9=0,0,K9+Q9)</f>
        <v>-176634.71714347173</v>
      </c>
      <c r="S9" s="101">
        <f aca="true" t="shared" si="11" ref="S9:S38">+O9+R9</f>
        <v>0</v>
      </c>
      <c r="T9" s="79">
        <f aca="true" t="shared" si="12" ref="T9:T38">IF(AND($M$5&lt;B9,J9&lt;$T$5+1),E9,0)</f>
        <v>0</v>
      </c>
      <c r="U9" s="79">
        <f aca="true" t="shared" si="13" ref="U9:U38">IF(AND($M$5&lt;C9,C9&lt;$T$5+1),-E9,0)</f>
        <v>0</v>
      </c>
      <c r="V9" s="79">
        <f aca="true" t="shared" si="14" ref="V9:V38">+O9+T9+U9</f>
        <v>176634.71714347173</v>
      </c>
      <c r="W9" s="72"/>
      <c r="X9" s="79">
        <f aca="true" t="shared" si="15" ref="X9:X38">-H9*W9</f>
        <v>0</v>
      </c>
      <c r="Y9" s="79">
        <f aca="true" t="shared" si="16" ref="Y9:Y38">IF(V9=0,0,R9+X9)</f>
        <v>-176634.71714347173</v>
      </c>
      <c r="Z9" s="126">
        <f aca="true" t="shared" si="17" ref="Z9:Z38">+V9+Y9</f>
        <v>0</v>
      </c>
      <c r="AA9" s="154" t="str">
        <f aca="true" t="shared" si="18" ref="AA9:AA38">IF(J9+P9+W9&lt;((D9*12)+1),"OK","ERROR")</f>
        <v>OK</v>
      </c>
    </row>
    <row r="10" spans="1:27" ht="15" customHeight="1">
      <c r="A10" s="115" t="s">
        <v>166</v>
      </c>
      <c r="B10" s="98">
        <v>20454</v>
      </c>
      <c r="C10" s="135"/>
      <c r="D10" s="72">
        <v>25</v>
      </c>
      <c r="E10" s="137">
        <f>(429000*44.6)/464.9</f>
        <v>41155.94751559475</v>
      </c>
      <c r="F10" s="81">
        <v>0</v>
      </c>
      <c r="G10" s="79">
        <f t="shared" si="0"/>
        <v>41155.94751559475</v>
      </c>
      <c r="H10" s="101">
        <f t="shared" si="1"/>
        <v>137.18649171864917</v>
      </c>
      <c r="I10" s="79">
        <f t="shared" si="2"/>
        <v>41155.94751559475</v>
      </c>
      <c r="J10" s="76">
        <f t="shared" si="3"/>
        <v>300</v>
      </c>
      <c r="K10" s="79">
        <f t="shared" si="4"/>
        <v>-41155.94751559475</v>
      </c>
      <c r="L10" s="101">
        <f t="shared" si="5"/>
        <v>0</v>
      </c>
      <c r="M10" s="79">
        <f t="shared" si="6"/>
        <v>0</v>
      </c>
      <c r="N10" s="79">
        <f t="shared" si="7"/>
        <v>0</v>
      </c>
      <c r="O10" s="79">
        <f t="shared" si="8"/>
        <v>41155.94751559475</v>
      </c>
      <c r="P10" s="72"/>
      <c r="Q10" s="79">
        <f t="shared" si="9"/>
        <v>0</v>
      </c>
      <c r="R10" s="79">
        <f t="shared" si="10"/>
        <v>-41155.94751559475</v>
      </c>
      <c r="S10" s="101">
        <f t="shared" si="11"/>
        <v>0</v>
      </c>
      <c r="T10" s="79">
        <f t="shared" si="12"/>
        <v>0</v>
      </c>
      <c r="U10" s="79">
        <f t="shared" si="13"/>
        <v>0</v>
      </c>
      <c r="V10" s="79">
        <f t="shared" si="14"/>
        <v>41155.94751559475</v>
      </c>
      <c r="W10" s="72"/>
      <c r="X10" s="79">
        <f t="shared" si="15"/>
        <v>0</v>
      </c>
      <c r="Y10" s="79">
        <f t="shared" si="16"/>
        <v>-41155.94751559475</v>
      </c>
      <c r="Z10" s="126">
        <f t="shared" si="17"/>
        <v>0</v>
      </c>
      <c r="AA10" s="154" t="str">
        <f t="shared" si="18"/>
        <v>OK</v>
      </c>
    </row>
    <row r="11" spans="1:31" s="66" customFormat="1" ht="13.5" customHeight="1">
      <c r="A11" s="115" t="s">
        <v>167</v>
      </c>
      <c r="B11" s="98">
        <v>32508</v>
      </c>
      <c r="C11" s="135" t="s">
        <v>59</v>
      </c>
      <c r="D11" s="72">
        <v>25</v>
      </c>
      <c r="E11" s="137">
        <f>(371000*276.7)/464.9</f>
        <v>220812.4327812433</v>
      </c>
      <c r="F11" s="81">
        <v>0</v>
      </c>
      <c r="G11" s="79">
        <f t="shared" si="0"/>
        <v>220812.4327812433</v>
      </c>
      <c r="H11" s="101">
        <f t="shared" si="1"/>
        <v>736.0414426041443</v>
      </c>
      <c r="I11" s="79">
        <f t="shared" si="2"/>
        <v>220812.4327812433</v>
      </c>
      <c r="J11" s="76">
        <f t="shared" si="3"/>
        <v>228.00821355236138</v>
      </c>
      <c r="K11" s="79">
        <f t="shared" si="4"/>
        <v>-167823.49442867388</v>
      </c>
      <c r="L11" s="101">
        <f t="shared" si="5"/>
        <v>52988.938352569414</v>
      </c>
      <c r="M11" s="79">
        <f t="shared" si="6"/>
        <v>0</v>
      </c>
      <c r="N11" s="79">
        <f t="shared" si="7"/>
        <v>0</v>
      </c>
      <c r="O11" s="79">
        <f t="shared" si="8"/>
        <v>220812.4327812433</v>
      </c>
      <c r="P11" s="72">
        <v>12</v>
      </c>
      <c r="Q11" s="79">
        <f t="shared" si="9"/>
        <v>-8832.497311249732</v>
      </c>
      <c r="R11" s="79">
        <f t="shared" si="10"/>
        <v>-176655.9917399236</v>
      </c>
      <c r="S11" s="101">
        <f t="shared" si="11"/>
        <v>44156.44104131969</v>
      </c>
      <c r="T11" s="79">
        <f t="shared" si="12"/>
        <v>0</v>
      </c>
      <c r="U11" s="79">
        <f t="shared" si="13"/>
        <v>0</v>
      </c>
      <c r="V11" s="79">
        <f t="shared" si="14"/>
        <v>220812.4327812433</v>
      </c>
      <c r="W11" s="72">
        <v>12</v>
      </c>
      <c r="X11" s="79">
        <f t="shared" si="15"/>
        <v>-8832.497311249732</v>
      </c>
      <c r="Y11" s="79">
        <f t="shared" si="16"/>
        <v>-185488.48905117332</v>
      </c>
      <c r="Z11" s="126">
        <f t="shared" si="17"/>
        <v>35323.943730069965</v>
      </c>
      <c r="AA11" s="154" t="str">
        <f t="shared" si="18"/>
        <v>OK</v>
      </c>
      <c r="AB11" s="60"/>
      <c r="AC11" s="60"/>
      <c r="AD11" s="60"/>
      <c r="AE11" s="60"/>
    </row>
    <row r="12" spans="1:31" s="66" customFormat="1" ht="13.5" customHeight="1">
      <c r="A12" s="115" t="s">
        <v>168</v>
      </c>
      <c r="B12" s="156">
        <v>29586</v>
      </c>
      <c r="C12" s="135" t="s">
        <v>59</v>
      </c>
      <c r="D12" s="72">
        <v>25</v>
      </c>
      <c r="E12" s="137">
        <f>(4300*203)/464.9</f>
        <v>1877.6080877608088</v>
      </c>
      <c r="F12" s="81">
        <v>0</v>
      </c>
      <c r="G12" s="79">
        <f t="shared" si="0"/>
        <v>1877.6080877608088</v>
      </c>
      <c r="H12" s="101">
        <f t="shared" si="1"/>
        <v>6.258693625869363</v>
      </c>
      <c r="I12" s="79">
        <f t="shared" si="2"/>
        <v>1877.6080877608088</v>
      </c>
      <c r="J12" s="76">
        <f t="shared" si="3"/>
        <v>300</v>
      </c>
      <c r="K12" s="79">
        <f t="shared" si="4"/>
        <v>-1877.6080877608088</v>
      </c>
      <c r="L12" s="101">
        <f t="shared" si="5"/>
        <v>0</v>
      </c>
      <c r="M12" s="79">
        <f t="shared" si="6"/>
        <v>0</v>
      </c>
      <c r="N12" s="79">
        <f t="shared" si="7"/>
        <v>0</v>
      </c>
      <c r="O12" s="79">
        <f t="shared" si="8"/>
        <v>1877.6080877608088</v>
      </c>
      <c r="P12" s="72"/>
      <c r="Q12" s="79">
        <f t="shared" si="9"/>
        <v>0</v>
      </c>
      <c r="R12" s="79">
        <f t="shared" si="10"/>
        <v>-1877.6080877608088</v>
      </c>
      <c r="S12" s="101">
        <f t="shared" si="11"/>
        <v>0</v>
      </c>
      <c r="T12" s="79">
        <f t="shared" si="12"/>
        <v>0</v>
      </c>
      <c r="U12" s="79">
        <f t="shared" si="13"/>
        <v>0</v>
      </c>
      <c r="V12" s="79">
        <f t="shared" si="14"/>
        <v>1877.6080877608088</v>
      </c>
      <c r="W12" s="72"/>
      <c r="X12" s="79">
        <f t="shared" si="15"/>
        <v>0</v>
      </c>
      <c r="Y12" s="79">
        <f t="shared" si="16"/>
        <v>-1877.6080877608088</v>
      </c>
      <c r="Z12" s="126">
        <f t="shared" si="17"/>
        <v>0</v>
      </c>
      <c r="AA12" s="154" t="str">
        <f t="shared" si="18"/>
        <v>OK</v>
      </c>
      <c r="AB12" s="60"/>
      <c r="AC12" s="64"/>
      <c r="AD12" s="60"/>
      <c r="AE12" s="64"/>
    </row>
    <row r="13" spans="1:34" ht="12.75" customHeight="1">
      <c r="A13" s="116" t="s">
        <v>169</v>
      </c>
      <c r="B13" s="156">
        <v>33938</v>
      </c>
      <c r="C13" s="99"/>
      <c r="D13" s="72">
        <v>25</v>
      </c>
      <c r="E13" s="137">
        <f>(941700*303.6)/464.9</f>
        <v>614971.219617122</v>
      </c>
      <c r="F13" s="81">
        <v>0</v>
      </c>
      <c r="G13" s="79">
        <f t="shared" si="0"/>
        <v>614971.219617122</v>
      </c>
      <c r="H13" s="101">
        <f t="shared" si="1"/>
        <v>2049.9040653904067</v>
      </c>
      <c r="I13" s="79">
        <f t="shared" si="2"/>
        <v>614971.219617122</v>
      </c>
      <c r="J13" s="76">
        <f t="shared" si="3"/>
        <v>181.02669404517454</v>
      </c>
      <c r="K13" s="79">
        <f t="shared" si="4"/>
        <v>-371087.3560673886</v>
      </c>
      <c r="L13" s="101">
        <f t="shared" si="5"/>
        <v>243883.86354973336</v>
      </c>
      <c r="M13" s="79">
        <f t="shared" si="6"/>
        <v>0</v>
      </c>
      <c r="N13" s="79">
        <f t="shared" si="7"/>
        <v>0</v>
      </c>
      <c r="O13" s="79">
        <f t="shared" si="8"/>
        <v>614971.219617122</v>
      </c>
      <c r="P13" s="72">
        <v>12</v>
      </c>
      <c r="Q13" s="79">
        <f t="shared" si="9"/>
        <v>-24598.84878468488</v>
      </c>
      <c r="R13" s="79">
        <f t="shared" si="10"/>
        <v>-395686.2048520735</v>
      </c>
      <c r="S13" s="101">
        <f t="shared" si="11"/>
        <v>219285.01476504846</v>
      </c>
      <c r="T13" s="79">
        <f t="shared" si="12"/>
        <v>0</v>
      </c>
      <c r="U13" s="79">
        <f t="shared" si="13"/>
        <v>0</v>
      </c>
      <c r="V13" s="79">
        <f t="shared" si="14"/>
        <v>614971.219617122</v>
      </c>
      <c r="W13" s="72">
        <v>12</v>
      </c>
      <c r="X13" s="79">
        <f t="shared" si="15"/>
        <v>-24598.84878468488</v>
      </c>
      <c r="Y13" s="79">
        <f t="shared" si="16"/>
        <v>-420285.0536367584</v>
      </c>
      <c r="Z13" s="126">
        <f t="shared" si="17"/>
        <v>194686.16598036356</v>
      </c>
      <c r="AA13" s="154" t="str">
        <f t="shared" si="18"/>
        <v>OK</v>
      </c>
      <c r="AF13" s="5"/>
      <c r="AG13" s="5"/>
      <c r="AH13" s="5"/>
    </row>
    <row r="14" spans="1:34" ht="12.75" customHeight="1">
      <c r="A14" s="116" t="s">
        <v>170</v>
      </c>
      <c r="B14" s="135">
        <v>24837</v>
      </c>
      <c r="C14" s="99"/>
      <c r="D14" s="72">
        <v>25</v>
      </c>
      <c r="E14" s="137">
        <f>(3606150*73.8)/464.9</f>
        <v>572454.0116154011</v>
      </c>
      <c r="F14" s="81">
        <v>0</v>
      </c>
      <c r="G14" s="79">
        <f t="shared" si="0"/>
        <v>572454.0116154011</v>
      </c>
      <c r="H14" s="101">
        <f t="shared" si="1"/>
        <v>1908.1800387180037</v>
      </c>
      <c r="I14" s="79">
        <f t="shared" si="2"/>
        <v>572454.0116154011</v>
      </c>
      <c r="J14" s="76">
        <f t="shared" si="3"/>
        <v>300</v>
      </c>
      <c r="K14" s="79">
        <f t="shared" si="4"/>
        <v>-572454.0116154011</v>
      </c>
      <c r="L14" s="101">
        <f t="shared" si="5"/>
        <v>0</v>
      </c>
      <c r="M14" s="79">
        <f t="shared" si="6"/>
        <v>0</v>
      </c>
      <c r="N14" s="79">
        <f t="shared" si="7"/>
        <v>0</v>
      </c>
      <c r="O14" s="79">
        <f t="shared" si="8"/>
        <v>572454.0116154011</v>
      </c>
      <c r="P14" s="72"/>
      <c r="Q14" s="79">
        <f t="shared" si="9"/>
        <v>0</v>
      </c>
      <c r="R14" s="79">
        <f t="shared" si="10"/>
        <v>-572454.0116154011</v>
      </c>
      <c r="S14" s="101">
        <f t="shared" si="11"/>
        <v>0</v>
      </c>
      <c r="T14" s="79">
        <f t="shared" si="12"/>
        <v>0</v>
      </c>
      <c r="U14" s="79">
        <f t="shared" si="13"/>
        <v>0</v>
      </c>
      <c r="V14" s="79">
        <f t="shared" si="14"/>
        <v>572454.0116154011</v>
      </c>
      <c r="W14" s="72"/>
      <c r="X14" s="79">
        <f t="shared" si="15"/>
        <v>0</v>
      </c>
      <c r="Y14" s="79">
        <f t="shared" si="16"/>
        <v>-572454.0116154011</v>
      </c>
      <c r="Z14" s="126">
        <f t="shared" si="17"/>
        <v>0</v>
      </c>
      <c r="AA14" s="154" t="str">
        <f t="shared" si="18"/>
        <v>OK</v>
      </c>
      <c r="AF14" s="5"/>
      <c r="AG14" s="5"/>
      <c r="AH14" s="5"/>
    </row>
    <row r="15" spans="1:34" ht="13.5" customHeight="1">
      <c r="A15" s="116" t="s">
        <v>171</v>
      </c>
      <c r="B15" s="135">
        <v>36891</v>
      </c>
      <c r="C15" s="99"/>
      <c r="D15" s="72">
        <v>25</v>
      </c>
      <c r="E15" s="137">
        <f>(6900*356)/464.9</f>
        <v>5283.716928371693</v>
      </c>
      <c r="F15" s="81">
        <v>0</v>
      </c>
      <c r="G15" s="79">
        <f t="shared" si="0"/>
        <v>5283.716928371693</v>
      </c>
      <c r="H15" s="101">
        <f t="shared" si="1"/>
        <v>17.612389761238976</v>
      </c>
      <c r="I15" s="79">
        <f t="shared" si="2"/>
        <v>5283.716928371693</v>
      </c>
      <c r="J15" s="76">
        <f t="shared" si="3"/>
        <v>84.0082135523614</v>
      </c>
      <c r="K15" s="79">
        <f t="shared" si="4"/>
        <v>-1479.5854002295873</v>
      </c>
      <c r="L15" s="101">
        <f t="shared" si="5"/>
        <v>3804.1315281421057</v>
      </c>
      <c r="M15" s="79">
        <f t="shared" si="6"/>
        <v>0</v>
      </c>
      <c r="N15" s="79">
        <f t="shared" si="7"/>
        <v>0</v>
      </c>
      <c r="O15" s="79">
        <f t="shared" si="8"/>
        <v>5283.716928371693</v>
      </c>
      <c r="P15" s="72">
        <v>12</v>
      </c>
      <c r="Q15" s="79">
        <f t="shared" si="9"/>
        <v>-211.34867713486773</v>
      </c>
      <c r="R15" s="79">
        <f t="shared" si="10"/>
        <v>-1690.934077364455</v>
      </c>
      <c r="S15" s="101">
        <f t="shared" si="11"/>
        <v>3592.7828510072377</v>
      </c>
      <c r="T15" s="79">
        <f t="shared" si="12"/>
        <v>0</v>
      </c>
      <c r="U15" s="79">
        <f t="shared" si="13"/>
        <v>0</v>
      </c>
      <c r="V15" s="79">
        <f t="shared" si="14"/>
        <v>5283.716928371693</v>
      </c>
      <c r="W15" s="72">
        <v>12</v>
      </c>
      <c r="X15" s="79">
        <f t="shared" si="15"/>
        <v>-211.34867713486773</v>
      </c>
      <c r="Y15" s="79">
        <f t="shared" si="16"/>
        <v>-1902.282754499323</v>
      </c>
      <c r="Z15" s="126">
        <f t="shared" si="17"/>
        <v>3381.43417387237</v>
      </c>
      <c r="AA15" s="154" t="str">
        <f t="shared" si="18"/>
        <v>OK</v>
      </c>
      <c r="AF15" s="5"/>
      <c r="AG15" s="5"/>
      <c r="AH15" s="5"/>
    </row>
    <row r="16" spans="1:34" ht="13.5" customHeight="1">
      <c r="A16" s="116" t="s">
        <v>172</v>
      </c>
      <c r="B16" s="98">
        <v>29586</v>
      </c>
      <c r="C16" s="172"/>
      <c r="D16" s="72">
        <v>25</v>
      </c>
      <c r="E16" s="81">
        <f>(1000*203)/464.9</f>
        <v>436.6530436653044</v>
      </c>
      <c r="F16" s="81">
        <v>0</v>
      </c>
      <c r="G16" s="79">
        <f t="shared" si="0"/>
        <v>436.6530436653044</v>
      </c>
      <c r="H16" s="101">
        <f t="shared" si="1"/>
        <v>1.4555101455510147</v>
      </c>
      <c r="I16" s="79">
        <f t="shared" si="2"/>
        <v>436.6530436653044</v>
      </c>
      <c r="J16" s="76">
        <f t="shared" si="3"/>
        <v>300</v>
      </c>
      <c r="K16" s="79">
        <f t="shared" si="4"/>
        <v>-436.6530436653044</v>
      </c>
      <c r="L16" s="101">
        <f t="shared" si="5"/>
        <v>0</v>
      </c>
      <c r="M16" s="79">
        <f t="shared" si="6"/>
        <v>0</v>
      </c>
      <c r="N16" s="79">
        <f t="shared" si="7"/>
        <v>0</v>
      </c>
      <c r="O16" s="79">
        <f t="shared" si="8"/>
        <v>436.6530436653044</v>
      </c>
      <c r="P16" s="72"/>
      <c r="Q16" s="79">
        <f t="shared" si="9"/>
        <v>0</v>
      </c>
      <c r="R16" s="79">
        <f t="shared" si="10"/>
        <v>-436.6530436653044</v>
      </c>
      <c r="S16" s="101">
        <f t="shared" si="11"/>
        <v>0</v>
      </c>
      <c r="T16" s="79">
        <f t="shared" si="12"/>
        <v>0</v>
      </c>
      <c r="U16" s="79">
        <f t="shared" si="13"/>
        <v>0</v>
      </c>
      <c r="V16" s="79">
        <f t="shared" si="14"/>
        <v>436.6530436653044</v>
      </c>
      <c r="W16" s="72"/>
      <c r="X16" s="79">
        <f t="shared" si="15"/>
        <v>0</v>
      </c>
      <c r="Y16" s="79">
        <f t="shared" si="16"/>
        <v>-436.6530436653044</v>
      </c>
      <c r="Z16" s="126">
        <f t="shared" si="17"/>
        <v>0</v>
      </c>
      <c r="AA16" s="154" t="str">
        <f t="shared" si="18"/>
        <v>OK</v>
      </c>
      <c r="AF16" s="5"/>
      <c r="AG16" s="5"/>
      <c r="AH16" s="5"/>
    </row>
    <row r="17" spans="1:34" ht="13.5" customHeight="1">
      <c r="A17" s="116" t="s">
        <v>173</v>
      </c>
      <c r="B17" s="98">
        <v>39600</v>
      </c>
      <c r="C17" s="99"/>
      <c r="D17" s="72">
        <v>25</v>
      </c>
      <c r="E17" s="81">
        <f>(121600*464.9)/464.9</f>
        <v>121600</v>
      </c>
      <c r="F17" s="81">
        <v>0</v>
      </c>
      <c r="G17" s="79">
        <f t="shared" si="0"/>
        <v>121600</v>
      </c>
      <c r="H17" s="101">
        <f t="shared" si="1"/>
        <v>405.3333333333333</v>
      </c>
      <c r="I17" s="79">
        <f t="shared" si="2"/>
        <v>0</v>
      </c>
      <c r="J17" s="76">
        <f t="shared" si="3"/>
        <v>0</v>
      </c>
      <c r="K17" s="79">
        <f t="shared" si="4"/>
        <v>0</v>
      </c>
      <c r="L17" s="101">
        <f t="shared" si="5"/>
        <v>0</v>
      </c>
      <c r="M17" s="79">
        <f t="shared" si="6"/>
        <v>121600</v>
      </c>
      <c r="N17" s="79">
        <f t="shared" si="7"/>
        <v>0</v>
      </c>
      <c r="O17" s="79">
        <f t="shared" si="8"/>
        <v>121600</v>
      </c>
      <c r="P17" s="72">
        <v>7</v>
      </c>
      <c r="Q17" s="79">
        <f t="shared" si="9"/>
        <v>-2837.333333333333</v>
      </c>
      <c r="R17" s="79">
        <f t="shared" si="10"/>
        <v>-2837.333333333333</v>
      </c>
      <c r="S17" s="101">
        <f t="shared" si="11"/>
        <v>118762.66666666667</v>
      </c>
      <c r="T17" s="79">
        <f t="shared" si="12"/>
        <v>0</v>
      </c>
      <c r="U17" s="79">
        <f t="shared" si="13"/>
        <v>0</v>
      </c>
      <c r="V17" s="79">
        <f t="shared" si="14"/>
        <v>121600</v>
      </c>
      <c r="W17" s="72">
        <v>12</v>
      </c>
      <c r="X17" s="79">
        <f t="shared" si="15"/>
        <v>-4864</v>
      </c>
      <c r="Y17" s="79">
        <f t="shared" si="16"/>
        <v>-7701.333333333333</v>
      </c>
      <c r="Z17" s="126">
        <f t="shared" si="17"/>
        <v>113898.66666666667</v>
      </c>
      <c r="AA17" s="154" t="str">
        <f t="shared" si="18"/>
        <v>OK</v>
      </c>
      <c r="AF17" s="5"/>
      <c r="AG17" s="5"/>
      <c r="AH17" s="5"/>
    </row>
    <row r="18" spans="1:34" ht="13.5" customHeight="1">
      <c r="A18" s="116"/>
      <c r="B18" s="135" t="s">
        <v>59</v>
      </c>
      <c r="C18" s="99"/>
      <c r="D18" s="72">
        <v>25</v>
      </c>
      <c r="E18" s="136"/>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25</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25</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25</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25</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25</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25</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25</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25</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25</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25</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25</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25</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25</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25</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25</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25</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25</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25</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25</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25</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2051634.0503334051</v>
      </c>
      <c r="J40" s="79"/>
      <c r="K40" s="80">
        <f>SUM(K8:K38)</f>
        <v>-1426381.6859307066</v>
      </c>
      <c r="L40" s="104">
        <f>SUM(L8:L38)</f>
        <v>625252.3644026985</v>
      </c>
      <c r="M40" s="80">
        <f>SUM(M8:M38)</f>
        <v>121600</v>
      </c>
      <c r="N40" s="80">
        <f>SUM(N8:N38)</f>
        <v>0</v>
      </c>
      <c r="O40" s="80">
        <f aca="true" t="shared" si="19" ref="O40:U40">SUM(O8:O38)</f>
        <v>2173234.050333405</v>
      </c>
      <c r="P40" s="79"/>
      <c r="Q40" s="80">
        <f t="shared" si="19"/>
        <v>-53200.337850433796</v>
      </c>
      <c r="R40" s="80">
        <f t="shared" si="19"/>
        <v>-1479582.0237811403</v>
      </c>
      <c r="S40" s="104">
        <f t="shared" si="19"/>
        <v>693652.0265522646</v>
      </c>
      <c r="T40" s="80">
        <f t="shared" si="19"/>
        <v>0</v>
      </c>
      <c r="U40" s="80">
        <f t="shared" si="19"/>
        <v>0</v>
      </c>
      <c r="V40" s="80">
        <f>SUM(V8:V38)</f>
        <v>2173234.050333405</v>
      </c>
      <c r="W40" s="79"/>
      <c r="X40" s="80">
        <f>SUM(X8:X38)</f>
        <v>-55227.00451710046</v>
      </c>
      <c r="Y40" s="80">
        <f>SUM(Y8:Y38)</f>
        <v>-1534809.0282982406</v>
      </c>
      <c r="Z40" s="128">
        <f>SUM(Z8:Z38)</f>
        <v>638425.0220351642</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4" r:id="rId1"/>
</worksheet>
</file>

<file path=xl/worksheets/sheet24.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81</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t="s">
        <v>158</v>
      </c>
      <c r="B8" s="98">
        <v>38991</v>
      </c>
      <c r="C8" s="135"/>
      <c r="D8" s="72">
        <v>40</v>
      </c>
      <c r="E8" s="137">
        <v>369209</v>
      </c>
      <c r="F8" s="81">
        <v>0</v>
      </c>
      <c r="G8" s="79">
        <f>+E8-F8</f>
        <v>369209</v>
      </c>
      <c r="H8" s="101">
        <f>+(E8-F8)/(D8*12)</f>
        <v>769.1854166666667</v>
      </c>
      <c r="I8" s="79">
        <f>IF(B8&lt;$I$5,E8,0)</f>
        <v>369209</v>
      </c>
      <c r="J8" s="76">
        <f>IF(B8&gt;$I$5,0,IF(($I$5-B8)/30.4375&gt;(D8*12),(D8*12),($I$5-B8)/30.4375))</f>
        <v>15.014373716632443</v>
      </c>
      <c r="K8" s="79">
        <f>IF(H8*J8&gt;I8,-I8,-H8*J8)</f>
        <v>-11548.837303216975</v>
      </c>
      <c r="L8" s="101">
        <f>+I8+K8</f>
        <v>357660.162696783</v>
      </c>
      <c r="M8" s="79">
        <f>IF(AND($I$5&lt;B8,B8&lt;$M$5+1),E8,0)</f>
        <v>0</v>
      </c>
      <c r="N8" s="79">
        <f>IF(AND($I$5&lt;C8,C8&lt;$M$5+1),-E8,0)</f>
        <v>0</v>
      </c>
      <c r="O8" s="79">
        <f>+I8+M8+N8</f>
        <v>369209</v>
      </c>
      <c r="P8" s="72">
        <v>12</v>
      </c>
      <c r="Q8" s="79">
        <f>-H8*P8</f>
        <v>-9230.225</v>
      </c>
      <c r="R8" s="79">
        <f>IF(O8=0,0,K8+Q8)</f>
        <v>-20779.062303216975</v>
      </c>
      <c r="S8" s="101">
        <f>+O8+R8</f>
        <v>348429.93769678305</v>
      </c>
      <c r="T8" s="79">
        <f>IF(AND($M$5&lt;B8,J8&lt;$T$5+1),E8,0)</f>
        <v>0</v>
      </c>
      <c r="U8" s="79">
        <f>IF(AND($M$5&lt;C8,C8&lt;$T$5+1),-E8,0)</f>
        <v>0</v>
      </c>
      <c r="V8" s="79">
        <f>+O8+T8+U8</f>
        <v>369209</v>
      </c>
      <c r="W8" s="72">
        <v>12</v>
      </c>
      <c r="X8" s="79">
        <f>-H8*W8</f>
        <v>-9230.225</v>
      </c>
      <c r="Y8" s="79">
        <f>IF(V8=0,0,R8+X8)</f>
        <v>-30009.287303216974</v>
      </c>
      <c r="Z8" s="126">
        <f>+V8+Y8</f>
        <v>339199.712696783</v>
      </c>
      <c r="AA8" s="154" t="str">
        <f>IF(J8+P8+W8&lt;((D8*12)+1),"OK","ERROR")</f>
        <v>OK</v>
      </c>
    </row>
    <row r="9" spans="1:27" ht="15" customHeight="1">
      <c r="A9" s="115" t="s">
        <v>159</v>
      </c>
      <c r="B9" s="98">
        <v>39264</v>
      </c>
      <c r="C9" s="135"/>
      <c r="D9" s="72">
        <v>40</v>
      </c>
      <c r="E9" s="137">
        <v>24275</v>
      </c>
      <c r="F9" s="81">
        <v>0</v>
      </c>
      <c r="G9" s="79">
        <f aca="true" t="shared" si="0" ref="G9:G38">+E9-F9</f>
        <v>24275</v>
      </c>
      <c r="H9" s="101">
        <f aca="true" t="shared" si="1" ref="H9:H38">+(E9-F9)/(D9*12)</f>
        <v>50.572916666666664</v>
      </c>
      <c r="I9" s="79">
        <f aca="true" t="shared" si="2" ref="I9:I38">IF(B9&lt;$I$5,E9,0)</f>
        <v>24275</v>
      </c>
      <c r="J9" s="76">
        <f aca="true" t="shared" si="3" ref="J9:J38">IF(B9&gt;$I$5,0,IF(($I$5-B9)/30.4375&gt;(D9*12),(D9*12),($I$5-B9)/30.4375))</f>
        <v>6.04517453798768</v>
      </c>
      <c r="K9" s="79">
        <f aca="true" t="shared" si="4" ref="K9:K38">IF(H9*J9&gt;I9,-I9,-H9*J9)</f>
        <v>-305.72210814510606</v>
      </c>
      <c r="L9" s="101">
        <f aca="true" t="shared" si="5" ref="L9:L38">+I9+K9</f>
        <v>23969.277891854894</v>
      </c>
      <c r="M9" s="79">
        <f aca="true" t="shared" si="6" ref="M9:M38">IF(AND($I$5&lt;B9,B9&lt;$M$5+1),E9,0)</f>
        <v>0</v>
      </c>
      <c r="N9" s="79">
        <f aca="true" t="shared" si="7" ref="N9:N38">IF(AND($I$5&lt;C9,C9&lt;$M$5+1),-E9,0)</f>
        <v>0</v>
      </c>
      <c r="O9" s="79">
        <f aca="true" t="shared" si="8" ref="O9:O38">+I9+M9+N9</f>
        <v>24275</v>
      </c>
      <c r="P9" s="72">
        <v>12</v>
      </c>
      <c r="Q9" s="79">
        <f aca="true" t="shared" si="9" ref="Q9:Q38">-H9*P9</f>
        <v>-606.875</v>
      </c>
      <c r="R9" s="79">
        <f aca="true" t="shared" si="10" ref="R9:R38">IF(O9=0,0,K9+Q9)</f>
        <v>-912.5971081451061</v>
      </c>
      <c r="S9" s="101">
        <f aca="true" t="shared" si="11" ref="S9:S38">+O9+R9</f>
        <v>23362.402891854894</v>
      </c>
      <c r="T9" s="79">
        <f aca="true" t="shared" si="12" ref="T9:T38">IF(AND($M$5&lt;B9,J9&lt;$T$5+1),E9,0)</f>
        <v>0</v>
      </c>
      <c r="U9" s="79">
        <f aca="true" t="shared" si="13" ref="U9:U38">IF(AND($M$5&lt;C9,C9&lt;$T$5+1),-E9,0)</f>
        <v>0</v>
      </c>
      <c r="V9" s="79">
        <f aca="true" t="shared" si="14" ref="V9:V38">+O9+T9+U9</f>
        <v>24275</v>
      </c>
      <c r="W9" s="72">
        <v>12</v>
      </c>
      <c r="X9" s="79">
        <f aca="true" t="shared" si="15" ref="X9:X38">-H9*W9</f>
        <v>-606.875</v>
      </c>
      <c r="Y9" s="79">
        <f aca="true" t="shared" si="16" ref="Y9:Y38">IF(V9=0,0,R9+X9)</f>
        <v>-1519.4721081451062</v>
      </c>
      <c r="Z9" s="126">
        <f aca="true" t="shared" si="17" ref="Z9:Z38">+V9+Y9</f>
        <v>22755.527891854894</v>
      </c>
      <c r="AA9" s="154" t="str">
        <f aca="true" t="shared" si="18" ref="AA9:AA38">IF(J9+P9+W9&lt;((D9*12)+1),"OK","ERROR")</f>
        <v>OK</v>
      </c>
    </row>
    <row r="10" spans="1:27" ht="15" customHeight="1">
      <c r="A10" s="115" t="s">
        <v>160</v>
      </c>
      <c r="B10" s="98">
        <v>28307</v>
      </c>
      <c r="C10" s="135"/>
      <c r="D10" s="72">
        <v>40</v>
      </c>
      <c r="E10" s="137">
        <v>15651</v>
      </c>
      <c r="F10" s="81">
        <v>0</v>
      </c>
      <c r="G10" s="79">
        <f t="shared" si="0"/>
        <v>15651</v>
      </c>
      <c r="H10" s="101">
        <f t="shared" si="1"/>
        <v>32.60625</v>
      </c>
      <c r="I10" s="79">
        <f t="shared" si="2"/>
        <v>15651</v>
      </c>
      <c r="J10" s="76">
        <f t="shared" si="3"/>
        <v>366.02874743326487</v>
      </c>
      <c r="K10" s="79">
        <f t="shared" si="4"/>
        <v>-11934.824845995894</v>
      </c>
      <c r="L10" s="101">
        <f t="shared" si="5"/>
        <v>3716.175154004106</v>
      </c>
      <c r="M10" s="79">
        <f t="shared" si="6"/>
        <v>0</v>
      </c>
      <c r="N10" s="79">
        <f t="shared" si="7"/>
        <v>0</v>
      </c>
      <c r="O10" s="79">
        <f t="shared" si="8"/>
        <v>15651</v>
      </c>
      <c r="P10" s="72">
        <v>12</v>
      </c>
      <c r="Q10" s="79">
        <f t="shared" si="9"/>
        <v>-391.27500000000003</v>
      </c>
      <c r="R10" s="79">
        <f t="shared" si="10"/>
        <v>-12326.099845995894</v>
      </c>
      <c r="S10" s="101">
        <f t="shared" si="11"/>
        <v>3324.9001540041063</v>
      </c>
      <c r="T10" s="79">
        <f t="shared" si="12"/>
        <v>0</v>
      </c>
      <c r="U10" s="79">
        <f t="shared" si="13"/>
        <v>0</v>
      </c>
      <c r="V10" s="79">
        <f t="shared" si="14"/>
        <v>15651</v>
      </c>
      <c r="W10" s="72">
        <v>12</v>
      </c>
      <c r="X10" s="79">
        <f t="shared" si="15"/>
        <v>-391.27500000000003</v>
      </c>
      <c r="Y10" s="79">
        <f t="shared" si="16"/>
        <v>-12717.374845995893</v>
      </c>
      <c r="Z10" s="126">
        <f t="shared" si="17"/>
        <v>2933.6251540041067</v>
      </c>
      <c r="AA10" s="154" t="str">
        <f t="shared" si="18"/>
        <v>OK</v>
      </c>
    </row>
    <row r="11" spans="1:31" s="66" customFormat="1" ht="13.5" customHeight="1">
      <c r="A11" s="115" t="s">
        <v>161</v>
      </c>
      <c r="B11" s="98">
        <v>28672</v>
      </c>
      <c r="C11" s="135" t="s">
        <v>59</v>
      </c>
      <c r="D11" s="72">
        <v>40</v>
      </c>
      <c r="E11" s="137">
        <v>18595</v>
      </c>
      <c r="F11" s="81">
        <v>0</v>
      </c>
      <c r="G11" s="79">
        <f t="shared" si="0"/>
        <v>18595</v>
      </c>
      <c r="H11" s="101">
        <f t="shared" si="1"/>
        <v>38.739583333333336</v>
      </c>
      <c r="I11" s="79">
        <f t="shared" si="2"/>
        <v>18595</v>
      </c>
      <c r="J11" s="76">
        <f t="shared" si="3"/>
        <v>354.0369609856263</v>
      </c>
      <c r="K11" s="79">
        <f t="shared" si="4"/>
        <v>-13715.244353182754</v>
      </c>
      <c r="L11" s="101">
        <f t="shared" si="5"/>
        <v>4879.755646817246</v>
      </c>
      <c r="M11" s="79">
        <f t="shared" si="6"/>
        <v>0</v>
      </c>
      <c r="N11" s="79">
        <f t="shared" si="7"/>
        <v>0</v>
      </c>
      <c r="O11" s="79">
        <f t="shared" si="8"/>
        <v>18595</v>
      </c>
      <c r="P11" s="72">
        <v>12</v>
      </c>
      <c r="Q11" s="79">
        <f t="shared" si="9"/>
        <v>-464.875</v>
      </c>
      <c r="R11" s="79">
        <f t="shared" si="10"/>
        <v>-14180.119353182754</v>
      </c>
      <c r="S11" s="101">
        <f t="shared" si="11"/>
        <v>4414.880646817246</v>
      </c>
      <c r="T11" s="79">
        <f t="shared" si="12"/>
        <v>0</v>
      </c>
      <c r="U11" s="79">
        <f t="shared" si="13"/>
        <v>0</v>
      </c>
      <c r="V11" s="79">
        <f t="shared" si="14"/>
        <v>18595</v>
      </c>
      <c r="W11" s="72">
        <v>12</v>
      </c>
      <c r="X11" s="79">
        <f t="shared" si="15"/>
        <v>-464.875</v>
      </c>
      <c r="Y11" s="79">
        <f t="shared" si="16"/>
        <v>-14644.994353182754</v>
      </c>
      <c r="Z11" s="126">
        <f t="shared" si="17"/>
        <v>3950.005646817246</v>
      </c>
      <c r="AA11" s="154" t="str">
        <f t="shared" si="18"/>
        <v>OK</v>
      </c>
      <c r="AB11" s="60"/>
      <c r="AC11" s="60"/>
      <c r="AD11" s="60"/>
      <c r="AE11" s="60"/>
    </row>
    <row r="12" spans="1:31" s="66" customFormat="1" ht="13.5" customHeight="1">
      <c r="A12" s="115" t="s">
        <v>162</v>
      </c>
      <c r="B12" s="156">
        <v>34151</v>
      </c>
      <c r="C12" s="135" t="s">
        <v>59</v>
      </c>
      <c r="D12" s="72">
        <v>25</v>
      </c>
      <c r="E12" s="137">
        <v>12354</v>
      </c>
      <c r="F12" s="81">
        <v>0</v>
      </c>
      <c r="G12" s="79">
        <f t="shared" si="0"/>
        <v>12354</v>
      </c>
      <c r="H12" s="101">
        <f t="shared" si="1"/>
        <v>41.18</v>
      </c>
      <c r="I12" s="79">
        <f t="shared" si="2"/>
        <v>12354</v>
      </c>
      <c r="J12" s="76">
        <f t="shared" si="3"/>
        <v>174.0287474332649</v>
      </c>
      <c r="K12" s="79">
        <f t="shared" si="4"/>
        <v>-7166.503819301848</v>
      </c>
      <c r="L12" s="101">
        <f t="shared" si="5"/>
        <v>5187.496180698152</v>
      </c>
      <c r="M12" s="79">
        <f t="shared" si="6"/>
        <v>0</v>
      </c>
      <c r="N12" s="79">
        <f t="shared" si="7"/>
        <v>0</v>
      </c>
      <c r="O12" s="79">
        <f t="shared" si="8"/>
        <v>12354</v>
      </c>
      <c r="P12" s="72">
        <v>12</v>
      </c>
      <c r="Q12" s="79">
        <f t="shared" si="9"/>
        <v>-494.15999999999997</v>
      </c>
      <c r="R12" s="79">
        <f t="shared" si="10"/>
        <v>-7660.663819301848</v>
      </c>
      <c r="S12" s="101">
        <f t="shared" si="11"/>
        <v>4693.336180698152</v>
      </c>
      <c r="T12" s="79">
        <f t="shared" si="12"/>
        <v>0</v>
      </c>
      <c r="U12" s="79">
        <f t="shared" si="13"/>
        <v>0</v>
      </c>
      <c r="V12" s="79">
        <f t="shared" si="14"/>
        <v>12354</v>
      </c>
      <c r="W12" s="72">
        <v>12</v>
      </c>
      <c r="X12" s="79">
        <f t="shared" si="15"/>
        <v>-494.15999999999997</v>
      </c>
      <c r="Y12" s="79">
        <f t="shared" si="16"/>
        <v>-8154.823819301848</v>
      </c>
      <c r="Z12" s="126">
        <f t="shared" si="17"/>
        <v>4199.176180698152</v>
      </c>
      <c r="AA12" s="154" t="str">
        <f t="shared" si="18"/>
        <v>OK</v>
      </c>
      <c r="AB12" s="60"/>
      <c r="AC12" s="64"/>
      <c r="AD12" s="60"/>
      <c r="AE12" s="64"/>
    </row>
    <row r="13" spans="1:34" ht="12.75" customHeight="1">
      <c r="A13" s="116" t="s">
        <v>163</v>
      </c>
      <c r="B13" s="156">
        <v>38169</v>
      </c>
      <c r="C13" s="99"/>
      <c r="D13" s="72">
        <v>40</v>
      </c>
      <c r="E13" s="137">
        <v>11043</v>
      </c>
      <c r="F13" s="81">
        <v>0</v>
      </c>
      <c r="G13" s="79">
        <f t="shared" si="0"/>
        <v>11043</v>
      </c>
      <c r="H13" s="101">
        <f t="shared" si="1"/>
        <v>23.00625</v>
      </c>
      <c r="I13" s="79">
        <f t="shared" si="2"/>
        <v>11043</v>
      </c>
      <c r="J13" s="76">
        <f t="shared" si="3"/>
        <v>42.02053388090349</v>
      </c>
      <c r="K13" s="79">
        <f t="shared" si="4"/>
        <v>-966.734907597536</v>
      </c>
      <c r="L13" s="101">
        <f t="shared" si="5"/>
        <v>10076.265092402464</v>
      </c>
      <c r="M13" s="79">
        <f t="shared" si="6"/>
        <v>0</v>
      </c>
      <c r="N13" s="79">
        <f t="shared" si="7"/>
        <v>0</v>
      </c>
      <c r="O13" s="79">
        <f t="shared" si="8"/>
        <v>11043</v>
      </c>
      <c r="P13" s="72">
        <v>12</v>
      </c>
      <c r="Q13" s="79">
        <f t="shared" si="9"/>
        <v>-276.07500000000005</v>
      </c>
      <c r="R13" s="79">
        <f t="shared" si="10"/>
        <v>-1242.809907597536</v>
      </c>
      <c r="S13" s="101">
        <f t="shared" si="11"/>
        <v>9800.190092402463</v>
      </c>
      <c r="T13" s="79">
        <f t="shared" si="12"/>
        <v>0</v>
      </c>
      <c r="U13" s="79">
        <f t="shared" si="13"/>
        <v>0</v>
      </c>
      <c r="V13" s="79">
        <f t="shared" si="14"/>
        <v>11043</v>
      </c>
      <c r="W13" s="72">
        <v>12</v>
      </c>
      <c r="X13" s="79">
        <f t="shared" si="15"/>
        <v>-276.07500000000005</v>
      </c>
      <c r="Y13" s="79">
        <f t="shared" si="16"/>
        <v>-1518.884907597536</v>
      </c>
      <c r="Z13" s="126">
        <f t="shared" si="17"/>
        <v>9524.115092402464</v>
      </c>
      <c r="AA13" s="154" t="str">
        <f t="shared" si="18"/>
        <v>OK</v>
      </c>
      <c r="AF13" s="5"/>
      <c r="AG13" s="5"/>
      <c r="AH13" s="5"/>
    </row>
    <row r="14" spans="1:34" ht="12.75" customHeight="1">
      <c r="A14" s="116" t="s">
        <v>163</v>
      </c>
      <c r="B14" s="135">
        <v>38899</v>
      </c>
      <c r="C14" s="99"/>
      <c r="D14" s="72">
        <v>40</v>
      </c>
      <c r="E14" s="137">
        <v>10700</v>
      </c>
      <c r="F14" s="81">
        <v>0</v>
      </c>
      <c r="G14" s="79">
        <f t="shared" si="0"/>
        <v>10700</v>
      </c>
      <c r="H14" s="101">
        <f t="shared" si="1"/>
        <v>22.291666666666668</v>
      </c>
      <c r="I14" s="79">
        <f t="shared" si="2"/>
        <v>10700</v>
      </c>
      <c r="J14" s="76">
        <f t="shared" si="3"/>
        <v>18.036960985626283</v>
      </c>
      <c r="K14" s="79">
        <f t="shared" si="4"/>
        <v>-402.07392197125256</v>
      </c>
      <c r="L14" s="101">
        <f t="shared" si="5"/>
        <v>10297.926078028748</v>
      </c>
      <c r="M14" s="79">
        <f t="shared" si="6"/>
        <v>0</v>
      </c>
      <c r="N14" s="79">
        <f t="shared" si="7"/>
        <v>0</v>
      </c>
      <c r="O14" s="79">
        <f t="shared" si="8"/>
        <v>10700</v>
      </c>
      <c r="P14" s="72">
        <v>12</v>
      </c>
      <c r="Q14" s="79">
        <f t="shared" si="9"/>
        <v>-267.5</v>
      </c>
      <c r="R14" s="79">
        <f t="shared" si="10"/>
        <v>-669.5739219712525</v>
      </c>
      <c r="S14" s="101">
        <f t="shared" si="11"/>
        <v>10030.426078028748</v>
      </c>
      <c r="T14" s="79">
        <f t="shared" si="12"/>
        <v>0</v>
      </c>
      <c r="U14" s="79">
        <f t="shared" si="13"/>
        <v>0</v>
      </c>
      <c r="V14" s="79">
        <f t="shared" si="14"/>
        <v>10700</v>
      </c>
      <c r="W14" s="72">
        <v>12</v>
      </c>
      <c r="X14" s="79">
        <f t="shared" si="15"/>
        <v>-267.5</v>
      </c>
      <c r="Y14" s="79">
        <f t="shared" si="16"/>
        <v>-937.0739219712525</v>
      </c>
      <c r="Z14" s="126">
        <f t="shared" si="17"/>
        <v>9762.926078028748</v>
      </c>
      <c r="AA14" s="154" t="str">
        <f t="shared" si="18"/>
        <v>OK</v>
      </c>
      <c r="AF14" s="5"/>
      <c r="AG14" s="5"/>
      <c r="AH14" s="5"/>
    </row>
    <row r="15" spans="1:34" ht="13.5" customHeight="1">
      <c r="A15" s="116"/>
      <c r="B15" s="135" t="s">
        <v>59</v>
      </c>
      <c r="C15" s="99"/>
      <c r="D15" s="72">
        <v>40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40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40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40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40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40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40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40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40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40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40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40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40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40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40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40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40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40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40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40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40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40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40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40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461827</v>
      </c>
      <c r="J40" s="79"/>
      <c r="K40" s="80">
        <f>SUM(K8:K38)</f>
        <v>-46039.94125941137</v>
      </c>
      <c r="L40" s="104">
        <f>SUM(L8:L38)</f>
        <v>415787.05874058866</v>
      </c>
      <c r="M40" s="80">
        <f>SUM(M8:M38)</f>
        <v>0</v>
      </c>
      <c r="N40" s="80">
        <f>SUM(N8:N38)</f>
        <v>0</v>
      </c>
      <c r="O40" s="80">
        <f aca="true" t="shared" si="19" ref="O40:U40">SUM(O8:O38)</f>
        <v>461827</v>
      </c>
      <c r="P40" s="79"/>
      <c r="Q40" s="80">
        <f t="shared" si="19"/>
        <v>-11730.985</v>
      </c>
      <c r="R40" s="80">
        <f t="shared" si="19"/>
        <v>-57770.92625941137</v>
      </c>
      <c r="S40" s="104">
        <f t="shared" si="19"/>
        <v>404056.0737405886</v>
      </c>
      <c r="T40" s="80">
        <f t="shared" si="19"/>
        <v>0</v>
      </c>
      <c r="U40" s="80">
        <f t="shared" si="19"/>
        <v>0</v>
      </c>
      <c r="V40" s="80">
        <f>SUM(V8:V38)</f>
        <v>461827</v>
      </c>
      <c r="W40" s="79"/>
      <c r="X40" s="80">
        <f>SUM(X8:X38)</f>
        <v>-11730.985</v>
      </c>
      <c r="Y40" s="80">
        <f>SUM(Y8:Y38)</f>
        <v>-69501.91125941137</v>
      </c>
      <c r="Z40" s="128">
        <f>SUM(Z8:Z38)</f>
        <v>392325.0887405886</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4" r:id="rId1"/>
</worksheet>
</file>

<file path=xl/worksheets/sheet25.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49</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t="s">
        <v>145</v>
      </c>
      <c r="B8" s="98">
        <v>39264</v>
      </c>
      <c r="C8" s="135"/>
      <c r="D8" s="72">
        <v>30</v>
      </c>
      <c r="E8" s="137">
        <v>8061</v>
      </c>
      <c r="F8" s="81">
        <v>0</v>
      </c>
      <c r="G8" s="79">
        <f>+E8-F8</f>
        <v>8061</v>
      </c>
      <c r="H8" s="101">
        <f>+(E8-F8)/(D8*12)</f>
        <v>22.391666666666666</v>
      </c>
      <c r="I8" s="79">
        <f>IF(B8&lt;$I$5,E8,0)</f>
        <v>8061</v>
      </c>
      <c r="J8" s="76">
        <f>IF(B8&gt;$I$5,0,IF(($I$5-B8)/30.4375&gt;(D8*12),(D8*12),($I$5-B8)/30.4375))</f>
        <v>6.04517453798768</v>
      </c>
      <c r="K8" s="79">
        <f>IF(H8*J8&gt;I8,-I8,-H8*J8)</f>
        <v>-135.36153319644077</v>
      </c>
      <c r="L8" s="101">
        <f>+I8+K8</f>
        <v>7925.638466803559</v>
      </c>
      <c r="M8" s="79">
        <f>IF(AND($I$5&lt;B8,B8&lt;$M$5+1),E8,0)</f>
        <v>0</v>
      </c>
      <c r="N8" s="79">
        <f>IF(AND($I$5&lt;C8,C8&lt;$M$5+1),-E8,0)</f>
        <v>0</v>
      </c>
      <c r="O8" s="79">
        <f>+I8+M8+N8</f>
        <v>8061</v>
      </c>
      <c r="P8" s="72">
        <v>12</v>
      </c>
      <c r="Q8" s="79">
        <f>-H8*P8</f>
        <v>-268.7</v>
      </c>
      <c r="R8" s="79">
        <f>IF(O8=0,0,K8+Q8)</f>
        <v>-404.0615331964408</v>
      </c>
      <c r="S8" s="101">
        <f>+O8+R8</f>
        <v>7656.938466803559</v>
      </c>
      <c r="T8" s="79">
        <f>IF(AND($M$5&lt;B8,J8&lt;$T$5+1),E8,0)</f>
        <v>0</v>
      </c>
      <c r="U8" s="79">
        <f>IF(AND($M$5&lt;C8,C8&lt;$T$5+1),-E8,0)</f>
        <v>0</v>
      </c>
      <c r="V8" s="79">
        <f>+O8+T8+U8</f>
        <v>8061</v>
      </c>
      <c r="W8" s="72">
        <v>12</v>
      </c>
      <c r="X8" s="79">
        <f>-H8*W8</f>
        <v>-268.7</v>
      </c>
      <c r="Y8" s="79">
        <f>IF(V8=0,0,R8+X8)</f>
        <v>-672.7615331964407</v>
      </c>
      <c r="Z8" s="126">
        <f>+V8+Y8</f>
        <v>7388.238466803559</v>
      </c>
      <c r="AA8" s="154" t="str">
        <f>IF(J8+P8+W8&lt;((D8*12)+1),"OK","ERROR")</f>
        <v>OK</v>
      </c>
    </row>
    <row r="9" spans="1:27" ht="15" customHeight="1">
      <c r="A9" s="115" t="s">
        <v>146</v>
      </c>
      <c r="B9" s="98">
        <v>37438</v>
      </c>
      <c r="C9" s="135" t="s">
        <v>59</v>
      </c>
      <c r="D9" s="72">
        <v>20</v>
      </c>
      <c r="E9" s="137">
        <v>5900</v>
      </c>
      <c r="F9" s="81">
        <v>0</v>
      </c>
      <c r="G9" s="79">
        <f aca="true" t="shared" si="0" ref="G9:G38">+E9-F9</f>
        <v>5900</v>
      </c>
      <c r="H9" s="101">
        <f aca="true" t="shared" si="1" ref="H9:H38">+(E9-F9)/(D9*12)</f>
        <v>24.583333333333332</v>
      </c>
      <c r="I9" s="79">
        <f aca="true" t="shared" si="2" ref="I9:I38">IF(B9&lt;$I$5,E9,0)</f>
        <v>5900</v>
      </c>
      <c r="J9" s="76">
        <f aca="true" t="shared" si="3" ref="J9:J38">IF(B9&gt;$I$5,0,IF(($I$5-B9)/30.4375&gt;(D9*12),(D9*12),($I$5-B9)/30.4375))</f>
        <v>66.03696098562628</v>
      </c>
      <c r="K9" s="79">
        <f aca="true" t="shared" si="4" ref="K9:K38">IF(H9*J9&gt;I9,-I9,-H9*J9)</f>
        <v>-1623.4086242299793</v>
      </c>
      <c r="L9" s="101">
        <f aca="true" t="shared" si="5" ref="L9:L38">+I9+K9</f>
        <v>4276.591375770021</v>
      </c>
      <c r="M9" s="79">
        <f aca="true" t="shared" si="6" ref="M9:M38">IF(AND($I$5&lt;B9,B9&lt;$M$5+1),E9,0)</f>
        <v>0</v>
      </c>
      <c r="N9" s="79">
        <f aca="true" t="shared" si="7" ref="N9:N38">IF(AND($I$5&lt;C9,C9&lt;$M$5+1),-E9,0)</f>
        <v>0</v>
      </c>
      <c r="O9" s="79">
        <f aca="true" t="shared" si="8" ref="O9:O38">+I9+M9+N9</f>
        <v>5900</v>
      </c>
      <c r="P9" s="72">
        <v>12</v>
      </c>
      <c r="Q9" s="79">
        <f aca="true" t="shared" si="9" ref="Q9:Q38">-H9*P9</f>
        <v>-295</v>
      </c>
      <c r="R9" s="79">
        <f aca="true" t="shared" si="10" ref="R9:R38">IF(O9=0,0,K9+Q9)</f>
        <v>-1918.4086242299793</v>
      </c>
      <c r="S9" s="101">
        <f aca="true" t="shared" si="11" ref="S9:S38">+O9+R9</f>
        <v>3981.591375770021</v>
      </c>
      <c r="T9" s="79">
        <f aca="true" t="shared" si="12" ref="T9:T38">IF(AND($M$5&lt;B9,J9&lt;$T$5+1),E9,0)</f>
        <v>0</v>
      </c>
      <c r="U9" s="79">
        <f aca="true" t="shared" si="13" ref="U9:U38">IF(AND($M$5&lt;C9,C9&lt;$T$5+1),-E9,0)</f>
        <v>0</v>
      </c>
      <c r="V9" s="79">
        <f aca="true" t="shared" si="14" ref="V9:V38">+O9+T9+U9</f>
        <v>5900</v>
      </c>
      <c r="W9" s="72">
        <v>12</v>
      </c>
      <c r="X9" s="79">
        <f aca="true" t="shared" si="15" ref="X9:X38">-H9*W9</f>
        <v>-295</v>
      </c>
      <c r="Y9" s="79">
        <f aca="true" t="shared" si="16" ref="Y9:Y38">IF(V9=0,0,R9+X9)</f>
        <v>-2213.408624229979</v>
      </c>
      <c r="Z9" s="126">
        <f aca="true" t="shared" si="17" ref="Z9:Z38">+V9+Y9</f>
        <v>3686.591375770021</v>
      </c>
      <c r="AA9" s="154" t="str">
        <f aca="true" t="shared" si="18" ref="AA9:AA38">IF(J9+P9+W9&lt;((D9*12)+1),"OK","ERROR")</f>
        <v>OK</v>
      </c>
    </row>
    <row r="10" spans="1:27" ht="15" customHeight="1">
      <c r="A10" s="115" t="s">
        <v>147</v>
      </c>
      <c r="B10" s="156">
        <v>37438</v>
      </c>
      <c r="C10" s="135" t="s">
        <v>59</v>
      </c>
      <c r="D10" s="72">
        <v>20</v>
      </c>
      <c r="E10" s="137">
        <v>5500</v>
      </c>
      <c r="F10" s="81">
        <v>0</v>
      </c>
      <c r="G10" s="79">
        <f t="shared" si="0"/>
        <v>5500</v>
      </c>
      <c r="H10" s="101">
        <f t="shared" si="1"/>
        <v>22.916666666666668</v>
      </c>
      <c r="I10" s="79">
        <f t="shared" si="2"/>
        <v>5500</v>
      </c>
      <c r="J10" s="76">
        <f t="shared" si="3"/>
        <v>66.03696098562628</v>
      </c>
      <c r="K10" s="79">
        <f t="shared" si="4"/>
        <v>-1513.347022587269</v>
      </c>
      <c r="L10" s="101">
        <f t="shared" si="5"/>
        <v>3986.652977412731</v>
      </c>
      <c r="M10" s="79">
        <f t="shared" si="6"/>
        <v>0</v>
      </c>
      <c r="N10" s="79">
        <f t="shared" si="7"/>
        <v>0</v>
      </c>
      <c r="O10" s="79">
        <f t="shared" si="8"/>
        <v>5500</v>
      </c>
      <c r="P10" s="72">
        <v>12</v>
      </c>
      <c r="Q10" s="79">
        <f t="shared" si="9"/>
        <v>-275</v>
      </c>
      <c r="R10" s="79">
        <f t="shared" si="10"/>
        <v>-1788.347022587269</v>
      </c>
      <c r="S10" s="101">
        <f t="shared" si="11"/>
        <v>3711.652977412731</v>
      </c>
      <c r="T10" s="79">
        <f t="shared" si="12"/>
        <v>0</v>
      </c>
      <c r="U10" s="79">
        <f t="shared" si="13"/>
        <v>0</v>
      </c>
      <c r="V10" s="79">
        <f t="shared" si="14"/>
        <v>5500</v>
      </c>
      <c r="W10" s="72">
        <v>12</v>
      </c>
      <c r="X10" s="79">
        <f t="shared" si="15"/>
        <v>-275</v>
      </c>
      <c r="Y10" s="79">
        <f t="shared" si="16"/>
        <v>-2063.347022587269</v>
      </c>
      <c r="Z10" s="126">
        <f t="shared" si="17"/>
        <v>3436.652977412731</v>
      </c>
      <c r="AA10" s="154" t="str">
        <f t="shared" si="18"/>
        <v>OK</v>
      </c>
    </row>
    <row r="11" spans="1:31" s="66" customFormat="1" ht="13.5" customHeight="1">
      <c r="A11" s="116" t="s">
        <v>148</v>
      </c>
      <c r="B11" s="98">
        <v>39264</v>
      </c>
      <c r="C11" s="99"/>
      <c r="D11" s="72">
        <v>10</v>
      </c>
      <c r="E11" s="81">
        <v>18818</v>
      </c>
      <c r="F11" s="81">
        <v>0</v>
      </c>
      <c r="G11" s="79">
        <f t="shared" si="0"/>
        <v>18818</v>
      </c>
      <c r="H11" s="101">
        <f t="shared" si="1"/>
        <v>156.81666666666666</v>
      </c>
      <c r="I11" s="79">
        <f t="shared" si="2"/>
        <v>18818</v>
      </c>
      <c r="J11" s="76">
        <f t="shared" si="3"/>
        <v>6.04517453798768</v>
      </c>
      <c r="K11" s="79">
        <f t="shared" si="4"/>
        <v>-947.9841204654346</v>
      </c>
      <c r="L11" s="101">
        <f t="shared" si="5"/>
        <v>17870.015879534567</v>
      </c>
      <c r="M11" s="79">
        <f t="shared" si="6"/>
        <v>0</v>
      </c>
      <c r="N11" s="79">
        <f t="shared" si="7"/>
        <v>0</v>
      </c>
      <c r="O11" s="79">
        <f t="shared" si="8"/>
        <v>18818</v>
      </c>
      <c r="P11" s="72">
        <v>12</v>
      </c>
      <c r="Q11" s="79">
        <f t="shared" si="9"/>
        <v>-1881.8</v>
      </c>
      <c r="R11" s="79">
        <f t="shared" si="10"/>
        <v>-2829.7841204654346</v>
      </c>
      <c r="S11" s="101">
        <f t="shared" si="11"/>
        <v>15988.215879534566</v>
      </c>
      <c r="T11" s="79">
        <f t="shared" si="12"/>
        <v>0</v>
      </c>
      <c r="U11" s="79">
        <f t="shared" si="13"/>
        <v>0</v>
      </c>
      <c r="V11" s="79">
        <f t="shared" si="14"/>
        <v>18818</v>
      </c>
      <c r="W11" s="72">
        <v>12</v>
      </c>
      <c r="X11" s="79">
        <f t="shared" si="15"/>
        <v>-1881.8</v>
      </c>
      <c r="Y11" s="79">
        <f t="shared" si="16"/>
        <v>-4711.584120465434</v>
      </c>
      <c r="Z11" s="126">
        <f t="shared" si="17"/>
        <v>14106.415879534565</v>
      </c>
      <c r="AA11" s="154" t="str">
        <f t="shared" si="18"/>
        <v>OK</v>
      </c>
      <c r="AB11" s="60"/>
      <c r="AC11" s="60"/>
      <c r="AD11" s="60"/>
      <c r="AE11" s="60"/>
    </row>
    <row r="12" spans="1:31" s="66" customFormat="1" ht="13.5" customHeight="1">
      <c r="A12" s="116" t="s">
        <v>149</v>
      </c>
      <c r="B12" s="98">
        <v>39264</v>
      </c>
      <c r="C12" s="99"/>
      <c r="D12" s="72">
        <v>20</v>
      </c>
      <c r="E12" s="81">
        <v>5600</v>
      </c>
      <c r="F12" s="81">
        <v>0</v>
      </c>
      <c r="G12" s="79">
        <f t="shared" si="0"/>
        <v>5600</v>
      </c>
      <c r="H12" s="101">
        <f t="shared" si="1"/>
        <v>23.333333333333332</v>
      </c>
      <c r="I12" s="79">
        <f t="shared" si="2"/>
        <v>5600</v>
      </c>
      <c r="J12" s="76">
        <f t="shared" si="3"/>
        <v>6.04517453798768</v>
      </c>
      <c r="K12" s="79">
        <f t="shared" si="4"/>
        <v>-141.05407255304584</v>
      </c>
      <c r="L12" s="101">
        <f t="shared" si="5"/>
        <v>5458.945927446955</v>
      </c>
      <c r="M12" s="79">
        <f t="shared" si="6"/>
        <v>0</v>
      </c>
      <c r="N12" s="79">
        <f t="shared" si="7"/>
        <v>0</v>
      </c>
      <c r="O12" s="79">
        <f t="shared" si="8"/>
        <v>5600</v>
      </c>
      <c r="P12" s="72">
        <v>12</v>
      </c>
      <c r="Q12" s="79">
        <f t="shared" si="9"/>
        <v>-280</v>
      </c>
      <c r="R12" s="79">
        <f t="shared" si="10"/>
        <v>-421.05407255304584</v>
      </c>
      <c r="S12" s="101">
        <f t="shared" si="11"/>
        <v>5178.945927446955</v>
      </c>
      <c r="T12" s="79">
        <f t="shared" si="12"/>
        <v>0</v>
      </c>
      <c r="U12" s="79">
        <f t="shared" si="13"/>
        <v>0</v>
      </c>
      <c r="V12" s="79">
        <f t="shared" si="14"/>
        <v>5600</v>
      </c>
      <c r="W12" s="72">
        <v>12</v>
      </c>
      <c r="X12" s="79">
        <f t="shared" si="15"/>
        <v>-280</v>
      </c>
      <c r="Y12" s="79">
        <f t="shared" si="16"/>
        <v>-701.0540725530459</v>
      </c>
      <c r="Z12" s="126">
        <f t="shared" si="17"/>
        <v>4898.945927446954</v>
      </c>
      <c r="AA12" s="154" t="str">
        <f t="shared" si="18"/>
        <v>OK</v>
      </c>
      <c r="AB12" s="60"/>
      <c r="AC12" s="64"/>
      <c r="AD12" s="60"/>
      <c r="AE12" s="64"/>
    </row>
    <row r="13" spans="1:34" ht="12.75" customHeight="1">
      <c r="A13" s="116" t="s">
        <v>150</v>
      </c>
      <c r="B13" s="98">
        <v>39264</v>
      </c>
      <c r="C13" s="99"/>
      <c r="D13" s="72">
        <v>10</v>
      </c>
      <c r="E13" s="81">
        <v>6462</v>
      </c>
      <c r="F13" s="81">
        <v>0</v>
      </c>
      <c r="G13" s="79">
        <f t="shared" si="0"/>
        <v>6462</v>
      </c>
      <c r="H13" s="101">
        <f t="shared" si="1"/>
        <v>53.85</v>
      </c>
      <c r="I13" s="79">
        <f t="shared" si="2"/>
        <v>6462</v>
      </c>
      <c r="J13" s="76">
        <f t="shared" si="3"/>
        <v>6.04517453798768</v>
      </c>
      <c r="K13" s="79">
        <f t="shared" si="4"/>
        <v>-325.53264887063654</v>
      </c>
      <c r="L13" s="101">
        <f t="shared" si="5"/>
        <v>6136.467351129363</v>
      </c>
      <c r="M13" s="79">
        <f t="shared" si="6"/>
        <v>0</v>
      </c>
      <c r="N13" s="79">
        <f t="shared" si="7"/>
        <v>0</v>
      </c>
      <c r="O13" s="79">
        <f t="shared" si="8"/>
        <v>6462</v>
      </c>
      <c r="P13" s="72">
        <v>12</v>
      </c>
      <c r="Q13" s="79">
        <f t="shared" si="9"/>
        <v>-646.2</v>
      </c>
      <c r="R13" s="79">
        <f t="shared" si="10"/>
        <v>-971.7326488706366</v>
      </c>
      <c r="S13" s="101">
        <f t="shared" si="11"/>
        <v>5490.267351129363</v>
      </c>
      <c r="T13" s="79">
        <f t="shared" si="12"/>
        <v>0</v>
      </c>
      <c r="U13" s="79">
        <f t="shared" si="13"/>
        <v>0</v>
      </c>
      <c r="V13" s="79">
        <f t="shared" si="14"/>
        <v>6462</v>
      </c>
      <c r="W13" s="72">
        <v>12</v>
      </c>
      <c r="X13" s="79">
        <f t="shared" si="15"/>
        <v>-646.2</v>
      </c>
      <c r="Y13" s="79">
        <f t="shared" si="16"/>
        <v>-1617.9326488706365</v>
      </c>
      <c r="Z13" s="126">
        <f t="shared" si="17"/>
        <v>4844.0673511293635</v>
      </c>
      <c r="AA13" s="154" t="str">
        <f t="shared" si="18"/>
        <v>OK</v>
      </c>
      <c r="AF13" s="5"/>
      <c r="AG13" s="5"/>
      <c r="AH13" s="5"/>
    </row>
    <row r="14" spans="1:34" ht="12.75" customHeight="1">
      <c r="A14" s="116" t="s">
        <v>151</v>
      </c>
      <c r="B14" s="98">
        <v>37073</v>
      </c>
      <c r="C14" s="99"/>
      <c r="D14" s="72">
        <v>30</v>
      </c>
      <c r="E14" s="81">
        <v>12336</v>
      </c>
      <c r="F14" s="81">
        <v>0</v>
      </c>
      <c r="G14" s="79">
        <f t="shared" si="0"/>
        <v>12336</v>
      </c>
      <c r="H14" s="101">
        <f t="shared" si="1"/>
        <v>34.266666666666666</v>
      </c>
      <c r="I14" s="79">
        <f t="shared" si="2"/>
        <v>12336</v>
      </c>
      <c r="J14" s="76">
        <f t="shared" si="3"/>
        <v>78.02874743326488</v>
      </c>
      <c r="K14" s="79">
        <f t="shared" si="4"/>
        <v>-2673.7850787132097</v>
      </c>
      <c r="L14" s="101">
        <f t="shared" si="5"/>
        <v>9662.21492128679</v>
      </c>
      <c r="M14" s="79">
        <f t="shared" si="6"/>
        <v>0</v>
      </c>
      <c r="N14" s="79">
        <f t="shared" si="7"/>
        <v>0</v>
      </c>
      <c r="O14" s="79">
        <f t="shared" si="8"/>
        <v>12336</v>
      </c>
      <c r="P14" s="72">
        <v>12</v>
      </c>
      <c r="Q14" s="79">
        <f t="shared" si="9"/>
        <v>-411.2</v>
      </c>
      <c r="R14" s="79">
        <f t="shared" si="10"/>
        <v>-3084.9850787132095</v>
      </c>
      <c r="S14" s="101">
        <f t="shared" si="11"/>
        <v>9251.014921286791</v>
      </c>
      <c r="T14" s="79">
        <f t="shared" si="12"/>
        <v>0</v>
      </c>
      <c r="U14" s="79">
        <f t="shared" si="13"/>
        <v>0</v>
      </c>
      <c r="V14" s="79">
        <f t="shared" si="14"/>
        <v>12336</v>
      </c>
      <c r="W14" s="72">
        <v>12</v>
      </c>
      <c r="X14" s="79">
        <f t="shared" si="15"/>
        <v>-411.2</v>
      </c>
      <c r="Y14" s="79">
        <f t="shared" si="16"/>
        <v>-3496.1850787132094</v>
      </c>
      <c r="Z14" s="126">
        <f t="shared" si="17"/>
        <v>8839.81492128679</v>
      </c>
      <c r="AA14" s="154" t="str">
        <f t="shared" si="18"/>
        <v>OK</v>
      </c>
      <c r="AF14" s="5"/>
      <c r="AG14" s="5"/>
      <c r="AH14" s="5"/>
    </row>
    <row r="15" spans="1:34" ht="13.5" customHeight="1">
      <c r="A15" s="116" t="s">
        <v>152</v>
      </c>
      <c r="B15" s="98">
        <v>34881</v>
      </c>
      <c r="C15" s="100"/>
      <c r="D15" s="72">
        <v>20</v>
      </c>
      <c r="E15" s="81">
        <v>12530</v>
      </c>
      <c r="F15" s="81">
        <v>0</v>
      </c>
      <c r="G15" s="79">
        <f t="shared" si="0"/>
        <v>12530</v>
      </c>
      <c r="H15" s="101">
        <f t="shared" si="1"/>
        <v>52.208333333333336</v>
      </c>
      <c r="I15" s="79">
        <f t="shared" si="2"/>
        <v>12530</v>
      </c>
      <c r="J15" s="76">
        <f t="shared" si="3"/>
        <v>150.0451745379877</v>
      </c>
      <c r="K15" s="79">
        <f t="shared" si="4"/>
        <v>-7833.608487337441</v>
      </c>
      <c r="L15" s="101">
        <f t="shared" si="5"/>
        <v>4696.391512662559</v>
      </c>
      <c r="M15" s="79">
        <f t="shared" si="6"/>
        <v>0</v>
      </c>
      <c r="N15" s="79">
        <f t="shared" si="7"/>
        <v>0</v>
      </c>
      <c r="O15" s="79">
        <f t="shared" si="8"/>
        <v>12530</v>
      </c>
      <c r="P15" s="72">
        <v>12</v>
      </c>
      <c r="Q15" s="79">
        <f t="shared" si="9"/>
        <v>-626.5</v>
      </c>
      <c r="R15" s="79">
        <f t="shared" si="10"/>
        <v>-8460.108487337442</v>
      </c>
      <c r="S15" s="101">
        <f t="shared" si="11"/>
        <v>4069.891512662558</v>
      </c>
      <c r="T15" s="79">
        <f t="shared" si="12"/>
        <v>0</v>
      </c>
      <c r="U15" s="79">
        <f t="shared" si="13"/>
        <v>0</v>
      </c>
      <c r="V15" s="79">
        <f t="shared" si="14"/>
        <v>12530</v>
      </c>
      <c r="W15" s="72">
        <v>12</v>
      </c>
      <c r="X15" s="79">
        <f t="shared" si="15"/>
        <v>-626.5</v>
      </c>
      <c r="Y15" s="79">
        <f t="shared" si="16"/>
        <v>-9086.608487337442</v>
      </c>
      <c r="Z15" s="126">
        <f t="shared" si="17"/>
        <v>3443.391512662558</v>
      </c>
      <c r="AA15" s="154" t="str">
        <f t="shared" si="18"/>
        <v>OK</v>
      </c>
      <c r="AF15" s="5"/>
      <c r="AG15" s="5"/>
      <c r="AH15" s="5"/>
    </row>
    <row r="16" spans="1:34" ht="13.5" customHeight="1">
      <c r="A16" s="116" t="s">
        <v>153</v>
      </c>
      <c r="B16" s="98">
        <v>33055</v>
      </c>
      <c r="C16" s="100"/>
      <c r="D16" s="72">
        <v>20</v>
      </c>
      <c r="E16" s="81">
        <v>28652</v>
      </c>
      <c r="F16" s="81">
        <v>0</v>
      </c>
      <c r="G16" s="79">
        <f t="shared" si="0"/>
        <v>28652</v>
      </c>
      <c r="H16" s="101">
        <f t="shared" si="1"/>
        <v>119.38333333333334</v>
      </c>
      <c r="I16" s="79">
        <f t="shared" si="2"/>
        <v>28652</v>
      </c>
      <c r="J16" s="76">
        <f t="shared" si="3"/>
        <v>210.03696098562628</v>
      </c>
      <c r="K16" s="79">
        <f t="shared" si="4"/>
        <v>-25074.91252566735</v>
      </c>
      <c r="L16" s="101">
        <f t="shared" si="5"/>
        <v>3577.0874743326494</v>
      </c>
      <c r="M16" s="79">
        <f t="shared" si="6"/>
        <v>0</v>
      </c>
      <c r="N16" s="79">
        <f t="shared" si="7"/>
        <v>0</v>
      </c>
      <c r="O16" s="79">
        <f t="shared" si="8"/>
        <v>28652</v>
      </c>
      <c r="P16" s="72">
        <v>12</v>
      </c>
      <c r="Q16" s="79">
        <f t="shared" si="9"/>
        <v>-1432.6000000000001</v>
      </c>
      <c r="R16" s="79">
        <f t="shared" si="10"/>
        <v>-26507.51252566735</v>
      </c>
      <c r="S16" s="101">
        <f t="shared" si="11"/>
        <v>2144.487474332651</v>
      </c>
      <c r="T16" s="79">
        <f t="shared" si="12"/>
        <v>0</v>
      </c>
      <c r="U16" s="79">
        <f t="shared" si="13"/>
        <v>0</v>
      </c>
      <c r="V16" s="79">
        <f t="shared" si="14"/>
        <v>28652</v>
      </c>
      <c r="W16" s="72">
        <v>12</v>
      </c>
      <c r="X16" s="79">
        <f t="shared" si="15"/>
        <v>-1432.6000000000001</v>
      </c>
      <c r="Y16" s="79">
        <f t="shared" si="16"/>
        <v>-27940.112525667348</v>
      </c>
      <c r="Z16" s="126">
        <f t="shared" si="17"/>
        <v>711.8874743326523</v>
      </c>
      <c r="AA16" s="154" t="str">
        <f t="shared" si="18"/>
        <v>OK</v>
      </c>
      <c r="AF16" s="5"/>
      <c r="AG16" s="5"/>
      <c r="AH16" s="5"/>
    </row>
    <row r="17" spans="1:34" ht="13.5" customHeight="1">
      <c r="A17" s="116" t="s">
        <v>154</v>
      </c>
      <c r="B17" s="98">
        <v>33786</v>
      </c>
      <c r="C17" s="100"/>
      <c r="D17" s="72">
        <v>20</v>
      </c>
      <c r="E17" s="81">
        <v>15101</v>
      </c>
      <c r="F17" s="81">
        <v>0</v>
      </c>
      <c r="G17" s="79">
        <f t="shared" si="0"/>
        <v>15101</v>
      </c>
      <c r="H17" s="101">
        <f t="shared" si="1"/>
        <v>62.920833333333334</v>
      </c>
      <c r="I17" s="79">
        <f t="shared" si="2"/>
        <v>15101</v>
      </c>
      <c r="J17" s="76">
        <f t="shared" si="3"/>
        <v>186.02053388090349</v>
      </c>
      <c r="K17" s="79">
        <f t="shared" si="4"/>
        <v>-11704.567008898015</v>
      </c>
      <c r="L17" s="101">
        <f t="shared" si="5"/>
        <v>3396.432991101985</v>
      </c>
      <c r="M17" s="79">
        <f t="shared" si="6"/>
        <v>0</v>
      </c>
      <c r="N17" s="79">
        <f t="shared" si="7"/>
        <v>0</v>
      </c>
      <c r="O17" s="79">
        <f t="shared" si="8"/>
        <v>15101</v>
      </c>
      <c r="P17" s="72">
        <v>12</v>
      </c>
      <c r="Q17" s="79">
        <f t="shared" si="9"/>
        <v>-755.05</v>
      </c>
      <c r="R17" s="79">
        <f t="shared" si="10"/>
        <v>-12459.617008898014</v>
      </c>
      <c r="S17" s="101">
        <f t="shared" si="11"/>
        <v>2641.3829911019857</v>
      </c>
      <c r="T17" s="79">
        <f t="shared" si="12"/>
        <v>0</v>
      </c>
      <c r="U17" s="79">
        <f t="shared" si="13"/>
        <v>0</v>
      </c>
      <c r="V17" s="79">
        <f t="shared" si="14"/>
        <v>15101</v>
      </c>
      <c r="W17" s="72">
        <v>12</v>
      </c>
      <c r="X17" s="79">
        <f t="shared" si="15"/>
        <v>-755.05</v>
      </c>
      <c r="Y17" s="79">
        <f t="shared" si="16"/>
        <v>-13214.667008898014</v>
      </c>
      <c r="Z17" s="126">
        <f t="shared" si="17"/>
        <v>1886.3329911019864</v>
      </c>
      <c r="AA17" s="154" t="str">
        <f t="shared" si="18"/>
        <v>OK</v>
      </c>
      <c r="AF17" s="5"/>
      <c r="AG17" s="5"/>
      <c r="AH17" s="5"/>
    </row>
    <row r="18" spans="1:34" ht="13.5" customHeight="1">
      <c r="A18" s="116" t="s">
        <v>155</v>
      </c>
      <c r="B18" s="98">
        <v>36708</v>
      </c>
      <c r="C18" s="99"/>
      <c r="D18" s="72">
        <v>20</v>
      </c>
      <c r="E18" s="81">
        <v>17996</v>
      </c>
      <c r="F18" s="81">
        <v>0</v>
      </c>
      <c r="G18" s="79">
        <f t="shared" si="0"/>
        <v>17996</v>
      </c>
      <c r="H18" s="101">
        <f t="shared" si="1"/>
        <v>74.98333333333333</v>
      </c>
      <c r="I18" s="79">
        <f t="shared" si="2"/>
        <v>17996</v>
      </c>
      <c r="J18" s="76">
        <f t="shared" si="3"/>
        <v>90.02053388090349</v>
      </c>
      <c r="K18" s="79">
        <f t="shared" si="4"/>
        <v>-6750.039698836413</v>
      </c>
      <c r="L18" s="101">
        <f t="shared" si="5"/>
        <v>11245.960301163588</v>
      </c>
      <c r="M18" s="79">
        <f t="shared" si="6"/>
        <v>0</v>
      </c>
      <c r="N18" s="79">
        <f t="shared" si="7"/>
        <v>0</v>
      </c>
      <c r="O18" s="79">
        <f t="shared" si="8"/>
        <v>17996</v>
      </c>
      <c r="P18" s="72">
        <v>12</v>
      </c>
      <c r="Q18" s="79">
        <f t="shared" si="9"/>
        <v>-899.8</v>
      </c>
      <c r="R18" s="79">
        <f t="shared" si="10"/>
        <v>-7649.839698836413</v>
      </c>
      <c r="S18" s="101">
        <f t="shared" si="11"/>
        <v>10346.160301163587</v>
      </c>
      <c r="T18" s="79">
        <f t="shared" si="12"/>
        <v>0</v>
      </c>
      <c r="U18" s="79">
        <f t="shared" si="13"/>
        <v>0</v>
      </c>
      <c r="V18" s="79">
        <f t="shared" si="14"/>
        <v>17996</v>
      </c>
      <c r="W18" s="72">
        <v>12</v>
      </c>
      <c r="X18" s="79">
        <f t="shared" si="15"/>
        <v>-899.8</v>
      </c>
      <c r="Y18" s="79">
        <f t="shared" si="16"/>
        <v>-8549.639698836412</v>
      </c>
      <c r="Z18" s="126">
        <f t="shared" si="17"/>
        <v>9446.360301163588</v>
      </c>
      <c r="AA18" s="154" t="str">
        <f t="shared" si="18"/>
        <v>OK</v>
      </c>
      <c r="AF18" s="5"/>
      <c r="AG18" s="5"/>
      <c r="AH18" s="5"/>
    </row>
    <row r="19" spans="1:34" ht="13.5" customHeight="1">
      <c r="A19" s="115" t="s">
        <v>156</v>
      </c>
      <c r="B19" s="98">
        <v>35612</v>
      </c>
      <c r="C19" s="73"/>
      <c r="D19" s="72">
        <v>30</v>
      </c>
      <c r="E19" s="81">
        <v>51273</v>
      </c>
      <c r="F19" s="81">
        <v>0</v>
      </c>
      <c r="G19" s="79">
        <f t="shared" si="0"/>
        <v>51273</v>
      </c>
      <c r="H19" s="101">
        <f t="shared" si="1"/>
        <v>142.425</v>
      </c>
      <c r="I19" s="79">
        <f t="shared" si="2"/>
        <v>51273</v>
      </c>
      <c r="J19" s="76">
        <f t="shared" si="3"/>
        <v>126.02874743326488</v>
      </c>
      <c r="K19" s="79">
        <f t="shared" si="4"/>
        <v>-17949.644353182754</v>
      </c>
      <c r="L19" s="101">
        <f t="shared" si="5"/>
        <v>33323.35564681725</v>
      </c>
      <c r="M19" s="79">
        <f t="shared" si="6"/>
        <v>0</v>
      </c>
      <c r="N19" s="79">
        <f t="shared" si="7"/>
        <v>0</v>
      </c>
      <c r="O19" s="79">
        <f t="shared" si="8"/>
        <v>51273</v>
      </c>
      <c r="P19" s="72">
        <v>12</v>
      </c>
      <c r="Q19" s="79">
        <f t="shared" si="9"/>
        <v>-1709.1000000000001</v>
      </c>
      <c r="R19" s="79">
        <f t="shared" si="10"/>
        <v>-19658.744353182752</v>
      </c>
      <c r="S19" s="101">
        <f t="shared" si="11"/>
        <v>31614.255646817248</v>
      </c>
      <c r="T19" s="79">
        <f t="shared" si="12"/>
        <v>0</v>
      </c>
      <c r="U19" s="79">
        <f t="shared" si="13"/>
        <v>0</v>
      </c>
      <c r="V19" s="79">
        <f t="shared" si="14"/>
        <v>51273</v>
      </c>
      <c r="W19" s="72">
        <v>12</v>
      </c>
      <c r="X19" s="79">
        <f t="shared" si="15"/>
        <v>-1709.1000000000001</v>
      </c>
      <c r="Y19" s="79">
        <f t="shared" si="16"/>
        <v>-21367.84435318275</v>
      </c>
      <c r="Z19" s="126">
        <f t="shared" si="17"/>
        <v>29905.15564681725</v>
      </c>
      <c r="AA19" s="154" t="str">
        <f t="shared" si="18"/>
        <v>OK</v>
      </c>
      <c r="AF19" s="5"/>
      <c r="AG19" s="5"/>
      <c r="AH19" s="5"/>
    </row>
    <row r="20" spans="1:34" ht="13.5" customHeight="1">
      <c r="A20" s="115" t="s">
        <v>157</v>
      </c>
      <c r="B20" s="98">
        <v>37622</v>
      </c>
      <c r="C20" s="73"/>
      <c r="D20" s="72">
        <v>20</v>
      </c>
      <c r="E20" s="81">
        <v>12303</v>
      </c>
      <c r="F20" s="81">
        <v>0</v>
      </c>
      <c r="G20" s="79">
        <f t="shared" si="0"/>
        <v>12303</v>
      </c>
      <c r="H20" s="101">
        <f t="shared" si="1"/>
        <v>51.2625</v>
      </c>
      <c r="I20" s="79">
        <f t="shared" si="2"/>
        <v>12303</v>
      </c>
      <c r="J20" s="76">
        <f t="shared" si="3"/>
        <v>59.9917864476386</v>
      </c>
      <c r="K20" s="79">
        <f t="shared" si="4"/>
        <v>-3075.328952772074</v>
      </c>
      <c r="L20" s="101">
        <f t="shared" si="5"/>
        <v>9227.671047227926</v>
      </c>
      <c r="M20" s="79">
        <f t="shared" si="6"/>
        <v>0</v>
      </c>
      <c r="N20" s="79">
        <f t="shared" si="7"/>
        <v>0</v>
      </c>
      <c r="O20" s="79">
        <f t="shared" si="8"/>
        <v>12303</v>
      </c>
      <c r="P20" s="72">
        <v>12</v>
      </c>
      <c r="Q20" s="79">
        <f t="shared" si="9"/>
        <v>-615.1500000000001</v>
      </c>
      <c r="R20" s="79">
        <f t="shared" si="10"/>
        <v>-3690.478952772074</v>
      </c>
      <c r="S20" s="101">
        <f t="shared" si="11"/>
        <v>8612.521047227925</v>
      </c>
      <c r="T20" s="79">
        <f t="shared" si="12"/>
        <v>0</v>
      </c>
      <c r="U20" s="79">
        <f t="shared" si="13"/>
        <v>0</v>
      </c>
      <c r="V20" s="79">
        <f t="shared" si="14"/>
        <v>12303</v>
      </c>
      <c r="W20" s="72">
        <v>12</v>
      </c>
      <c r="X20" s="79">
        <f t="shared" si="15"/>
        <v>-615.1500000000001</v>
      </c>
      <c r="Y20" s="79">
        <f t="shared" si="16"/>
        <v>-4305.628952772075</v>
      </c>
      <c r="Z20" s="126">
        <f t="shared" si="17"/>
        <v>7997.371047227925</v>
      </c>
      <c r="AA20" s="154" t="str">
        <f t="shared" si="18"/>
        <v>OK</v>
      </c>
      <c r="AF20" s="5"/>
      <c r="AG20" s="5"/>
      <c r="AH20" s="5"/>
    </row>
    <row r="21" spans="1:34" ht="13.5" customHeight="1">
      <c r="A21" s="116" t="s">
        <v>148</v>
      </c>
      <c r="B21" s="98">
        <v>39722</v>
      </c>
      <c r="C21" s="100"/>
      <c r="D21" s="72">
        <v>10</v>
      </c>
      <c r="E21" s="81">
        <v>10597</v>
      </c>
      <c r="F21" s="81">
        <v>0</v>
      </c>
      <c r="G21" s="79">
        <f t="shared" si="0"/>
        <v>10597</v>
      </c>
      <c r="H21" s="101">
        <f t="shared" si="1"/>
        <v>88.30833333333334</v>
      </c>
      <c r="I21" s="79">
        <f t="shared" si="2"/>
        <v>0</v>
      </c>
      <c r="J21" s="76">
        <f t="shared" si="3"/>
        <v>0</v>
      </c>
      <c r="K21" s="79">
        <f t="shared" si="4"/>
        <v>0</v>
      </c>
      <c r="L21" s="101">
        <f t="shared" si="5"/>
        <v>0</v>
      </c>
      <c r="M21" s="79">
        <f t="shared" si="6"/>
        <v>10597</v>
      </c>
      <c r="N21" s="79">
        <f t="shared" si="7"/>
        <v>0</v>
      </c>
      <c r="O21" s="79">
        <f t="shared" si="8"/>
        <v>10597</v>
      </c>
      <c r="P21" s="72">
        <v>3</v>
      </c>
      <c r="Q21" s="79">
        <f t="shared" si="9"/>
        <v>-264.925</v>
      </c>
      <c r="R21" s="79">
        <f t="shared" si="10"/>
        <v>-264.925</v>
      </c>
      <c r="S21" s="101">
        <f t="shared" si="11"/>
        <v>10332.075</v>
      </c>
      <c r="T21" s="79">
        <f t="shared" si="12"/>
        <v>0</v>
      </c>
      <c r="U21" s="79">
        <f t="shared" si="13"/>
        <v>0</v>
      </c>
      <c r="V21" s="79">
        <f t="shared" si="14"/>
        <v>10597</v>
      </c>
      <c r="W21" s="72">
        <v>12</v>
      </c>
      <c r="X21" s="79">
        <f t="shared" si="15"/>
        <v>-1059.7</v>
      </c>
      <c r="Y21" s="79">
        <f t="shared" si="16"/>
        <v>-1324.625</v>
      </c>
      <c r="Z21" s="126">
        <f t="shared" si="17"/>
        <v>9272.375</v>
      </c>
      <c r="AA21" s="154" t="str">
        <f t="shared" si="18"/>
        <v>OK</v>
      </c>
      <c r="AF21" s="5"/>
      <c r="AG21" s="5"/>
      <c r="AH21" s="5"/>
    </row>
    <row r="22" spans="1:34" ht="13.5" customHeight="1">
      <c r="A22" s="117"/>
      <c r="B22" s="98" t="s">
        <v>59</v>
      </c>
      <c r="C22" s="100"/>
      <c r="D22" s="72">
        <v>30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30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30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30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30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30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30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30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30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30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30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30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30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30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30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30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30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200532</v>
      </c>
      <c r="J40" s="79"/>
      <c r="K40" s="80">
        <f>SUM(K8:K38)</f>
        <v>-79748.57412731007</v>
      </c>
      <c r="L40" s="104">
        <f>SUM(L8:L38)</f>
        <v>120783.42587268994</v>
      </c>
      <c r="M40" s="80">
        <f>SUM(M8:M38)</f>
        <v>10597</v>
      </c>
      <c r="N40" s="80">
        <f>SUM(N8:N38)</f>
        <v>0</v>
      </c>
      <c r="O40" s="80">
        <f aca="true" t="shared" si="19" ref="O40:U40">SUM(O8:O38)</f>
        <v>211129</v>
      </c>
      <c r="P40" s="79"/>
      <c r="Q40" s="80">
        <f t="shared" si="19"/>
        <v>-10361.025</v>
      </c>
      <c r="R40" s="80">
        <f t="shared" si="19"/>
        <v>-90109.59912731005</v>
      </c>
      <c r="S40" s="104">
        <f t="shared" si="19"/>
        <v>121019.40087268995</v>
      </c>
      <c r="T40" s="80">
        <f t="shared" si="19"/>
        <v>0</v>
      </c>
      <c r="U40" s="80">
        <f t="shared" si="19"/>
        <v>0</v>
      </c>
      <c r="V40" s="80">
        <f>SUM(V8:V38)</f>
        <v>211129</v>
      </c>
      <c r="W40" s="79"/>
      <c r="X40" s="80">
        <f>SUM(X8:X38)</f>
        <v>-11155.800000000001</v>
      </c>
      <c r="Y40" s="80">
        <f>SUM(Y8:Y38)</f>
        <v>-101265.39912731007</v>
      </c>
      <c r="Z40" s="128">
        <f>SUM(Z8:Z38)</f>
        <v>109863.60087268993</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4" r:id="rId1"/>
</worksheet>
</file>

<file path=xl/worksheets/sheet26.xml><?xml version="1.0" encoding="utf-8"?>
<worksheet xmlns="http://schemas.openxmlformats.org/spreadsheetml/2006/main" xmlns:r="http://schemas.openxmlformats.org/officeDocument/2006/relationships">
  <sheetPr>
    <pageSetUpPr fitToPage="1"/>
  </sheetPr>
  <dimension ref="A1:V83"/>
  <sheetViews>
    <sheetView zoomScale="75" zoomScaleNormal="75" workbookViewId="0" topLeftCell="A1">
      <selection activeCell="A1" sqref="A1"/>
    </sheetView>
  </sheetViews>
  <sheetFormatPr defaultColWidth="9.140625" defaultRowHeight="12.75"/>
  <cols>
    <col min="1" max="1" width="32.7109375" style="60" customWidth="1"/>
    <col min="2" max="2" width="14.7109375" style="60" customWidth="1"/>
    <col min="3" max="4" width="12.7109375" style="60" customWidth="1"/>
    <col min="5" max="11" width="14.7109375" style="60" customWidth="1"/>
    <col min="12" max="19" width="9.140625" style="60" customWidth="1"/>
    <col min="20" max="16384" width="9.140625" style="58" customWidth="1"/>
  </cols>
  <sheetData>
    <row r="1" spans="1:5" ht="15" customHeight="1">
      <c r="A1" s="74" t="s">
        <v>42</v>
      </c>
      <c r="B1" s="67"/>
      <c r="C1" s="59"/>
      <c r="D1" s="59"/>
      <c r="E1" s="59"/>
    </row>
    <row r="2" spans="1:17" ht="15.75" customHeight="1">
      <c r="A2" s="74" t="s">
        <v>34</v>
      </c>
      <c r="B2" s="67"/>
      <c r="C2" s="59"/>
      <c r="D2" s="59"/>
      <c r="E2" s="59"/>
      <c r="F2" s="59"/>
      <c r="G2" s="59"/>
      <c r="H2" s="59"/>
      <c r="I2" s="59"/>
      <c r="Q2" s="61"/>
    </row>
    <row r="3" spans="1:9" ht="15" customHeight="1">
      <c r="A3" s="139" t="s">
        <v>35</v>
      </c>
      <c r="B3" s="68"/>
      <c r="C3" s="59"/>
      <c r="D3" s="59"/>
      <c r="E3" s="138" t="s">
        <v>58</v>
      </c>
      <c r="F3" s="71"/>
      <c r="G3" s="59"/>
      <c r="H3" s="59"/>
      <c r="I3" s="59"/>
    </row>
    <row r="4" spans="1:19" ht="12.75">
      <c r="A4" s="59"/>
      <c r="B4" s="59"/>
      <c r="C4" s="59"/>
      <c r="D4" s="59"/>
      <c r="E4" s="63"/>
      <c r="F4" s="59"/>
      <c r="G4" s="59"/>
      <c r="H4" s="59"/>
      <c r="I4" s="59"/>
      <c r="K4" s="61"/>
      <c r="R4" s="62"/>
      <c r="S4" s="62"/>
    </row>
    <row r="5" spans="1:11" ht="12.75">
      <c r="A5" s="132"/>
      <c r="B5" s="132"/>
      <c r="C5" s="132" t="s">
        <v>39</v>
      </c>
      <c r="D5" s="132" t="s">
        <v>39</v>
      </c>
      <c r="E5" s="131">
        <v>39448</v>
      </c>
      <c r="F5" s="65"/>
      <c r="G5" s="65"/>
      <c r="H5" s="131">
        <v>39813</v>
      </c>
      <c r="I5" s="65"/>
      <c r="J5" s="65"/>
      <c r="K5" s="131">
        <v>40178</v>
      </c>
    </row>
    <row r="6" spans="1:11" ht="12" customHeight="1" thickBot="1">
      <c r="A6" s="133" t="s">
        <v>38</v>
      </c>
      <c r="B6" s="133" t="s">
        <v>28</v>
      </c>
      <c r="C6" s="133" t="s">
        <v>40</v>
      </c>
      <c r="D6" s="133" t="s">
        <v>63</v>
      </c>
      <c r="E6" s="70" t="s">
        <v>28</v>
      </c>
      <c r="F6" s="70" t="s">
        <v>36</v>
      </c>
      <c r="G6" s="70" t="s">
        <v>37</v>
      </c>
      <c r="H6" s="70" t="s">
        <v>28</v>
      </c>
      <c r="I6" s="70" t="s">
        <v>36</v>
      </c>
      <c r="J6" s="70" t="s">
        <v>37</v>
      </c>
      <c r="K6" s="70" t="s">
        <v>28</v>
      </c>
    </row>
    <row r="7" spans="1:11" ht="15" customHeight="1">
      <c r="A7" s="59"/>
      <c r="B7" s="59"/>
      <c r="C7" s="59"/>
      <c r="D7" s="59"/>
      <c r="E7" s="76"/>
      <c r="F7" s="76"/>
      <c r="G7" s="76"/>
      <c r="H7" s="76"/>
      <c r="I7" s="76"/>
      <c r="J7" s="76"/>
      <c r="K7" s="76"/>
    </row>
    <row r="8" spans="1:11" ht="15" customHeight="1">
      <c r="A8" s="73" t="s">
        <v>113</v>
      </c>
      <c r="B8" s="137">
        <f>(14900*19)/464.9</f>
        <v>608.9481608948162</v>
      </c>
      <c r="C8" s="98">
        <v>11323</v>
      </c>
      <c r="D8" s="135"/>
      <c r="E8" s="79">
        <f>IF(C8&lt;$E$5,B8,0)</f>
        <v>608.9481608948162</v>
      </c>
      <c r="F8" s="79">
        <f>IF(AND($E$5&lt;C8,C8&lt;$H$5+1),B8,0)</f>
        <v>0</v>
      </c>
      <c r="G8" s="79">
        <f>IF(AND($E$5&lt;D8,D8&lt;$H$5+1),-B8,0)</f>
        <v>0</v>
      </c>
      <c r="H8" s="79">
        <f>+E8+F8+G8</f>
        <v>608.9481608948162</v>
      </c>
      <c r="I8" s="79">
        <f>IF(AND($H$5&lt;C8,C8&lt;$K$5+1),B8,0)</f>
        <v>0</v>
      </c>
      <c r="J8" s="79">
        <f>IF(AND($H$5&lt;D8,D8&lt;$K$5+1),-B8,0)</f>
        <v>0</v>
      </c>
      <c r="K8" s="79">
        <f>+H8+I8+J8</f>
        <v>608.9481608948162</v>
      </c>
    </row>
    <row r="9" spans="1:11" ht="15" customHeight="1">
      <c r="A9" s="73" t="s">
        <v>114</v>
      </c>
      <c r="B9" s="137">
        <f>(5500*78.8)/464.9</f>
        <v>932.2434932243493</v>
      </c>
      <c r="C9" s="98">
        <v>25203</v>
      </c>
      <c r="D9" s="135"/>
      <c r="E9" s="79">
        <f aca="true" t="shared" si="0" ref="E9:E44">IF(C9&lt;$E$5,B9,0)</f>
        <v>932.2434932243493</v>
      </c>
      <c r="F9" s="79">
        <f aca="true" t="shared" si="1" ref="F9:F44">IF(AND($E$5&lt;C9,C9&lt;$H$5+1),B9,0)</f>
        <v>0</v>
      </c>
      <c r="G9" s="79">
        <f aca="true" t="shared" si="2" ref="G9:G44">IF(AND($E$5&lt;D9,D9&lt;$H$5+1),-B9,0)</f>
        <v>0</v>
      </c>
      <c r="H9" s="79">
        <f aca="true" t="shared" si="3" ref="H9:H44">+E9+F9+G9</f>
        <v>932.2434932243493</v>
      </c>
      <c r="I9" s="79">
        <f aca="true" t="shared" si="4" ref="I9:I44">IF(AND($H$5&lt;C9,C9&lt;$K$5+1),B9,0)</f>
        <v>0</v>
      </c>
      <c r="J9" s="79">
        <f aca="true" t="shared" si="5" ref="J9:J44">IF(AND($H$5&lt;D9,D9&lt;$K$5+1),-B9,0)</f>
        <v>0</v>
      </c>
      <c r="K9" s="79">
        <f aca="true" t="shared" si="6" ref="K9:K44">+H9+I9+J9</f>
        <v>932.2434932243493</v>
      </c>
    </row>
    <row r="10" spans="1:19" s="66" customFormat="1" ht="13.5" customHeight="1">
      <c r="A10" s="73" t="s">
        <v>115</v>
      </c>
      <c r="B10" s="137">
        <f>(1000*296.8)/464.9</f>
        <v>638.4168638416864</v>
      </c>
      <c r="C10" s="98">
        <v>33603</v>
      </c>
      <c r="D10" s="135"/>
      <c r="E10" s="79">
        <f t="shared" si="0"/>
        <v>638.4168638416864</v>
      </c>
      <c r="F10" s="79">
        <f t="shared" si="1"/>
        <v>0</v>
      </c>
      <c r="G10" s="79">
        <f t="shared" si="2"/>
        <v>0</v>
      </c>
      <c r="H10" s="79">
        <f t="shared" si="3"/>
        <v>638.4168638416864</v>
      </c>
      <c r="I10" s="79">
        <f t="shared" si="4"/>
        <v>0</v>
      </c>
      <c r="J10" s="79">
        <f t="shared" si="5"/>
        <v>0</v>
      </c>
      <c r="K10" s="79">
        <f t="shared" si="6"/>
        <v>638.4168638416864</v>
      </c>
      <c r="L10" s="60"/>
      <c r="M10" s="60"/>
      <c r="N10" s="60"/>
      <c r="O10" s="60"/>
      <c r="P10" s="60"/>
      <c r="Q10" s="60"/>
      <c r="R10" s="60"/>
      <c r="S10" s="60"/>
    </row>
    <row r="11" spans="1:19" s="66" customFormat="1" ht="13.5" customHeight="1">
      <c r="A11" s="99" t="s">
        <v>116</v>
      </c>
      <c r="B11" s="137">
        <f>(17600*19)/464.9</f>
        <v>719.2944719294472</v>
      </c>
      <c r="C11" s="156">
        <v>11323</v>
      </c>
      <c r="D11" s="135"/>
      <c r="E11" s="79">
        <f t="shared" si="0"/>
        <v>719.2944719294472</v>
      </c>
      <c r="F11" s="79">
        <f t="shared" si="1"/>
        <v>0</v>
      </c>
      <c r="G11" s="79">
        <f t="shared" si="2"/>
        <v>0</v>
      </c>
      <c r="H11" s="79">
        <f t="shared" si="3"/>
        <v>719.2944719294472</v>
      </c>
      <c r="I11" s="79">
        <f t="shared" si="4"/>
        <v>0</v>
      </c>
      <c r="J11" s="79">
        <f t="shared" si="5"/>
        <v>0</v>
      </c>
      <c r="K11" s="79">
        <f t="shared" si="6"/>
        <v>719.2944719294472</v>
      </c>
      <c r="L11" s="60"/>
      <c r="M11" s="60"/>
      <c r="N11" s="60"/>
      <c r="O11" s="60"/>
      <c r="P11" s="60"/>
      <c r="Q11" s="64"/>
      <c r="R11" s="60"/>
      <c r="S11" s="64"/>
    </row>
    <row r="12" spans="1:22" ht="12.75" customHeight="1">
      <c r="A12" s="99" t="s">
        <v>117</v>
      </c>
      <c r="B12" s="137">
        <f>(19*14800)/464.9</f>
        <v>604.8612604861261</v>
      </c>
      <c r="C12" s="156">
        <v>11323</v>
      </c>
      <c r="D12" s="135"/>
      <c r="E12" s="79">
        <f t="shared" si="0"/>
        <v>604.8612604861261</v>
      </c>
      <c r="F12" s="79">
        <f t="shared" si="1"/>
        <v>0</v>
      </c>
      <c r="G12" s="79">
        <f t="shared" si="2"/>
        <v>0</v>
      </c>
      <c r="H12" s="79">
        <f t="shared" si="3"/>
        <v>604.8612604861261</v>
      </c>
      <c r="I12" s="79">
        <f t="shared" si="4"/>
        <v>0</v>
      </c>
      <c r="J12" s="79">
        <f t="shared" si="5"/>
        <v>0</v>
      </c>
      <c r="K12" s="79">
        <f t="shared" si="6"/>
        <v>604.8612604861261</v>
      </c>
      <c r="L12" s="59"/>
      <c r="M12" s="59"/>
      <c r="N12" s="59"/>
      <c r="O12" s="59"/>
      <c r="T12" s="5"/>
      <c r="U12" s="5"/>
      <c r="V12" s="5"/>
    </row>
    <row r="13" spans="1:22" ht="12.75" customHeight="1">
      <c r="A13" s="99" t="s">
        <v>118</v>
      </c>
      <c r="B13" s="137">
        <f>(3100*255.6)/464.9</f>
        <v>1704.3665304366532</v>
      </c>
      <c r="C13" s="135">
        <v>30528</v>
      </c>
      <c r="D13" s="135"/>
      <c r="E13" s="79">
        <f t="shared" si="0"/>
        <v>1704.3665304366532</v>
      </c>
      <c r="F13" s="79">
        <f t="shared" si="1"/>
        <v>0</v>
      </c>
      <c r="G13" s="79">
        <f t="shared" si="2"/>
        <v>0</v>
      </c>
      <c r="H13" s="79">
        <f t="shared" si="3"/>
        <v>1704.3665304366532</v>
      </c>
      <c r="I13" s="79">
        <f t="shared" si="4"/>
        <v>0</v>
      </c>
      <c r="J13" s="79">
        <f t="shared" si="5"/>
        <v>0</v>
      </c>
      <c r="K13" s="79">
        <f t="shared" si="6"/>
        <v>1704.3665304366532</v>
      </c>
      <c r="L13" s="59"/>
      <c r="M13" s="59"/>
      <c r="N13" s="59"/>
      <c r="O13" s="59"/>
      <c r="T13" s="5"/>
      <c r="U13" s="5"/>
      <c r="V13" s="5"/>
    </row>
    <row r="14" spans="1:22" ht="12.75" customHeight="1">
      <c r="A14" s="99" t="s">
        <v>119</v>
      </c>
      <c r="B14" s="137">
        <f>(300*255.6)/464.9</f>
        <v>164.93869649386966</v>
      </c>
      <c r="C14" s="135">
        <v>30528</v>
      </c>
      <c r="D14" s="135"/>
      <c r="E14" s="79">
        <f t="shared" si="0"/>
        <v>164.93869649386966</v>
      </c>
      <c r="F14" s="79">
        <f t="shared" si="1"/>
        <v>0</v>
      </c>
      <c r="G14" s="79">
        <f t="shared" si="2"/>
        <v>0</v>
      </c>
      <c r="H14" s="79">
        <f t="shared" si="3"/>
        <v>164.93869649386966</v>
      </c>
      <c r="I14" s="79">
        <f t="shared" si="4"/>
        <v>0</v>
      </c>
      <c r="J14" s="79">
        <f t="shared" si="5"/>
        <v>0</v>
      </c>
      <c r="K14" s="79">
        <f t="shared" si="6"/>
        <v>164.93869649386966</v>
      </c>
      <c r="L14" s="59"/>
      <c r="M14" s="59"/>
      <c r="N14" s="59"/>
      <c r="O14" s="59"/>
      <c r="T14" s="5"/>
      <c r="U14" s="5"/>
      <c r="V14" s="5"/>
    </row>
    <row r="15" spans="1:22" ht="13.5" customHeight="1">
      <c r="A15" s="99" t="s">
        <v>120</v>
      </c>
      <c r="B15" s="137">
        <f>(1000*106.5)/464.9</f>
        <v>229.0815229081523</v>
      </c>
      <c r="C15" s="135">
        <v>26633</v>
      </c>
      <c r="D15" s="135"/>
      <c r="E15" s="79">
        <f t="shared" si="0"/>
        <v>229.0815229081523</v>
      </c>
      <c r="F15" s="79">
        <f t="shared" si="1"/>
        <v>0</v>
      </c>
      <c r="G15" s="79">
        <f t="shared" si="2"/>
        <v>0</v>
      </c>
      <c r="H15" s="79">
        <f t="shared" si="3"/>
        <v>229.0815229081523</v>
      </c>
      <c r="I15" s="79">
        <f t="shared" si="4"/>
        <v>0</v>
      </c>
      <c r="J15" s="79">
        <f t="shared" si="5"/>
        <v>0</v>
      </c>
      <c r="K15" s="79">
        <f t="shared" si="6"/>
        <v>229.0815229081523</v>
      </c>
      <c r="L15" s="59"/>
      <c r="M15" s="59"/>
      <c r="N15" s="59"/>
      <c r="O15" s="59"/>
      <c r="T15" s="5"/>
      <c r="U15" s="5"/>
      <c r="V15" s="5"/>
    </row>
    <row r="16" spans="1:22" ht="13.5" customHeight="1">
      <c r="A16" s="99" t="s">
        <v>121</v>
      </c>
      <c r="B16" s="137">
        <f>(1300*69)/464.9</f>
        <v>192.94471929447195</v>
      </c>
      <c r="C16" s="135">
        <v>24318</v>
      </c>
      <c r="D16" s="135"/>
      <c r="E16" s="79">
        <f t="shared" si="0"/>
        <v>192.94471929447195</v>
      </c>
      <c r="F16" s="79">
        <f t="shared" si="1"/>
        <v>0</v>
      </c>
      <c r="G16" s="79">
        <f t="shared" si="2"/>
        <v>0</v>
      </c>
      <c r="H16" s="79">
        <f t="shared" si="3"/>
        <v>192.94471929447195</v>
      </c>
      <c r="I16" s="79">
        <f t="shared" si="4"/>
        <v>0</v>
      </c>
      <c r="J16" s="79">
        <f t="shared" si="5"/>
        <v>0</v>
      </c>
      <c r="K16" s="79">
        <f t="shared" si="6"/>
        <v>192.94471929447195</v>
      </c>
      <c r="L16" s="59"/>
      <c r="M16" s="59"/>
      <c r="N16" s="59"/>
      <c r="O16" s="59"/>
      <c r="T16" s="5"/>
      <c r="U16" s="5"/>
      <c r="V16" s="5"/>
    </row>
    <row r="17" spans="1:22" ht="13.5" customHeight="1">
      <c r="A17" s="99" t="s">
        <v>122</v>
      </c>
      <c r="B17" s="137">
        <f>(400*265.5)/464.9</f>
        <v>228.4362228436223</v>
      </c>
      <c r="C17" s="135">
        <v>31685</v>
      </c>
      <c r="D17" s="135"/>
      <c r="E17" s="79">
        <f t="shared" si="0"/>
        <v>228.4362228436223</v>
      </c>
      <c r="F17" s="79">
        <f t="shared" si="1"/>
        <v>0</v>
      </c>
      <c r="G17" s="79">
        <f t="shared" si="2"/>
        <v>0</v>
      </c>
      <c r="H17" s="79">
        <f t="shared" si="3"/>
        <v>228.4362228436223</v>
      </c>
      <c r="I17" s="79">
        <f t="shared" si="4"/>
        <v>0</v>
      </c>
      <c r="J17" s="79">
        <f t="shared" si="5"/>
        <v>0</v>
      </c>
      <c r="K17" s="79">
        <f t="shared" si="6"/>
        <v>228.4362228436223</v>
      </c>
      <c r="L17" s="59"/>
      <c r="M17" s="59"/>
      <c r="N17" s="59"/>
      <c r="O17" s="59"/>
      <c r="T17" s="5"/>
      <c r="U17" s="5"/>
      <c r="V17" s="5"/>
    </row>
    <row r="18" spans="1:22" ht="13.5" customHeight="1">
      <c r="A18" s="99" t="s">
        <v>123</v>
      </c>
      <c r="B18" s="137">
        <f>(800*183.8)/464.9</f>
        <v>316.2830716283072</v>
      </c>
      <c r="C18" s="135">
        <v>28671</v>
      </c>
      <c r="D18" s="135"/>
      <c r="E18" s="79">
        <f t="shared" si="0"/>
        <v>316.2830716283072</v>
      </c>
      <c r="F18" s="79">
        <f t="shared" si="1"/>
        <v>0</v>
      </c>
      <c r="G18" s="79">
        <f t="shared" si="2"/>
        <v>0</v>
      </c>
      <c r="H18" s="79">
        <f t="shared" si="3"/>
        <v>316.2830716283072</v>
      </c>
      <c r="I18" s="79">
        <f t="shared" si="4"/>
        <v>0</v>
      </c>
      <c r="J18" s="79">
        <f t="shared" si="5"/>
        <v>0</v>
      </c>
      <c r="K18" s="79">
        <f t="shared" si="6"/>
        <v>316.2830716283072</v>
      </c>
      <c r="T18" s="5"/>
      <c r="U18" s="5"/>
      <c r="V18" s="5"/>
    </row>
    <row r="19" spans="1:22" ht="13.5" customHeight="1">
      <c r="A19" s="99" t="s">
        <v>124</v>
      </c>
      <c r="B19" s="137">
        <f>(400*183.8)/464.9</f>
        <v>158.1415358141536</v>
      </c>
      <c r="C19" s="135">
        <v>28671</v>
      </c>
      <c r="D19" s="135"/>
      <c r="E19" s="79">
        <f t="shared" si="0"/>
        <v>158.1415358141536</v>
      </c>
      <c r="F19" s="79">
        <f t="shared" si="1"/>
        <v>0</v>
      </c>
      <c r="G19" s="79">
        <f t="shared" si="2"/>
        <v>0</v>
      </c>
      <c r="H19" s="79">
        <f t="shared" si="3"/>
        <v>158.1415358141536</v>
      </c>
      <c r="I19" s="79">
        <f t="shared" si="4"/>
        <v>0</v>
      </c>
      <c r="J19" s="79">
        <f t="shared" si="5"/>
        <v>0</v>
      </c>
      <c r="K19" s="79">
        <f t="shared" si="6"/>
        <v>158.1415358141536</v>
      </c>
      <c r="T19" s="5"/>
      <c r="U19" s="5"/>
      <c r="V19" s="5"/>
    </row>
    <row r="20" spans="1:22" ht="13.5" customHeight="1">
      <c r="A20" s="99" t="s">
        <v>125</v>
      </c>
      <c r="B20" s="137">
        <f>(800*63.4)/464.9</f>
        <v>109.0987309098731</v>
      </c>
      <c r="C20" s="135">
        <v>23589</v>
      </c>
      <c r="D20" s="135"/>
      <c r="E20" s="79">
        <f t="shared" si="0"/>
        <v>109.0987309098731</v>
      </c>
      <c r="F20" s="79">
        <f t="shared" si="1"/>
        <v>0</v>
      </c>
      <c r="G20" s="79">
        <f t="shared" si="2"/>
        <v>0</v>
      </c>
      <c r="H20" s="79">
        <f t="shared" si="3"/>
        <v>109.0987309098731</v>
      </c>
      <c r="I20" s="79">
        <f t="shared" si="4"/>
        <v>0</v>
      </c>
      <c r="J20" s="79">
        <f t="shared" si="5"/>
        <v>0</v>
      </c>
      <c r="K20" s="79">
        <f t="shared" si="6"/>
        <v>109.0987309098731</v>
      </c>
      <c r="T20" s="5"/>
      <c r="U20" s="5"/>
      <c r="V20" s="5"/>
    </row>
    <row r="21" spans="1:22" ht="13.5" customHeight="1">
      <c r="A21" s="99" t="s">
        <v>126</v>
      </c>
      <c r="B21" s="137">
        <f>(400*63.4)/464.9</f>
        <v>54.54936545493655</v>
      </c>
      <c r="C21" s="135">
        <v>23588</v>
      </c>
      <c r="D21" s="135"/>
      <c r="E21" s="79">
        <f t="shared" si="0"/>
        <v>54.54936545493655</v>
      </c>
      <c r="F21" s="79">
        <f t="shared" si="1"/>
        <v>0</v>
      </c>
      <c r="G21" s="79">
        <f t="shared" si="2"/>
        <v>0</v>
      </c>
      <c r="H21" s="79">
        <f t="shared" si="3"/>
        <v>54.54936545493655</v>
      </c>
      <c r="I21" s="79">
        <f t="shared" si="4"/>
        <v>0</v>
      </c>
      <c r="J21" s="79">
        <f t="shared" si="5"/>
        <v>0</v>
      </c>
      <c r="K21" s="79">
        <f t="shared" si="6"/>
        <v>54.54936545493655</v>
      </c>
      <c r="T21" s="5"/>
      <c r="U21" s="5"/>
      <c r="V21" s="5"/>
    </row>
    <row r="22" spans="1:22" ht="13.5" customHeight="1">
      <c r="A22" s="99" t="s">
        <v>127</v>
      </c>
      <c r="B22" s="137">
        <f>(800*313.9)/464.9</f>
        <v>540.1591740159174</v>
      </c>
      <c r="C22" s="135">
        <v>34273</v>
      </c>
      <c r="D22" s="135"/>
      <c r="E22" s="79">
        <f t="shared" si="0"/>
        <v>540.1591740159174</v>
      </c>
      <c r="F22" s="79">
        <f t="shared" si="1"/>
        <v>0</v>
      </c>
      <c r="G22" s="79">
        <f t="shared" si="2"/>
        <v>0</v>
      </c>
      <c r="H22" s="79">
        <f t="shared" si="3"/>
        <v>540.1591740159174</v>
      </c>
      <c r="I22" s="79">
        <f t="shared" si="4"/>
        <v>0</v>
      </c>
      <c r="J22" s="79">
        <f t="shared" si="5"/>
        <v>0</v>
      </c>
      <c r="K22" s="79">
        <f t="shared" si="6"/>
        <v>540.1591740159174</v>
      </c>
      <c r="T22" s="5"/>
      <c r="U22" s="5"/>
      <c r="V22" s="5"/>
    </row>
    <row r="23" spans="1:22" ht="13.5" customHeight="1">
      <c r="A23" s="99" t="s">
        <v>128</v>
      </c>
      <c r="B23" s="137">
        <f>(800*183.8)/464.9</f>
        <v>316.2830716283072</v>
      </c>
      <c r="C23" s="135">
        <v>28671</v>
      </c>
      <c r="D23" s="135"/>
      <c r="E23" s="79">
        <f t="shared" si="0"/>
        <v>316.2830716283072</v>
      </c>
      <c r="F23" s="79">
        <f t="shared" si="1"/>
        <v>0</v>
      </c>
      <c r="G23" s="79">
        <f t="shared" si="2"/>
        <v>0</v>
      </c>
      <c r="H23" s="79">
        <f t="shared" si="3"/>
        <v>316.2830716283072</v>
      </c>
      <c r="I23" s="79">
        <f t="shared" si="4"/>
        <v>0</v>
      </c>
      <c r="J23" s="79">
        <f t="shared" si="5"/>
        <v>0</v>
      </c>
      <c r="K23" s="79">
        <f t="shared" si="6"/>
        <v>316.2830716283072</v>
      </c>
      <c r="T23" s="5"/>
      <c r="U23" s="5"/>
      <c r="V23" s="5"/>
    </row>
    <row r="24" spans="1:22" ht="13.5" customHeight="1">
      <c r="A24" s="99" t="s">
        <v>129</v>
      </c>
      <c r="B24" s="137">
        <f>(400*327.6)/464.9</f>
        <v>281.8670681867069</v>
      </c>
      <c r="C24" s="135">
        <v>35764</v>
      </c>
      <c r="D24" s="135"/>
      <c r="E24" s="79">
        <f aca="true" t="shared" si="7" ref="E24:E29">IF(C24&lt;$E$5,B24,0)</f>
        <v>281.8670681867069</v>
      </c>
      <c r="F24" s="79">
        <f aca="true" t="shared" si="8" ref="F24:F29">IF(AND($E$5&lt;C24,C24&lt;$H$5+1),B24,0)</f>
        <v>0</v>
      </c>
      <c r="G24" s="79">
        <f aca="true" t="shared" si="9" ref="G24:G29">IF(AND($E$5&lt;D24,D24&lt;$H$5+1),-B24,0)</f>
        <v>0</v>
      </c>
      <c r="H24" s="79">
        <f aca="true" t="shared" si="10" ref="H24:H29">+E24+F24+G24</f>
        <v>281.8670681867069</v>
      </c>
      <c r="I24" s="79">
        <f aca="true" t="shared" si="11" ref="I24:I29">IF(AND($H$5&lt;C24,C24&lt;$K$5+1),B24,0)</f>
        <v>0</v>
      </c>
      <c r="J24" s="79">
        <f aca="true" t="shared" si="12" ref="J24:J29">IF(AND($H$5&lt;D24,D24&lt;$K$5+1),-B24,0)</f>
        <v>0</v>
      </c>
      <c r="K24" s="79">
        <f aca="true" t="shared" si="13" ref="K24:K29">+H24+I24+J24</f>
        <v>281.8670681867069</v>
      </c>
      <c r="T24" s="5"/>
      <c r="U24" s="5"/>
      <c r="V24" s="5"/>
    </row>
    <row r="25" spans="1:22" ht="13.5" customHeight="1">
      <c r="A25" s="73" t="s">
        <v>130</v>
      </c>
      <c r="B25" s="137">
        <f>(100*270.8)/464.9</f>
        <v>58.24908582490858</v>
      </c>
      <c r="C25" s="135">
        <v>32020</v>
      </c>
      <c r="D25" s="135"/>
      <c r="E25" s="79">
        <f t="shared" si="7"/>
        <v>58.24908582490858</v>
      </c>
      <c r="F25" s="79">
        <f t="shared" si="8"/>
        <v>0</v>
      </c>
      <c r="G25" s="79">
        <f t="shared" si="9"/>
        <v>0</v>
      </c>
      <c r="H25" s="79">
        <f t="shared" si="10"/>
        <v>58.24908582490858</v>
      </c>
      <c r="I25" s="79">
        <f t="shared" si="11"/>
        <v>0</v>
      </c>
      <c r="J25" s="79">
        <f t="shared" si="12"/>
        <v>0</v>
      </c>
      <c r="K25" s="79">
        <f t="shared" si="13"/>
        <v>58.24908582490858</v>
      </c>
      <c r="T25" s="5"/>
      <c r="U25" s="5"/>
      <c r="V25" s="5"/>
    </row>
    <row r="26" spans="1:22" ht="13.5" customHeight="1">
      <c r="A26" s="73" t="s">
        <v>131</v>
      </c>
      <c r="B26" s="137">
        <f>(5400*265.5)/464.9</f>
        <v>3083.889008388901</v>
      </c>
      <c r="C26" s="135">
        <v>31777</v>
      </c>
      <c r="D26" s="135"/>
      <c r="E26" s="79">
        <f t="shared" si="7"/>
        <v>3083.889008388901</v>
      </c>
      <c r="F26" s="79">
        <f t="shared" si="8"/>
        <v>0</v>
      </c>
      <c r="G26" s="79">
        <f t="shared" si="9"/>
        <v>0</v>
      </c>
      <c r="H26" s="79">
        <f t="shared" si="10"/>
        <v>3083.889008388901</v>
      </c>
      <c r="I26" s="79">
        <f t="shared" si="11"/>
        <v>0</v>
      </c>
      <c r="J26" s="79">
        <f t="shared" si="12"/>
        <v>0</v>
      </c>
      <c r="K26" s="79">
        <f t="shared" si="13"/>
        <v>3083.889008388901</v>
      </c>
      <c r="T26" s="5"/>
      <c r="U26" s="5"/>
      <c r="V26" s="5"/>
    </row>
    <row r="27" spans="1:22" ht="13.5" customHeight="1">
      <c r="A27" s="99" t="s">
        <v>132</v>
      </c>
      <c r="B27" s="137">
        <f>(16700*57)/464.9</f>
        <v>2047.5371047537105</v>
      </c>
      <c r="C27" s="135">
        <v>23011</v>
      </c>
      <c r="D27" s="135"/>
      <c r="E27" s="79">
        <f t="shared" si="7"/>
        <v>2047.5371047537105</v>
      </c>
      <c r="F27" s="79">
        <f t="shared" si="8"/>
        <v>0</v>
      </c>
      <c r="G27" s="79">
        <f t="shared" si="9"/>
        <v>0</v>
      </c>
      <c r="H27" s="79">
        <f t="shared" si="10"/>
        <v>2047.5371047537105</v>
      </c>
      <c r="I27" s="79">
        <f t="shared" si="11"/>
        <v>0</v>
      </c>
      <c r="J27" s="79">
        <f t="shared" si="12"/>
        <v>0</v>
      </c>
      <c r="K27" s="79">
        <f t="shared" si="13"/>
        <v>2047.5371047537105</v>
      </c>
      <c r="T27" s="5"/>
      <c r="U27" s="5"/>
      <c r="V27" s="5"/>
    </row>
    <row r="28" spans="1:22" ht="13.5" customHeight="1">
      <c r="A28" s="99" t="s">
        <v>133</v>
      </c>
      <c r="B28" s="137">
        <f>(13600*19)/464.9</f>
        <v>555.8184555818456</v>
      </c>
      <c r="C28" s="135">
        <v>11323</v>
      </c>
      <c r="D28" s="135"/>
      <c r="E28" s="79">
        <f t="shared" si="7"/>
        <v>555.8184555818456</v>
      </c>
      <c r="F28" s="79">
        <f t="shared" si="8"/>
        <v>0</v>
      </c>
      <c r="G28" s="79">
        <f t="shared" si="9"/>
        <v>0</v>
      </c>
      <c r="H28" s="79">
        <f t="shared" si="10"/>
        <v>555.8184555818456</v>
      </c>
      <c r="I28" s="79">
        <f t="shared" si="11"/>
        <v>0</v>
      </c>
      <c r="J28" s="79">
        <f t="shared" si="12"/>
        <v>0</v>
      </c>
      <c r="K28" s="79">
        <f t="shared" si="13"/>
        <v>555.8184555818456</v>
      </c>
      <c r="T28" s="5"/>
      <c r="U28" s="5"/>
      <c r="V28" s="5"/>
    </row>
    <row r="29" spans="1:22" ht="13.5" customHeight="1">
      <c r="A29" s="99" t="s">
        <v>134</v>
      </c>
      <c r="B29" s="137">
        <f>(2200*91.8)/464.9</f>
        <v>434.41600344160037</v>
      </c>
      <c r="C29" s="135">
        <v>25658</v>
      </c>
      <c r="D29" s="135"/>
      <c r="E29" s="79">
        <f t="shared" si="7"/>
        <v>434.41600344160037</v>
      </c>
      <c r="F29" s="79">
        <f t="shared" si="8"/>
        <v>0</v>
      </c>
      <c r="G29" s="79">
        <f t="shared" si="9"/>
        <v>0</v>
      </c>
      <c r="H29" s="79">
        <f t="shared" si="10"/>
        <v>434.41600344160037</v>
      </c>
      <c r="I29" s="79">
        <f t="shared" si="11"/>
        <v>0</v>
      </c>
      <c r="J29" s="79">
        <f t="shared" si="12"/>
        <v>0</v>
      </c>
      <c r="K29" s="79">
        <f t="shared" si="13"/>
        <v>434.41600344160037</v>
      </c>
      <c r="T29" s="5"/>
      <c r="U29" s="5"/>
      <c r="V29" s="5"/>
    </row>
    <row r="30" spans="1:12" ht="13.5" customHeight="1">
      <c r="A30" s="99" t="s">
        <v>135</v>
      </c>
      <c r="B30" s="137">
        <f>(100*262.3)/464.9</f>
        <v>56.420735642073566</v>
      </c>
      <c r="C30" s="135">
        <v>31259</v>
      </c>
      <c r="D30" s="135"/>
      <c r="E30" s="79">
        <f t="shared" si="0"/>
        <v>56.420735642073566</v>
      </c>
      <c r="F30" s="79">
        <f t="shared" si="1"/>
        <v>0</v>
      </c>
      <c r="G30" s="79">
        <f t="shared" si="2"/>
        <v>0</v>
      </c>
      <c r="H30" s="79">
        <f t="shared" si="3"/>
        <v>56.420735642073566</v>
      </c>
      <c r="I30" s="79">
        <f t="shared" si="4"/>
        <v>0</v>
      </c>
      <c r="J30" s="79">
        <f t="shared" si="5"/>
        <v>0</v>
      </c>
      <c r="K30" s="79">
        <f t="shared" si="6"/>
        <v>56.420735642073566</v>
      </c>
      <c r="L30" s="59"/>
    </row>
    <row r="31" spans="1:14" ht="13.5" customHeight="1">
      <c r="A31" s="99" t="s">
        <v>136</v>
      </c>
      <c r="B31" s="137">
        <f>(2000*262.3)/464.9</f>
        <v>1128.4147128414713</v>
      </c>
      <c r="C31" s="135">
        <v>31219</v>
      </c>
      <c r="D31" s="135"/>
      <c r="E31" s="79">
        <f t="shared" si="0"/>
        <v>1128.4147128414713</v>
      </c>
      <c r="F31" s="79">
        <f t="shared" si="1"/>
        <v>0</v>
      </c>
      <c r="G31" s="79">
        <f t="shared" si="2"/>
        <v>0</v>
      </c>
      <c r="H31" s="79">
        <f t="shared" si="3"/>
        <v>1128.4147128414713</v>
      </c>
      <c r="I31" s="79">
        <f t="shared" si="4"/>
        <v>0</v>
      </c>
      <c r="J31" s="79">
        <f t="shared" si="5"/>
        <v>0</v>
      </c>
      <c r="K31" s="79">
        <f t="shared" si="6"/>
        <v>1128.4147128414713</v>
      </c>
      <c r="L31" s="59"/>
      <c r="M31" s="59"/>
      <c r="N31" s="59"/>
    </row>
    <row r="32" spans="1:14" ht="13.5" customHeight="1">
      <c r="A32" s="99" t="s">
        <v>137</v>
      </c>
      <c r="B32" s="137">
        <f>(1200*290.9)/464.9</f>
        <v>750.8711550871155</v>
      </c>
      <c r="C32" s="135">
        <v>32963</v>
      </c>
      <c r="D32" s="135"/>
      <c r="E32" s="79">
        <f t="shared" si="0"/>
        <v>750.8711550871155</v>
      </c>
      <c r="F32" s="79">
        <f t="shared" si="1"/>
        <v>0</v>
      </c>
      <c r="G32" s="79">
        <f t="shared" si="2"/>
        <v>0</v>
      </c>
      <c r="H32" s="79">
        <f t="shared" si="3"/>
        <v>750.8711550871155</v>
      </c>
      <c r="I32" s="79">
        <f t="shared" si="4"/>
        <v>0</v>
      </c>
      <c r="J32" s="79">
        <f t="shared" si="5"/>
        <v>0</v>
      </c>
      <c r="K32" s="79">
        <f t="shared" si="6"/>
        <v>750.8711550871155</v>
      </c>
      <c r="L32" s="59"/>
      <c r="M32" s="59"/>
      <c r="N32" s="59"/>
    </row>
    <row r="33" spans="1:11" ht="13.5" customHeight="1">
      <c r="A33" s="99" t="s">
        <v>138</v>
      </c>
      <c r="B33" s="137">
        <f>(10400*73.8)/464.9</f>
        <v>1650.9356850935685</v>
      </c>
      <c r="C33" s="135">
        <v>24623</v>
      </c>
      <c r="D33" s="135"/>
      <c r="E33" s="79">
        <f t="shared" si="0"/>
        <v>1650.9356850935685</v>
      </c>
      <c r="F33" s="79">
        <f t="shared" si="1"/>
        <v>0</v>
      </c>
      <c r="G33" s="79">
        <f t="shared" si="2"/>
        <v>0</v>
      </c>
      <c r="H33" s="79">
        <f t="shared" si="3"/>
        <v>1650.9356850935685</v>
      </c>
      <c r="I33" s="79">
        <f t="shared" si="4"/>
        <v>0</v>
      </c>
      <c r="J33" s="79">
        <f t="shared" si="5"/>
        <v>0</v>
      </c>
      <c r="K33" s="79">
        <f t="shared" si="6"/>
        <v>1650.9356850935685</v>
      </c>
    </row>
    <row r="34" spans="1:11" ht="13.5" customHeight="1">
      <c r="A34" s="99" t="s">
        <v>139</v>
      </c>
      <c r="B34" s="137">
        <f>(11400*73.8)/464.9</f>
        <v>1809.6795009679502</v>
      </c>
      <c r="C34" s="135">
        <v>24623</v>
      </c>
      <c r="D34" s="135"/>
      <c r="E34" s="79">
        <f t="shared" si="0"/>
        <v>1809.6795009679502</v>
      </c>
      <c r="F34" s="79">
        <f t="shared" si="1"/>
        <v>0</v>
      </c>
      <c r="G34" s="79">
        <f t="shared" si="2"/>
        <v>0</v>
      </c>
      <c r="H34" s="79">
        <f t="shared" si="3"/>
        <v>1809.6795009679502</v>
      </c>
      <c r="I34" s="79">
        <f t="shared" si="4"/>
        <v>0</v>
      </c>
      <c r="J34" s="79">
        <f t="shared" si="5"/>
        <v>0</v>
      </c>
      <c r="K34" s="79">
        <f t="shared" si="6"/>
        <v>1809.6795009679502</v>
      </c>
    </row>
    <row r="35" spans="1:11" ht="13.5" customHeight="1">
      <c r="A35" s="99" t="s">
        <v>140</v>
      </c>
      <c r="B35" s="137">
        <f>(13900*242.9)/464.9</f>
        <v>7262.443536244354</v>
      </c>
      <c r="C35" s="135">
        <v>30041</v>
      </c>
      <c r="D35" s="135"/>
      <c r="E35" s="79">
        <f t="shared" si="0"/>
        <v>7262.443536244354</v>
      </c>
      <c r="F35" s="79">
        <f t="shared" si="1"/>
        <v>0</v>
      </c>
      <c r="G35" s="79">
        <f t="shared" si="2"/>
        <v>0</v>
      </c>
      <c r="H35" s="79">
        <f t="shared" si="3"/>
        <v>7262.443536244354</v>
      </c>
      <c r="I35" s="79">
        <f t="shared" si="4"/>
        <v>0</v>
      </c>
      <c r="J35" s="79">
        <f t="shared" si="5"/>
        <v>0</v>
      </c>
      <c r="K35" s="79">
        <f t="shared" si="6"/>
        <v>7262.443536244354</v>
      </c>
    </row>
    <row r="36" spans="1:14" ht="13.5" customHeight="1">
      <c r="A36" s="99" t="s">
        <v>141</v>
      </c>
      <c r="B36" s="137">
        <f>(5300*327.6)/464.9</f>
        <v>3734.738653473866</v>
      </c>
      <c r="C36" s="135">
        <v>35764</v>
      </c>
      <c r="D36" s="135"/>
      <c r="E36" s="79">
        <f t="shared" si="0"/>
        <v>3734.738653473866</v>
      </c>
      <c r="F36" s="79">
        <f t="shared" si="1"/>
        <v>0</v>
      </c>
      <c r="G36" s="79">
        <f t="shared" si="2"/>
        <v>0</v>
      </c>
      <c r="H36" s="79">
        <f t="shared" si="3"/>
        <v>3734.738653473866</v>
      </c>
      <c r="I36" s="79">
        <f t="shared" si="4"/>
        <v>0</v>
      </c>
      <c r="J36" s="79">
        <f t="shared" si="5"/>
        <v>0</v>
      </c>
      <c r="K36" s="79">
        <f t="shared" si="6"/>
        <v>3734.738653473866</v>
      </c>
      <c r="M36" s="59"/>
      <c r="N36" s="59"/>
    </row>
    <row r="37" spans="1:11" ht="13.5" customHeight="1">
      <c r="A37" s="99" t="s">
        <v>142</v>
      </c>
      <c r="B37" s="137">
        <f>(39900*19)/464.9</f>
        <v>1630.6732630673264</v>
      </c>
      <c r="C37" s="135">
        <v>9252</v>
      </c>
      <c r="D37" s="135"/>
      <c r="E37" s="79">
        <f t="shared" si="0"/>
        <v>1630.6732630673264</v>
      </c>
      <c r="F37" s="79">
        <f t="shared" si="1"/>
        <v>0</v>
      </c>
      <c r="G37" s="79">
        <f t="shared" si="2"/>
        <v>0</v>
      </c>
      <c r="H37" s="79">
        <f t="shared" si="3"/>
        <v>1630.6732630673264</v>
      </c>
      <c r="I37" s="79">
        <f t="shared" si="4"/>
        <v>0</v>
      </c>
      <c r="J37" s="79">
        <f t="shared" si="5"/>
        <v>0</v>
      </c>
      <c r="K37" s="79">
        <f t="shared" si="6"/>
        <v>1630.6732630673264</v>
      </c>
    </row>
    <row r="38" spans="1:11" ht="12" customHeight="1">
      <c r="A38" s="99" t="s">
        <v>143</v>
      </c>
      <c r="B38" s="137">
        <f>(300*19)/464.9</f>
        <v>12.260701226070124</v>
      </c>
      <c r="C38" s="135">
        <v>7294</v>
      </c>
      <c r="D38" s="135"/>
      <c r="E38" s="79">
        <f t="shared" si="0"/>
        <v>12.260701226070124</v>
      </c>
      <c r="F38" s="79">
        <f t="shared" si="1"/>
        <v>0</v>
      </c>
      <c r="G38" s="79">
        <f t="shared" si="2"/>
        <v>0</v>
      </c>
      <c r="H38" s="79">
        <f t="shared" si="3"/>
        <v>12.260701226070124</v>
      </c>
      <c r="I38" s="79">
        <f t="shared" si="4"/>
        <v>0</v>
      </c>
      <c r="J38" s="79">
        <f t="shared" si="5"/>
        <v>0</v>
      </c>
      <c r="K38" s="79">
        <f t="shared" si="6"/>
        <v>12.260701226070124</v>
      </c>
    </row>
    <row r="39" spans="1:11" ht="12" customHeight="1">
      <c r="A39" s="99" t="s">
        <v>144</v>
      </c>
      <c r="B39" s="137">
        <f>(700*296.8)/464.9</f>
        <v>446.8918046891805</v>
      </c>
      <c r="C39" s="135">
        <v>33603</v>
      </c>
      <c r="D39" s="135"/>
      <c r="E39" s="79">
        <f t="shared" si="0"/>
        <v>446.8918046891805</v>
      </c>
      <c r="F39" s="79">
        <f t="shared" si="1"/>
        <v>0</v>
      </c>
      <c r="G39" s="79">
        <f t="shared" si="2"/>
        <v>0</v>
      </c>
      <c r="H39" s="79">
        <f t="shared" si="3"/>
        <v>446.8918046891805</v>
      </c>
      <c r="I39" s="79">
        <f t="shared" si="4"/>
        <v>0</v>
      </c>
      <c r="J39" s="79">
        <f t="shared" si="5"/>
        <v>0</v>
      </c>
      <c r="K39" s="79">
        <f t="shared" si="6"/>
        <v>446.8918046891805</v>
      </c>
    </row>
    <row r="40" spans="1:11" ht="12" customHeight="1">
      <c r="A40" s="100"/>
      <c r="B40" s="137"/>
      <c r="C40" s="135"/>
      <c r="D40" s="135"/>
      <c r="E40" s="79">
        <f t="shared" si="0"/>
        <v>0</v>
      </c>
      <c r="F40" s="79">
        <f t="shared" si="1"/>
        <v>0</v>
      </c>
      <c r="G40" s="79">
        <f t="shared" si="2"/>
        <v>0</v>
      </c>
      <c r="H40" s="79">
        <f t="shared" si="3"/>
        <v>0</v>
      </c>
      <c r="I40" s="79">
        <f t="shared" si="4"/>
        <v>0</v>
      </c>
      <c r="J40" s="79">
        <f t="shared" si="5"/>
        <v>0</v>
      </c>
      <c r="K40" s="79">
        <f t="shared" si="6"/>
        <v>0</v>
      </c>
    </row>
    <row r="41" spans="1:14" ht="12" customHeight="1">
      <c r="A41" s="100"/>
      <c r="B41" s="137"/>
      <c r="C41" s="135"/>
      <c r="D41" s="135"/>
      <c r="E41" s="79">
        <f t="shared" si="0"/>
        <v>0</v>
      </c>
      <c r="F41" s="79">
        <f t="shared" si="1"/>
        <v>0</v>
      </c>
      <c r="G41" s="79">
        <f t="shared" si="2"/>
        <v>0</v>
      </c>
      <c r="H41" s="79">
        <f t="shared" si="3"/>
        <v>0</v>
      </c>
      <c r="I41" s="79">
        <f t="shared" si="4"/>
        <v>0</v>
      </c>
      <c r="J41" s="79">
        <f t="shared" si="5"/>
        <v>0</v>
      </c>
      <c r="K41" s="79">
        <f t="shared" si="6"/>
        <v>0</v>
      </c>
      <c r="M41" s="59"/>
      <c r="N41" s="59"/>
    </row>
    <row r="42" spans="1:11" ht="12.75">
      <c r="A42" s="100"/>
      <c r="B42" s="137"/>
      <c r="C42" s="135"/>
      <c r="D42" s="135"/>
      <c r="E42" s="79">
        <f t="shared" si="0"/>
        <v>0</v>
      </c>
      <c r="F42" s="79">
        <f t="shared" si="1"/>
        <v>0</v>
      </c>
      <c r="G42" s="79">
        <f t="shared" si="2"/>
        <v>0</v>
      </c>
      <c r="H42" s="79">
        <f t="shared" si="3"/>
        <v>0</v>
      </c>
      <c r="I42" s="79">
        <f t="shared" si="4"/>
        <v>0</v>
      </c>
      <c r="J42" s="79">
        <f t="shared" si="5"/>
        <v>0</v>
      </c>
      <c r="K42" s="79">
        <f t="shared" si="6"/>
        <v>0</v>
      </c>
    </row>
    <row r="43" spans="1:11" ht="12.75">
      <c r="A43" s="100"/>
      <c r="B43" s="137"/>
      <c r="C43" s="135"/>
      <c r="D43" s="135"/>
      <c r="E43" s="79">
        <f t="shared" si="0"/>
        <v>0</v>
      </c>
      <c r="F43" s="79">
        <f t="shared" si="1"/>
        <v>0</v>
      </c>
      <c r="G43" s="79">
        <f t="shared" si="2"/>
        <v>0</v>
      </c>
      <c r="H43" s="79">
        <f t="shared" si="3"/>
        <v>0</v>
      </c>
      <c r="I43" s="79">
        <f t="shared" si="4"/>
        <v>0</v>
      </c>
      <c r="J43" s="79">
        <f t="shared" si="5"/>
        <v>0</v>
      </c>
      <c r="K43" s="79">
        <f t="shared" si="6"/>
        <v>0</v>
      </c>
    </row>
    <row r="44" spans="1:11" ht="12.75">
      <c r="A44" s="100"/>
      <c r="B44" s="137"/>
      <c r="C44" s="135"/>
      <c r="D44" s="135"/>
      <c r="E44" s="92">
        <f t="shared" si="0"/>
        <v>0</v>
      </c>
      <c r="F44" s="92">
        <f t="shared" si="1"/>
        <v>0</v>
      </c>
      <c r="G44" s="92">
        <f t="shared" si="2"/>
        <v>0</v>
      </c>
      <c r="H44" s="92">
        <f t="shared" si="3"/>
        <v>0</v>
      </c>
      <c r="I44" s="92">
        <f t="shared" si="4"/>
        <v>0</v>
      </c>
      <c r="J44" s="92">
        <f t="shared" si="5"/>
        <v>0</v>
      </c>
      <c r="K44" s="92">
        <f t="shared" si="6"/>
        <v>0</v>
      </c>
    </row>
    <row r="45" spans="1:11" ht="12.75">
      <c r="A45" s="59"/>
      <c r="B45" s="59"/>
      <c r="C45" s="59"/>
      <c r="D45" s="59"/>
      <c r="E45" s="79"/>
      <c r="F45" s="79"/>
      <c r="G45" s="79"/>
      <c r="H45" s="79"/>
      <c r="I45" s="79"/>
      <c r="J45" s="79"/>
      <c r="K45" s="79"/>
    </row>
    <row r="46" spans="1:11" ht="13.5" thickBot="1">
      <c r="A46" s="75" t="s">
        <v>43</v>
      </c>
      <c r="B46" s="75"/>
      <c r="C46" s="59"/>
      <c r="D46" s="59"/>
      <c r="E46" s="134">
        <f>SUM(E8:E44)</f>
        <v>32463.15336631534</v>
      </c>
      <c r="F46" s="134">
        <f>SUM(F8:F44)</f>
        <v>0</v>
      </c>
      <c r="G46" s="134">
        <f>SUM(G8:G44)</f>
        <v>0</v>
      </c>
      <c r="H46" s="134">
        <f>+E46+F46+G46</f>
        <v>32463.15336631534</v>
      </c>
      <c r="I46" s="134">
        <f>SUM(I8:I44)</f>
        <v>0</v>
      </c>
      <c r="J46" s="134">
        <f>SUM(J8:J44)</f>
        <v>0</v>
      </c>
      <c r="K46" s="134">
        <f>+H46+I46+J46</f>
        <v>32463.15336631534</v>
      </c>
    </row>
    <row r="47" spans="5:11" ht="13.5" thickTop="1">
      <c r="E47" s="69"/>
      <c r="F47" s="69"/>
      <c r="G47" s="69"/>
      <c r="H47" s="69"/>
      <c r="I47" s="69"/>
      <c r="J47" s="69"/>
      <c r="K47" s="69"/>
    </row>
    <row r="48" spans="5:11" ht="12.75">
      <c r="E48" s="69"/>
      <c r="F48" s="69"/>
      <c r="G48" s="69"/>
      <c r="H48" s="69"/>
      <c r="I48" s="69"/>
      <c r="J48" s="69"/>
      <c r="K48" s="69"/>
    </row>
    <row r="49" spans="5:11" ht="12.75">
      <c r="E49" s="69"/>
      <c r="F49" s="69"/>
      <c r="G49" s="69"/>
      <c r="H49" s="69"/>
      <c r="I49" s="69"/>
      <c r="J49" s="69"/>
      <c r="K49" s="69"/>
    </row>
    <row r="50" spans="5:11" ht="12.75">
      <c r="E50" s="69"/>
      <c r="F50" s="69"/>
      <c r="G50" s="69"/>
      <c r="H50" s="69"/>
      <c r="I50" s="69"/>
      <c r="J50" s="69"/>
      <c r="K50" s="69"/>
    </row>
    <row r="51" spans="5:11" ht="12.75">
      <c r="E51" s="69"/>
      <c r="F51" s="69"/>
      <c r="G51" s="69"/>
      <c r="H51" s="69"/>
      <c r="I51" s="69"/>
      <c r="J51" s="69"/>
      <c r="K51" s="69"/>
    </row>
    <row r="52" spans="5:11" ht="12.75">
      <c r="E52" s="69"/>
      <c r="F52" s="69"/>
      <c r="G52" s="69"/>
      <c r="H52" s="69"/>
      <c r="I52" s="69"/>
      <c r="J52" s="69"/>
      <c r="K52" s="69"/>
    </row>
    <row r="53" spans="5:11" ht="12.75">
      <c r="E53" s="69"/>
      <c r="F53" s="69"/>
      <c r="G53" s="69"/>
      <c r="H53" s="69"/>
      <c r="I53" s="69"/>
      <c r="J53" s="69"/>
      <c r="K53" s="69"/>
    </row>
    <row r="54" spans="5:11" ht="12.75">
      <c r="E54" s="69"/>
      <c r="F54" s="69"/>
      <c r="G54" s="69"/>
      <c r="H54" s="69"/>
      <c r="I54" s="69"/>
      <c r="J54" s="69"/>
      <c r="K54" s="69"/>
    </row>
    <row r="55" spans="5:11" ht="12.75">
      <c r="E55" s="69"/>
      <c r="F55" s="69"/>
      <c r="G55" s="69"/>
      <c r="H55" s="69"/>
      <c r="I55" s="69"/>
      <c r="J55" s="69"/>
      <c r="K55" s="69"/>
    </row>
    <row r="56" spans="5:11" ht="12.75">
      <c r="E56" s="69"/>
      <c r="F56" s="69"/>
      <c r="G56" s="69"/>
      <c r="H56" s="69"/>
      <c r="I56" s="69"/>
      <c r="J56" s="69"/>
      <c r="K56" s="69"/>
    </row>
    <row r="57" spans="5:11" ht="12.75">
      <c r="E57" s="69"/>
      <c r="F57" s="69"/>
      <c r="G57" s="69"/>
      <c r="H57" s="69"/>
      <c r="I57" s="69"/>
      <c r="J57" s="69"/>
      <c r="K57" s="69"/>
    </row>
    <row r="58" spans="5:11" ht="12.75">
      <c r="E58" s="69"/>
      <c r="F58" s="69"/>
      <c r="G58" s="69"/>
      <c r="H58" s="69"/>
      <c r="I58" s="69"/>
      <c r="J58" s="69"/>
      <c r="K58" s="69"/>
    </row>
    <row r="59" spans="5:11" ht="12.75">
      <c r="E59" s="69"/>
      <c r="F59" s="69"/>
      <c r="G59" s="69"/>
      <c r="H59" s="69"/>
      <c r="I59" s="69"/>
      <c r="J59" s="69"/>
      <c r="K59" s="69"/>
    </row>
    <row r="60" spans="5:11" ht="12.75">
      <c r="E60" s="69"/>
      <c r="F60" s="69"/>
      <c r="G60" s="69"/>
      <c r="H60" s="69"/>
      <c r="I60" s="69"/>
      <c r="J60" s="69"/>
      <c r="K60" s="69"/>
    </row>
    <row r="61" spans="5:11" ht="12.75">
      <c r="E61" s="69"/>
      <c r="F61" s="69"/>
      <c r="G61" s="69"/>
      <c r="H61" s="69"/>
      <c r="I61" s="69"/>
      <c r="J61" s="69"/>
      <c r="K61" s="69"/>
    </row>
    <row r="62" spans="5:11" ht="12.75">
      <c r="E62" s="69"/>
      <c r="F62" s="69"/>
      <c r="G62" s="69"/>
      <c r="H62" s="69"/>
      <c r="I62" s="69"/>
      <c r="J62" s="69"/>
      <c r="K62" s="69"/>
    </row>
    <row r="63" spans="5:11" ht="12.75">
      <c r="E63" s="69"/>
      <c r="F63" s="69"/>
      <c r="G63" s="69"/>
      <c r="H63" s="69"/>
      <c r="I63" s="69"/>
      <c r="J63" s="69"/>
      <c r="K63" s="69"/>
    </row>
    <row r="64" spans="5:11" ht="12.75">
      <c r="E64" s="69"/>
      <c r="F64" s="69"/>
      <c r="G64" s="69"/>
      <c r="H64" s="69"/>
      <c r="I64" s="69"/>
      <c r="J64" s="69"/>
      <c r="K64" s="69"/>
    </row>
    <row r="65" spans="5:11" ht="12.75">
      <c r="E65" s="69"/>
      <c r="F65" s="69"/>
      <c r="G65" s="69"/>
      <c r="H65" s="69"/>
      <c r="I65" s="69"/>
      <c r="J65" s="69"/>
      <c r="K65" s="69"/>
    </row>
    <row r="66" spans="5:11" ht="12.75">
      <c r="E66" s="69"/>
      <c r="F66" s="69"/>
      <c r="G66" s="69"/>
      <c r="H66" s="69"/>
      <c r="I66" s="69"/>
      <c r="J66" s="69"/>
      <c r="K66" s="69"/>
    </row>
    <row r="67" spans="5:11" ht="12.75">
      <c r="E67" s="69"/>
      <c r="F67" s="69"/>
      <c r="G67" s="69"/>
      <c r="H67" s="69"/>
      <c r="I67" s="69"/>
      <c r="J67" s="69"/>
      <c r="K67" s="69"/>
    </row>
    <row r="68" spans="5:11" ht="12.75">
      <c r="E68" s="69"/>
      <c r="F68" s="69"/>
      <c r="G68" s="69"/>
      <c r="H68" s="69"/>
      <c r="I68" s="69"/>
      <c r="J68" s="69"/>
      <c r="K68" s="69"/>
    </row>
    <row r="69" spans="5:11" ht="12.75">
      <c r="E69" s="69"/>
      <c r="F69" s="69"/>
      <c r="G69" s="69"/>
      <c r="H69" s="69"/>
      <c r="I69" s="69"/>
      <c r="J69" s="69"/>
      <c r="K69" s="69"/>
    </row>
    <row r="70" spans="5:11" ht="12.75">
      <c r="E70" s="69"/>
      <c r="F70" s="69"/>
      <c r="G70" s="69"/>
      <c r="H70" s="69"/>
      <c r="I70" s="69"/>
      <c r="J70" s="69"/>
      <c r="K70" s="69"/>
    </row>
    <row r="71" spans="5:11" ht="12.75">
      <c r="E71" s="69"/>
      <c r="F71" s="69"/>
      <c r="G71" s="69"/>
      <c r="H71" s="69"/>
      <c r="I71" s="69"/>
      <c r="J71" s="69"/>
      <c r="K71" s="69"/>
    </row>
    <row r="72" spans="5:11" ht="12.75">
      <c r="E72" s="69"/>
      <c r="F72" s="69"/>
      <c r="G72" s="69"/>
      <c r="H72" s="69"/>
      <c r="I72" s="69"/>
      <c r="J72" s="69"/>
      <c r="K72" s="69"/>
    </row>
    <row r="73" spans="5:11" ht="12.75">
      <c r="E73" s="69"/>
      <c r="F73" s="69"/>
      <c r="G73" s="69"/>
      <c r="H73" s="69"/>
      <c r="I73" s="69"/>
      <c r="J73" s="69"/>
      <c r="K73" s="69"/>
    </row>
    <row r="74" spans="5:11" ht="12.75">
      <c r="E74" s="69"/>
      <c r="F74" s="69"/>
      <c r="G74" s="69"/>
      <c r="H74" s="69"/>
      <c r="I74" s="69"/>
      <c r="J74" s="69"/>
      <c r="K74" s="69"/>
    </row>
    <row r="75" spans="5:11" ht="12.75">
      <c r="E75" s="69"/>
      <c r="F75" s="69"/>
      <c r="G75" s="69"/>
      <c r="H75" s="69"/>
      <c r="I75" s="69"/>
      <c r="J75" s="69"/>
      <c r="K75" s="69"/>
    </row>
    <row r="76" spans="5:11" ht="12.75">
      <c r="E76" s="69"/>
      <c r="F76" s="69"/>
      <c r="G76" s="69"/>
      <c r="H76" s="69"/>
      <c r="I76" s="69"/>
      <c r="J76" s="69"/>
      <c r="K76" s="69"/>
    </row>
    <row r="77" spans="5:11" ht="12.75">
      <c r="E77" s="69"/>
      <c r="F77" s="69"/>
      <c r="G77" s="69"/>
      <c r="H77" s="69"/>
      <c r="I77" s="69"/>
      <c r="J77" s="69"/>
      <c r="K77" s="69"/>
    </row>
    <row r="78" spans="5:11" ht="12.75">
      <c r="E78" s="69"/>
      <c r="F78" s="69"/>
      <c r="G78" s="69"/>
      <c r="H78" s="69"/>
      <c r="I78" s="69"/>
      <c r="J78" s="69"/>
      <c r="K78" s="69"/>
    </row>
    <row r="79" spans="5:11" ht="12.75">
      <c r="E79" s="69"/>
      <c r="F79" s="69"/>
      <c r="G79" s="69"/>
      <c r="H79" s="69"/>
      <c r="I79" s="69"/>
      <c r="J79" s="69"/>
      <c r="K79" s="69"/>
    </row>
    <row r="80" spans="5:11" ht="12.75">
      <c r="E80" s="69"/>
      <c r="F80" s="69"/>
      <c r="G80" s="69"/>
      <c r="H80" s="69"/>
      <c r="I80" s="69"/>
      <c r="J80" s="69"/>
      <c r="K80" s="69"/>
    </row>
    <row r="81" spans="5:11" ht="12.75">
      <c r="E81" s="69"/>
      <c r="F81" s="69"/>
      <c r="G81" s="69"/>
      <c r="H81" s="69"/>
      <c r="I81" s="69"/>
      <c r="J81" s="69"/>
      <c r="K81" s="69"/>
    </row>
    <row r="82" spans="5:11" ht="12.75">
      <c r="E82" s="69"/>
      <c r="F82" s="69"/>
      <c r="G82" s="69"/>
      <c r="H82" s="69"/>
      <c r="I82" s="69"/>
      <c r="J82" s="69"/>
      <c r="K82" s="69"/>
    </row>
    <row r="83" spans="5:11" ht="12.75">
      <c r="E83" s="69"/>
      <c r="F83" s="69"/>
      <c r="G83" s="69"/>
      <c r="H83" s="69"/>
      <c r="I83" s="69"/>
      <c r="J83" s="69"/>
      <c r="K83" s="69"/>
    </row>
  </sheetData>
  <printOptions horizontalCentered="1"/>
  <pageMargins left="0.25" right="0.25" top="0.25" bottom="0.25" header="0.5" footer="0.5"/>
  <pageSetup fitToHeight="1" fitToWidth="1" horizontalDpi="600" verticalDpi="600" orientation="landscape" paperSize="5" scale="95" r:id="rId1"/>
</worksheet>
</file>

<file path=xl/worksheets/sheet3.xml><?xml version="1.0" encoding="utf-8"?>
<worksheet xmlns="http://schemas.openxmlformats.org/spreadsheetml/2006/main" xmlns:r="http://schemas.openxmlformats.org/officeDocument/2006/relationships">
  <sheetPr>
    <pageSetUpPr fitToPage="1"/>
  </sheetPr>
  <dimension ref="A1:V77"/>
  <sheetViews>
    <sheetView zoomScale="75" zoomScaleNormal="75" workbookViewId="0" topLeftCell="A1">
      <selection activeCell="A1" sqref="A1"/>
    </sheetView>
  </sheetViews>
  <sheetFormatPr defaultColWidth="9.140625" defaultRowHeight="12.75"/>
  <cols>
    <col min="1" max="1" width="32.7109375" style="60" customWidth="1"/>
    <col min="2" max="2" width="14.7109375" style="60" customWidth="1"/>
    <col min="3" max="4" width="12.7109375" style="60" customWidth="1"/>
    <col min="5" max="11" width="14.7109375" style="60" customWidth="1"/>
    <col min="12" max="19" width="9.140625" style="60" customWidth="1"/>
    <col min="20" max="16384" width="9.140625" style="58" customWidth="1"/>
  </cols>
  <sheetData>
    <row r="1" spans="1:5" ht="15" customHeight="1">
      <c r="A1" s="74" t="s">
        <v>42</v>
      </c>
      <c r="B1" s="67"/>
      <c r="C1" s="59"/>
      <c r="D1" s="59"/>
      <c r="E1" s="59"/>
    </row>
    <row r="2" spans="1:17" ht="15.75" customHeight="1">
      <c r="A2" s="74" t="s">
        <v>85</v>
      </c>
      <c r="B2" s="67"/>
      <c r="C2" s="59"/>
      <c r="D2" s="59"/>
      <c r="E2" s="59"/>
      <c r="F2" s="59"/>
      <c r="G2" s="59"/>
      <c r="H2" s="59"/>
      <c r="I2" s="59"/>
      <c r="Q2" s="61"/>
    </row>
    <row r="3" spans="1:9" ht="15" customHeight="1">
      <c r="A3" s="139" t="s">
        <v>35</v>
      </c>
      <c r="B3" s="68"/>
      <c r="C3" s="59"/>
      <c r="D3" s="59"/>
      <c r="E3" s="138" t="s">
        <v>58</v>
      </c>
      <c r="F3" s="71"/>
      <c r="G3" s="59"/>
      <c r="H3" s="59"/>
      <c r="I3" s="59"/>
    </row>
    <row r="4" spans="1:19" ht="12.75">
      <c r="A4" s="59"/>
      <c r="B4" s="59"/>
      <c r="C4" s="59"/>
      <c r="D4" s="59"/>
      <c r="E4" s="63"/>
      <c r="F4" s="59"/>
      <c r="G4" s="59"/>
      <c r="H4" s="59"/>
      <c r="I4" s="59"/>
      <c r="K4" s="61"/>
      <c r="R4" s="62"/>
      <c r="S4" s="62"/>
    </row>
    <row r="5" spans="1:11" ht="12.75">
      <c r="A5" s="132"/>
      <c r="B5" s="132"/>
      <c r="C5" s="132" t="s">
        <v>39</v>
      </c>
      <c r="D5" s="132" t="s">
        <v>39</v>
      </c>
      <c r="E5" s="131">
        <v>39448</v>
      </c>
      <c r="F5" s="65"/>
      <c r="G5" s="65"/>
      <c r="H5" s="131">
        <v>39813</v>
      </c>
      <c r="I5" s="65"/>
      <c r="J5" s="65"/>
      <c r="K5" s="131">
        <v>40178</v>
      </c>
    </row>
    <row r="6" spans="1:11" ht="12" customHeight="1" thickBot="1">
      <c r="A6" s="133" t="s">
        <v>38</v>
      </c>
      <c r="B6" s="133" t="s">
        <v>28</v>
      </c>
      <c r="C6" s="133" t="s">
        <v>40</v>
      </c>
      <c r="D6" s="133" t="s">
        <v>82</v>
      </c>
      <c r="E6" s="70" t="s">
        <v>28</v>
      </c>
      <c r="F6" s="70" t="s">
        <v>36</v>
      </c>
      <c r="G6" s="70" t="s">
        <v>82</v>
      </c>
      <c r="H6" s="70" t="s">
        <v>28</v>
      </c>
      <c r="I6" s="70" t="s">
        <v>36</v>
      </c>
      <c r="J6" s="70" t="s">
        <v>82</v>
      </c>
      <c r="K6" s="70" t="s">
        <v>28</v>
      </c>
    </row>
    <row r="7" spans="1:11" ht="15" customHeight="1">
      <c r="A7" s="59"/>
      <c r="B7" s="59"/>
      <c r="C7" s="59"/>
      <c r="D7" s="59"/>
      <c r="E7" s="76"/>
      <c r="F7" s="76"/>
      <c r="G7" s="76"/>
      <c r="H7" s="76"/>
      <c r="I7" s="76"/>
      <c r="J7" s="76"/>
      <c r="K7" s="76"/>
    </row>
    <row r="8" spans="1:11" ht="15" customHeight="1">
      <c r="A8" s="73"/>
      <c r="B8" s="137"/>
      <c r="C8" s="98"/>
      <c r="D8" s="135"/>
      <c r="E8" s="79">
        <f>IF(C8&lt;$E$5,B8,0)</f>
        <v>0</v>
      </c>
      <c r="F8" s="79">
        <f>IF(AND($E$5&lt;C8,C8&lt;$H$5+1),B8,0)</f>
        <v>0</v>
      </c>
      <c r="G8" s="79">
        <f>IF(AND($E$5&lt;D8,D8&lt;$H$5+1),-B8,0)</f>
        <v>0</v>
      </c>
      <c r="H8" s="79">
        <f>+E8+F8+G8</f>
        <v>0</v>
      </c>
      <c r="I8" s="79">
        <f>IF(AND($H$5&lt;C8,C8&lt;$K$5+1),B8,0)</f>
        <v>0</v>
      </c>
      <c r="J8" s="79">
        <f>IF(AND($H$5&lt;D8,D8&lt;$K$5+1),-B8,0)</f>
        <v>0</v>
      </c>
      <c r="K8" s="79">
        <f>+H8+I8+J8</f>
        <v>0</v>
      </c>
    </row>
    <row r="9" spans="1:11" ht="15" customHeight="1">
      <c r="A9" s="73"/>
      <c r="B9" s="137"/>
      <c r="C9" s="98"/>
      <c r="D9" s="135"/>
      <c r="E9" s="79">
        <f aca="true" t="shared" si="0" ref="E9:E38">IF(C9&lt;$E$5,B9,0)</f>
        <v>0</v>
      </c>
      <c r="F9" s="79">
        <f aca="true" t="shared" si="1" ref="F9:F38">IF(AND($E$5&lt;C9,C9&lt;$H$5+1),B9,0)</f>
        <v>0</v>
      </c>
      <c r="G9" s="79">
        <f aca="true" t="shared" si="2" ref="G9:G38">IF(AND($E$5&lt;D9,D9&lt;$H$5+1),-B9,0)</f>
        <v>0</v>
      </c>
      <c r="H9" s="79">
        <f aca="true" t="shared" si="3" ref="H9:H38">+E9+F9+G9</f>
        <v>0</v>
      </c>
      <c r="I9" s="79">
        <f aca="true" t="shared" si="4" ref="I9:I38">IF(AND($H$5&lt;C9,C9&lt;$K$5+1),B9,0)</f>
        <v>0</v>
      </c>
      <c r="J9" s="79">
        <f aca="true" t="shared" si="5" ref="J9:J38">IF(AND($H$5&lt;D9,D9&lt;$K$5+1),-B9,0)</f>
        <v>0</v>
      </c>
      <c r="K9" s="79">
        <f aca="true" t="shared" si="6" ref="K9:K38">+H9+I9+J9</f>
        <v>0</v>
      </c>
    </row>
    <row r="10" spans="1:19" s="66" customFormat="1" ht="13.5" customHeight="1">
      <c r="A10" s="73"/>
      <c r="B10" s="137"/>
      <c r="C10" s="98"/>
      <c r="D10" s="135"/>
      <c r="E10" s="79">
        <f t="shared" si="0"/>
        <v>0</v>
      </c>
      <c r="F10" s="79">
        <f t="shared" si="1"/>
        <v>0</v>
      </c>
      <c r="G10" s="79">
        <f t="shared" si="2"/>
        <v>0</v>
      </c>
      <c r="H10" s="79">
        <f t="shared" si="3"/>
        <v>0</v>
      </c>
      <c r="I10" s="79">
        <f t="shared" si="4"/>
        <v>0</v>
      </c>
      <c r="J10" s="79">
        <f t="shared" si="5"/>
        <v>0</v>
      </c>
      <c r="K10" s="79">
        <f t="shared" si="6"/>
        <v>0</v>
      </c>
      <c r="L10" s="60"/>
      <c r="M10" s="60"/>
      <c r="N10" s="60"/>
      <c r="O10" s="60"/>
      <c r="P10" s="60"/>
      <c r="Q10" s="60"/>
      <c r="R10" s="60"/>
      <c r="S10" s="60"/>
    </row>
    <row r="11" spans="1:19" s="66" customFormat="1" ht="13.5" customHeight="1">
      <c r="A11" s="73"/>
      <c r="B11" s="137"/>
      <c r="C11" s="98"/>
      <c r="D11" s="135"/>
      <c r="E11" s="79">
        <f t="shared" si="0"/>
        <v>0</v>
      </c>
      <c r="F11" s="79">
        <f t="shared" si="1"/>
        <v>0</v>
      </c>
      <c r="G11" s="79">
        <f t="shared" si="2"/>
        <v>0</v>
      </c>
      <c r="H11" s="79">
        <f t="shared" si="3"/>
        <v>0</v>
      </c>
      <c r="I11" s="79">
        <f t="shared" si="4"/>
        <v>0</v>
      </c>
      <c r="J11" s="79">
        <f t="shared" si="5"/>
        <v>0</v>
      </c>
      <c r="K11" s="79">
        <f t="shared" si="6"/>
        <v>0</v>
      </c>
      <c r="L11" s="60"/>
      <c r="M11" s="60"/>
      <c r="N11" s="60"/>
      <c r="O11" s="60"/>
      <c r="P11" s="60"/>
      <c r="Q11" s="64"/>
      <c r="R11" s="60"/>
      <c r="S11" s="64"/>
    </row>
    <row r="12" spans="1:22" ht="12.75" customHeight="1">
      <c r="A12" s="99"/>
      <c r="B12" s="137"/>
      <c r="C12" s="156"/>
      <c r="D12" s="135"/>
      <c r="E12" s="79">
        <f t="shared" si="0"/>
        <v>0</v>
      </c>
      <c r="F12" s="79">
        <f t="shared" si="1"/>
        <v>0</v>
      </c>
      <c r="G12" s="79">
        <f t="shared" si="2"/>
        <v>0</v>
      </c>
      <c r="H12" s="79">
        <f t="shared" si="3"/>
        <v>0</v>
      </c>
      <c r="I12" s="79">
        <f t="shared" si="4"/>
        <v>0</v>
      </c>
      <c r="J12" s="79">
        <f t="shared" si="5"/>
        <v>0</v>
      </c>
      <c r="K12" s="79">
        <f t="shared" si="6"/>
        <v>0</v>
      </c>
      <c r="L12" s="59"/>
      <c r="M12" s="59"/>
      <c r="N12" s="59"/>
      <c r="O12" s="59"/>
      <c r="T12" s="5"/>
      <c r="U12" s="5"/>
      <c r="V12" s="5"/>
    </row>
    <row r="13" spans="1:22" ht="12.75" customHeight="1">
      <c r="A13" s="99"/>
      <c r="B13" s="137"/>
      <c r="C13" s="156"/>
      <c r="D13" s="135"/>
      <c r="E13" s="79">
        <f t="shared" si="0"/>
        <v>0</v>
      </c>
      <c r="F13" s="79">
        <f t="shared" si="1"/>
        <v>0</v>
      </c>
      <c r="G13" s="79">
        <f t="shared" si="2"/>
        <v>0</v>
      </c>
      <c r="H13" s="79">
        <f t="shared" si="3"/>
        <v>0</v>
      </c>
      <c r="I13" s="79">
        <f t="shared" si="4"/>
        <v>0</v>
      </c>
      <c r="J13" s="79">
        <f t="shared" si="5"/>
        <v>0</v>
      </c>
      <c r="K13" s="79">
        <f t="shared" si="6"/>
        <v>0</v>
      </c>
      <c r="L13" s="59"/>
      <c r="M13" s="59"/>
      <c r="N13" s="59"/>
      <c r="O13" s="59"/>
      <c r="T13" s="5"/>
      <c r="U13" s="5"/>
      <c r="V13" s="5"/>
    </row>
    <row r="14" spans="1:22" ht="12.75" customHeight="1">
      <c r="A14" s="99"/>
      <c r="B14" s="137"/>
      <c r="C14" s="135"/>
      <c r="D14" s="135"/>
      <c r="E14" s="79">
        <f t="shared" si="0"/>
        <v>0</v>
      </c>
      <c r="F14" s="79">
        <f t="shared" si="1"/>
        <v>0</v>
      </c>
      <c r="G14" s="79">
        <f t="shared" si="2"/>
        <v>0</v>
      </c>
      <c r="H14" s="79">
        <f t="shared" si="3"/>
        <v>0</v>
      </c>
      <c r="I14" s="79">
        <f t="shared" si="4"/>
        <v>0</v>
      </c>
      <c r="J14" s="79">
        <f t="shared" si="5"/>
        <v>0</v>
      </c>
      <c r="K14" s="79">
        <f t="shared" si="6"/>
        <v>0</v>
      </c>
      <c r="L14" s="59"/>
      <c r="M14" s="59"/>
      <c r="N14" s="59"/>
      <c r="O14" s="59"/>
      <c r="T14" s="5"/>
      <c r="U14" s="5"/>
      <c r="V14" s="5"/>
    </row>
    <row r="15" spans="1:22" ht="13.5" customHeight="1">
      <c r="A15" s="99"/>
      <c r="B15" s="137"/>
      <c r="C15" s="135"/>
      <c r="D15" s="135"/>
      <c r="E15" s="79">
        <f t="shared" si="0"/>
        <v>0</v>
      </c>
      <c r="F15" s="79">
        <f t="shared" si="1"/>
        <v>0</v>
      </c>
      <c r="G15" s="79">
        <f t="shared" si="2"/>
        <v>0</v>
      </c>
      <c r="H15" s="79">
        <f t="shared" si="3"/>
        <v>0</v>
      </c>
      <c r="I15" s="79">
        <f t="shared" si="4"/>
        <v>0</v>
      </c>
      <c r="J15" s="79">
        <f t="shared" si="5"/>
        <v>0</v>
      </c>
      <c r="K15" s="79">
        <f t="shared" si="6"/>
        <v>0</v>
      </c>
      <c r="L15" s="59"/>
      <c r="M15" s="59"/>
      <c r="N15" s="59"/>
      <c r="O15" s="59"/>
      <c r="T15" s="5"/>
      <c r="U15" s="5"/>
      <c r="V15" s="5"/>
    </row>
    <row r="16" spans="1:22" ht="13.5" customHeight="1">
      <c r="A16" s="99"/>
      <c r="B16" s="136"/>
      <c r="C16" s="135"/>
      <c r="D16" s="135"/>
      <c r="E16" s="79">
        <f t="shared" si="0"/>
        <v>0</v>
      </c>
      <c r="F16" s="79">
        <f t="shared" si="1"/>
        <v>0</v>
      </c>
      <c r="G16" s="79">
        <f t="shared" si="2"/>
        <v>0</v>
      </c>
      <c r="H16" s="79">
        <f t="shared" si="3"/>
        <v>0</v>
      </c>
      <c r="I16" s="79">
        <f t="shared" si="4"/>
        <v>0</v>
      </c>
      <c r="J16" s="79">
        <f t="shared" si="5"/>
        <v>0</v>
      </c>
      <c r="K16" s="79">
        <f t="shared" si="6"/>
        <v>0</v>
      </c>
      <c r="L16" s="59"/>
      <c r="M16" s="59"/>
      <c r="N16" s="59"/>
      <c r="O16" s="59"/>
      <c r="T16" s="5"/>
      <c r="U16" s="5"/>
      <c r="V16" s="5"/>
    </row>
    <row r="17" spans="1:22" ht="13.5" customHeight="1">
      <c r="A17" s="99"/>
      <c r="B17" s="136"/>
      <c r="C17" s="135"/>
      <c r="D17" s="135"/>
      <c r="E17" s="79">
        <f t="shared" si="0"/>
        <v>0</v>
      </c>
      <c r="F17" s="79">
        <f t="shared" si="1"/>
        <v>0</v>
      </c>
      <c r="G17" s="79">
        <f t="shared" si="2"/>
        <v>0</v>
      </c>
      <c r="H17" s="79">
        <f t="shared" si="3"/>
        <v>0</v>
      </c>
      <c r="I17" s="79">
        <f t="shared" si="4"/>
        <v>0</v>
      </c>
      <c r="J17" s="79">
        <f t="shared" si="5"/>
        <v>0</v>
      </c>
      <c r="K17" s="79">
        <f t="shared" si="6"/>
        <v>0</v>
      </c>
      <c r="L17" s="59"/>
      <c r="M17" s="59"/>
      <c r="N17" s="59"/>
      <c r="O17" s="59"/>
      <c r="T17" s="5"/>
      <c r="U17" s="5"/>
      <c r="V17" s="5"/>
    </row>
    <row r="18" spans="1:22" ht="13.5" customHeight="1">
      <c r="A18" s="99"/>
      <c r="B18" s="136"/>
      <c r="C18" s="135"/>
      <c r="D18" s="135"/>
      <c r="E18" s="79">
        <f t="shared" si="0"/>
        <v>0</v>
      </c>
      <c r="F18" s="79">
        <f t="shared" si="1"/>
        <v>0</v>
      </c>
      <c r="G18" s="79">
        <f t="shared" si="2"/>
        <v>0</v>
      </c>
      <c r="H18" s="79">
        <f t="shared" si="3"/>
        <v>0</v>
      </c>
      <c r="I18" s="79">
        <f t="shared" si="4"/>
        <v>0</v>
      </c>
      <c r="J18" s="79">
        <f t="shared" si="5"/>
        <v>0</v>
      </c>
      <c r="K18" s="79">
        <f t="shared" si="6"/>
        <v>0</v>
      </c>
      <c r="T18" s="5"/>
      <c r="U18" s="5"/>
      <c r="V18" s="5"/>
    </row>
    <row r="19" spans="1:22" ht="13.5" customHeight="1">
      <c r="A19" s="99"/>
      <c r="B19" s="136"/>
      <c r="C19" s="135"/>
      <c r="D19" s="135"/>
      <c r="E19" s="79">
        <f t="shared" si="0"/>
        <v>0</v>
      </c>
      <c r="F19" s="79">
        <f t="shared" si="1"/>
        <v>0</v>
      </c>
      <c r="G19" s="79">
        <f t="shared" si="2"/>
        <v>0</v>
      </c>
      <c r="H19" s="79">
        <f t="shared" si="3"/>
        <v>0</v>
      </c>
      <c r="I19" s="79">
        <f t="shared" si="4"/>
        <v>0</v>
      </c>
      <c r="J19" s="79">
        <f t="shared" si="5"/>
        <v>0</v>
      </c>
      <c r="K19" s="79">
        <f t="shared" si="6"/>
        <v>0</v>
      </c>
      <c r="T19" s="5"/>
      <c r="U19" s="5"/>
      <c r="V19" s="5"/>
    </row>
    <row r="20" spans="1:22" ht="13.5" customHeight="1">
      <c r="A20" s="100"/>
      <c r="B20" s="137"/>
      <c r="C20" s="135"/>
      <c r="D20" s="135"/>
      <c r="E20" s="79">
        <f t="shared" si="0"/>
        <v>0</v>
      </c>
      <c r="F20" s="79">
        <f t="shared" si="1"/>
        <v>0</v>
      </c>
      <c r="G20" s="79">
        <f t="shared" si="2"/>
        <v>0</v>
      </c>
      <c r="H20" s="79">
        <f t="shared" si="3"/>
        <v>0</v>
      </c>
      <c r="I20" s="79">
        <f t="shared" si="4"/>
        <v>0</v>
      </c>
      <c r="J20" s="79">
        <f t="shared" si="5"/>
        <v>0</v>
      </c>
      <c r="K20" s="79">
        <f t="shared" si="6"/>
        <v>0</v>
      </c>
      <c r="T20" s="5"/>
      <c r="U20" s="5"/>
      <c r="V20" s="5"/>
    </row>
    <row r="21" spans="1:22" ht="13.5" customHeight="1">
      <c r="A21" s="99"/>
      <c r="B21" s="136"/>
      <c r="C21" s="135"/>
      <c r="D21" s="135"/>
      <c r="E21" s="79">
        <f t="shared" si="0"/>
        <v>0</v>
      </c>
      <c r="F21" s="79">
        <f t="shared" si="1"/>
        <v>0</v>
      </c>
      <c r="G21" s="79">
        <f t="shared" si="2"/>
        <v>0</v>
      </c>
      <c r="H21" s="79">
        <f t="shared" si="3"/>
        <v>0</v>
      </c>
      <c r="I21" s="79">
        <f t="shared" si="4"/>
        <v>0</v>
      </c>
      <c r="J21" s="79">
        <f t="shared" si="5"/>
        <v>0</v>
      </c>
      <c r="K21" s="79">
        <f t="shared" si="6"/>
        <v>0</v>
      </c>
      <c r="T21" s="5"/>
      <c r="U21" s="5"/>
      <c r="V21" s="5"/>
    </row>
    <row r="22" spans="1:22" ht="13.5" customHeight="1">
      <c r="A22" s="100"/>
      <c r="B22" s="137"/>
      <c r="C22" s="135"/>
      <c r="D22" s="135"/>
      <c r="E22" s="79">
        <f t="shared" si="0"/>
        <v>0</v>
      </c>
      <c r="F22" s="79">
        <f t="shared" si="1"/>
        <v>0</v>
      </c>
      <c r="G22" s="79">
        <f t="shared" si="2"/>
        <v>0</v>
      </c>
      <c r="H22" s="79">
        <f t="shared" si="3"/>
        <v>0</v>
      </c>
      <c r="I22" s="79">
        <f t="shared" si="4"/>
        <v>0</v>
      </c>
      <c r="J22" s="79">
        <f t="shared" si="5"/>
        <v>0</v>
      </c>
      <c r="K22" s="79">
        <f t="shared" si="6"/>
        <v>0</v>
      </c>
      <c r="T22" s="5"/>
      <c r="U22" s="5"/>
      <c r="V22" s="5"/>
    </row>
    <row r="23" spans="1:22" ht="13.5" customHeight="1">
      <c r="A23" s="100"/>
      <c r="B23" s="137"/>
      <c r="C23" s="135"/>
      <c r="D23" s="135"/>
      <c r="E23" s="79">
        <f t="shared" si="0"/>
        <v>0</v>
      </c>
      <c r="F23" s="79">
        <f t="shared" si="1"/>
        <v>0</v>
      </c>
      <c r="G23" s="79">
        <f t="shared" si="2"/>
        <v>0</v>
      </c>
      <c r="H23" s="79">
        <f t="shared" si="3"/>
        <v>0</v>
      </c>
      <c r="I23" s="79">
        <f t="shared" si="4"/>
        <v>0</v>
      </c>
      <c r="J23" s="79">
        <f t="shared" si="5"/>
        <v>0</v>
      </c>
      <c r="K23" s="79">
        <f t="shared" si="6"/>
        <v>0</v>
      </c>
      <c r="T23" s="5"/>
      <c r="U23" s="5"/>
      <c r="V23" s="5"/>
    </row>
    <row r="24" spans="1:12" ht="13.5" customHeight="1">
      <c r="A24" s="100"/>
      <c r="B24" s="137"/>
      <c r="C24" s="135"/>
      <c r="D24" s="135"/>
      <c r="E24" s="79">
        <f t="shared" si="0"/>
        <v>0</v>
      </c>
      <c r="F24" s="79">
        <f t="shared" si="1"/>
        <v>0</v>
      </c>
      <c r="G24" s="79">
        <f t="shared" si="2"/>
        <v>0</v>
      </c>
      <c r="H24" s="79">
        <f t="shared" si="3"/>
        <v>0</v>
      </c>
      <c r="I24" s="79">
        <f t="shared" si="4"/>
        <v>0</v>
      </c>
      <c r="J24" s="79">
        <f t="shared" si="5"/>
        <v>0</v>
      </c>
      <c r="K24" s="79">
        <f t="shared" si="6"/>
        <v>0</v>
      </c>
      <c r="L24" s="59"/>
    </row>
    <row r="25" spans="1:14" ht="13.5" customHeight="1">
      <c r="A25" s="99"/>
      <c r="B25" s="136"/>
      <c r="C25" s="135"/>
      <c r="D25" s="135"/>
      <c r="E25" s="79">
        <f t="shared" si="0"/>
        <v>0</v>
      </c>
      <c r="F25" s="79">
        <f t="shared" si="1"/>
        <v>0</v>
      </c>
      <c r="G25" s="79">
        <f t="shared" si="2"/>
        <v>0</v>
      </c>
      <c r="H25" s="79">
        <f t="shared" si="3"/>
        <v>0</v>
      </c>
      <c r="I25" s="79">
        <f t="shared" si="4"/>
        <v>0</v>
      </c>
      <c r="J25" s="79">
        <f t="shared" si="5"/>
        <v>0</v>
      </c>
      <c r="K25" s="79">
        <f t="shared" si="6"/>
        <v>0</v>
      </c>
      <c r="L25" s="59"/>
      <c r="M25" s="59"/>
      <c r="N25" s="59"/>
    </row>
    <row r="26" spans="1:14" ht="13.5" customHeight="1">
      <c r="A26" s="73"/>
      <c r="B26" s="81"/>
      <c r="C26" s="135"/>
      <c r="D26" s="135"/>
      <c r="E26" s="79">
        <f t="shared" si="0"/>
        <v>0</v>
      </c>
      <c r="F26" s="79">
        <f t="shared" si="1"/>
        <v>0</v>
      </c>
      <c r="G26" s="79">
        <f t="shared" si="2"/>
        <v>0</v>
      </c>
      <c r="H26" s="79">
        <f t="shared" si="3"/>
        <v>0</v>
      </c>
      <c r="I26" s="79">
        <f t="shared" si="4"/>
        <v>0</v>
      </c>
      <c r="J26" s="79">
        <f t="shared" si="5"/>
        <v>0</v>
      </c>
      <c r="K26" s="79">
        <f t="shared" si="6"/>
        <v>0</v>
      </c>
      <c r="L26" s="59"/>
      <c r="M26" s="59"/>
      <c r="N26" s="59"/>
    </row>
    <row r="27" spans="1:11" ht="13.5" customHeight="1">
      <c r="A27" s="73"/>
      <c r="B27" s="81"/>
      <c r="C27" s="135"/>
      <c r="D27" s="135"/>
      <c r="E27" s="79">
        <f t="shared" si="0"/>
        <v>0</v>
      </c>
      <c r="F27" s="79">
        <f t="shared" si="1"/>
        <v>0</v>
      </c>
      <c r="G27" s="79">
        <f t="shared" si="2"/>
        <v>0</v>
      </c>
      <c r="H27" s="79">
        <f t="shared" si="3"/>
        <v>0</v>
      </c>
      <c r="I27" s="79">
        <f t="shared" si="4"/>
        <v>0</v>
      </c>
      <c r="J27" s="79">
        <f t="shared" si="5"/>
        <v>0</v>
      </c>
      <c r="K27" s="79">
        <f t="shared" si="6"/>
        <v>0</v>
      </c>
    </row>
    <row r="28" spans="1:11" ht="13.5" customHeight="1">
      <c r="A28" s="100"/>
      <c r="B28" s="137"/>
      <c r="C28" s="135"/>
      <c r="D28" s="135"/>
      <c r="E28" s="79">
        <f t="shared" si="0"/>
        <v>0</v>
      </c>
      <c r="F28" s="79">
        <f t="shared" si="1"/>
        <v>0</v>
      </c>
      <c r="G28" s="79">
        <f t="shared" si="2"/>
        <v>0</v>
      </c>
      <c r="H28" s="79">
        <f t="shared" si="3"/>
        <v>0</v>
      </c>
      <c r="I28" s="79">
        <f t="shared" si="4"/>
        <v>0</v>
      </c>
      <c r="J28" s="79">
        <f t="shared" si="5"/>
        <v>0</v>
      </c>
      <c r="K28" s="79">
        <f t="shared" si="6"/>
        <v>0</v>
      </c>
    </row>
    <row r="29" spans="1:11" ht="13.5" customHeight="1">
      <c r="A29" s="100"/>
      <c r="B29" s="137"/>
      <c r="C29" s="135"/>
      <c r="D29" s="135"/>
      <c r="E29" s="79">
        <f t="shared" si="0"/>
        <v>0</v>
      </c>
      <c r="F29" s="79">
        <f t="shared" si="1"/>
        <v>0</v>
      </c>
      <c r="G29" s="79">
        <f t="shared" si="2"/>
        <v>0</v>
      </c>
      <c r="H29" s="79">
        <f t="shared" si="3"/>
        <v>0</v>
      </c>
      <c r="I29" s="79">
        <f t="shared" si="4"/>
        <v>0</v>
      </c>
      <c r="J29" s="79">
        <f t="shared" si="5"/>
        <v>0</v>
      </c>
      <c r="K29" s="79">
        <f t="shared" si="6"/>
        <v>0</v>
      </c>
    </row>
    <row r="30" spans="1:14" ht="13.5" customHeight="1">
      <c r="A30" s="100"/>
      <c r="B30" s="137"/>
      <c r="C30" s="135"/>
      <c r="D30" s="135"/>
      <c r="E30" s="79">
        <f t="shared" si="0"/>
        <v>0</v>
      </c>
      <c r="F30" s="79">
        <f t="shared" si="1"/>
        <v>0</v>
      </c>
      <c r="G30" s="79">
        <f t="shared" si="2"/>
        <v>0</v>
      </c>
      <c r="H30" s="79">
        <f t="shared" si="3"/>
        <v>0</v>
      </c>
      <c r="I30" s="79">
        <f t="shared" si="4"/>
        <v>0</v>
      </c>
      <c r="J30" s="79">
        <f t="shared" si="5"/>
        <v>0</v>
      </c>
      <c r="K30" s="79">
        <f t="shared" si="6"/>
        <v>0</v>
      </c>
      <c r="M30" s="59"/>
      <c r="N30" s="59"/>
    </row>
    <row r="31" spans="1:11" ht="13.5" customHeight="1">
      <c r="A31" s="100"/>
      <c r="B31" s="137"/>
      <c r="C31" s="135"/>
      <c r="D31" s="135"/>
      <c r="E31" s="79">
        <f t="shared" si="0"/>
        <v>0</v>
      </c>
      <c r="F31" s="79">
        <f t="shared" si="1"/>
        <v>0</v>
      </c>
      <c r="G31" s="79">
        <f t="shared" si="2"/>
        <v>0</v>
      </c>
      <c r="H31" s="79">
        <f t="shared" si="3"/>
        <v>0</v>
      </c>
      <c r="I31" s="79">
        <f t="shared" si="4"/>
        <v>0</v>
      </c>
      <c r="J31" s="79">
        <f t="shared" si="5"/>
        <v>0</v>
      </c>
      <c r="K31" s="79">
        <f t="shared" si="6"/>
        <v>0</v>
      </c>
    </row>
    <row r="32" spans="1:11" ht="12" customHeight="1">
      <c r="A32" s="100"/>
      <c r="B32" s="137"/>
      <c r="C32" s="135"/>
      <c r="D32" s="135"/>
      <c r="E32" s="79">
        <f t="shared" si="0"/>
        <v>0</v>
      </c>
      <c r="F32" s="79">
        <f t="shared" si="1"/>
        <v>0</v>
      </c>
      <c r="G32" s="79">
        <f t="shared" si="2"/>
        <v>0</v>
      </c>
      <c r="H32" s="79">
        <f t="shared" si="3"/>
        <v>0</v>
      </c>
      <c r="I32" s="79">
        <f t="shared" si="4"/>
        <v>0</v>
      </c>
      <c r="J32" s="79">
        <f t="shared" si="5"/>
        <v>0</v>
      </c>
      <c r="K32" s="79">
        <f t="shared" si="6"/>
        <v>0</v>
      </c>
    </row>
    <row r="33" spans="1:11" ht="12" customHeight="1">
      <c r="A33" s="100"/>
      <c r="B33" s="137"/>
      <c r="C33" s="135"/>
      <c r="D33" s="135"/>
      <c r="E33" s="79">
        <f t="shared" si="0"/>
        <v>0</v>
      </c>
      <c r="F33" s="79">
        <f t="shared" si="1"/>
        <v>0</v>
      </c>
      <c r="G33" s="79">
        <f t="shared" si="2"/>
        <v>0</v>
      </c>
      <c r="H33" s="79">
        <f t="shared" si="3"/>
        <v>0</v>
      </c>
      <c r="I33" s="79">
        <f t="shared" si="4"/>
        <v>0</v>
      </c>
      <c r="J33" s="79">
        <f t="shared" si="5"/>
        <v>0</v>
      </c>
      <c r="K33" s="79">
        <f t="shared" si="6"/>
        <v>0</v>
      </c>
    </row>
    <row r="34" spans="1:11" ht="12" customHeight="1">
      <c r="A34" s="100"/>
      <c r="B34" s="137"/>
      <c r="C34" s="135"/>
      <c r="D34" s="135"/>
      <c r="E34" s="79">
        <f t="shared" si="0"/>
        <v>0</v>
      </c>
      <c r="F34" s="79">
        <f t="shared" si="1"/>
        <v>0</v>
      </c>
      <c r="G34" s="79">
        <f t="shared" si="2"/>
        <v>0</v>
      </c>
      <c r="H34" s="79">
        <f t="shared" si="3"/>
        <v>0</v>
      </c>
      <c r="I34" s="79">
        <f t="shared" si="4"/>
        <v>0</v>
      </c>
      <c r="J34" s="79">
        <f t="shared" si="5"/>
        <v>0</v>
      </c>
      <c r="K34" s="79">
        <f t="shared" si="6"/>
        <v>0</v>
      </c>
    </row>
    <row r="35" spans="1:14" ht="12" customHeight="1">
      <c r="A35" s="100"/>
      <c r="B35" s="137"/>
      <c r="C35" s="135"/>
      <c r="D35" s="135"/>
      <c r="E35" s="79">
        <f t="shared" si="0"/>
        <v>0</v>
      </c>
      <c r="F35" s="79">
        <f t="shared" si="1"/>
        <v>0</v>
      </c>
      <c r="G35" s="79">
        <f t="shared" si="2"/>
        <v>0</v>
      </c>
      <c r="H35" s="79">
        <f t="shared" si="3"/>
        <v>0</v>
      </c>
      <c r="I35" s="79">
        <f t="shared" si="4"/>
        <v>0</v>
      </c>
      <c r="J35" s="79">
        <f t="shared" si="5"/>
        <v>0</v>
      </c>
      <c r="K35" s="79">
        <f t="shared" si="6"/>
        <v>0</v>
      </c>
      <c r="M35" s="59"/>
      <c r="N35" s="59"/>
    </row>
    <row r="36" spans="1:11" ht="12.75">
      <c r="A36" s="100"/>
      <c r="B36" s="137"/>
      <c r="C36" s="135"/>
      <c r="D36" s="135"/>
      <c r="E36" s="79">
        <f t="shared" si="0"/>
        <v>0</v>
      </c>
      <c r="F36" s="79">
        <f t="shared" si="1"/>
        <v>0</v>
      </c>
      <c r="G36" s="79">
        <f t="shared" si="2"/>
        <v>0</v>
      </c>
      <c r="H36" s="79">
        <f t="shared" si="3"/>
        <v>0</v>
      </c>
      <c r="I36" s="79">
        <f t="shared" si="4"/>
        <v>0</v>
      </c>
      <c r="J36" s="79">
        <f t="shared" si="5"/>
        <v>0</v>
      </c>
      <c r="K36" s="79">
        <f t="shared" si="6"/>
        <v>0</v>
      </c>
    </row>
    <row r="37" spans="1:11" ht="12.75">
      <c r="A37" s="100"/>
      <c r="B37" s="137"/>
      <c r="C37" s="135"/>
      <c r="D37" s="135"/>
      <c r="E37" s="79">
        <f t="shared" si="0"/>
        <v>0</v>
      </c>
      <c r="F37" s="79">
        <f t="shared" si="1"/>
        <v>0</v>
      </c>
      <c r="G37" s="79">
        <f t="shared" si="2"/>
        <v>0</v>
      </c>
      <c r="H37" s="79">
        <f t="shared" si="3"/>
        <v>0</v>
      </c>
      <c r="I37" s="79">
        <f t="shared" si="4"/>
        <v>0</v>
      </c>
      <c r="J37" s="79">
        <f t="shared" si="5"/>
        <v>0</v>
      </c>
      <c r="K37" s="79">
        <f t="shared" si="6"/>
        <v>0</v>
      </c>
    </row>
    <row r="38" spans="1:11" ht="12.75">
      <c r="A38" s="100"/>
      <c r="B38" s="137"/>
      <c r="C38" s="135"/>
      <c r="D38" s="135"/>
      <c r="E38" s="92">
        <f t="shared" si="0"/>
        <v>0</v>
      </c>
      <c r="F38" s="92">
        <f t="shared" si="1"/>
        <v>0</v>
      </c>
      <c r="G38" s="92">
        <f t="shared" si="2"/>
        <v>0</v>
      </c>
      <c r="H38" s="92">
        <f t="shared" si="3"/>
        <v>0</v>
      </c>
      <c r="I38" s="92">
        <f t="shared" si="4"/>
        <v>0</v>
      </c>
      <c r="J38" s="92">
        <f t="shared" si="5"/>
        <v>0</v>
      </c>
      <c r="K38" s="92">
        <f t="shared" si="6"/>
        <v>0</v>
      </c>
    </row>
    <row r="39" spans="1:11" ht="12.75">
      <c r="A39" s="59"/>
      <c r="B39" s="59"/>
      <c r="C39" s="59"/>
      <c r="D39" s="59"/>
      <c r="E39" s="79"/>
      <c r="F39" s="79"/>
      <c r="G39" s="79"/>
      <c r="H39" s="79"/>
      <c r="I39" s="79"/>
      <c r="J39" s="79"/>
      <c r="K39" s="79"/>
    </row>
    <row r="40" spans="1:11" ht="13.5" thickBot="1">
      <c r="A40" s="75" t="s">
        <v>43</v>
      </c>
      <c r="B40" s="75"/>
      <c r="C40" s="59"/>
      <c r="D40" s="59"/>
      <c r="E40" s="134">
        <f>SUM(E8:E38)</f>
        <v>0</v>
      </c>
      <c r="F40" s="134">
        <f>SUM(F8:F38)</f>
        <v>0</v>
      </c>
      <c r="G40" s="134">
        <f>SUM(G8:G38)</f>
        <v>0</v>
      </c>
      <c r="H40" s="134">
        <f>+E40+F40+G40</f>
        <v>0</v>
      </c>
      <c r="I40" s="134">
        <f>SUM(I8:I38)</f>
        <v>0</v>
      </c>
      <c r="J40" s="134">
        <f>SUM(J8:J38)</f>
        <v>0</v>
      </c>
      <c r="K40" s="134">
        <f>+H40+I40+J40</f>
        <v>0</v>
      </c>
    </row>
    <row r="41" spans="5:11" ht="13.5" thickTop="1">
      <c r="E41" s="69"/>
      <c r="F41" s="69"/>
      <c r="G41" s="69"/>
      <c r="H41" s="69"/>
      <c r="I41" s="69"/>
      <c r="J41" s="69"/>
      <c r="K41" s="69"/>
    </row>
    <row r="42" spans="5:11" ht="12.75">
      <c r="E42" s="69"/>
      <c r="F42" s="69"/>
      <c r="G42" s="69"/>
      <c r="H42" s="69"/>
      <c r="I42" s="69"/>
      <c r="J42" s="69"/>
      <c r="K42" s="69"/>
    </row>
    <row r="43" spans="5:11" ht="12.75">
      <c r="E43" s="69"/>
      <c r="F43" s="69"/>
      <c r="G43" s="69"/>
      <c r="H43" s="69"/>
      <c r="I43" s="69"/>
      <c r="J43" s="69"/>
      <c r="K43" s="69"/>
    </row>
    <row r="44" spans="5:11" ht="12.75">
      <c r="E44" s="69"/>
      <c r="F44" s="69"/>
      <c r="G44" s="69"/>
      <c r="H44" s="69"/>
      <c r="I44" s="69"/>
      <c r="J44" s="69"/>
      <c r="K44" s="69"/>
    </row>
    <row r="45" spans="5:11" ht="12.75">
      <c r="E45" s="69"/>
      <c r="F45" s="69"/>
      <c r="G45" s="69"/>
      <c r="H45" s="69"/>
      <c r="I45" s="69"/>
      <c r="J45" s="69"/>
      <c r="K45" s="69"/>
    </row>
    <row r="46" spans="5:11" ht="12.75">
      <c r="E46" s="69"/>
      <c r="F46" s="69"/>
      <c r="G46" s="69"/>
      <c r="H46" s="69"/>
      <c r="I46" s="69"/>
      <c r="J46" s="69"/>
      <c r="K46" s="69"/>
    </row>
    <row r="47" spans="5:11" ht="12.75">
      <c r="E47" s="69"/>
      <c r="F47" s="69"/>
      <c r="G47" s="69"/>
      <c r="H47" s="69"/>
      <c r="I47" s="69"/>
      <c r="J47" s="69"/>
      <c r="K47" s="69"/>
    </row>
    <row r="48" spans="5:11" ht="12.75">
      <c r="E48" s="69"/>
      <c r="F48" s="69"/>
      <c r="G48" s="69"/>
      <c r="H48" s="69"/>
      <c r="I48" s="69"/>
      <c r="J48" s="69"/>
      <c r="K48" s="69"/>
    </row>
    <row r="49" spans="5:11" ht="12.75">
      <c r="E49" s="69"/>
      <c r="F49" s="69"/>
      <c r="G49" s="69"/>
      <c r="H49" s="69"/>
      <c r="I49" s="69"/>
      <c r="J49" s="69"/>
      <c r="K49" s="69"/>
    </row>
    <row r="50" spans="5:11" ht="12.75">
      <c r="E50" s="69"/>
      <c r="F50" s="69"/>
      <c r="G50" s="69"/>
      <c r="H50" s="69"/>
      <c r="I50" s="69"/>
      <c r="J50" s="69"/>
      <c r="K50" s="69"/>
    </row>
    <row r="51" spans="5:11" ht="12.75">
      <c r="E51" s="69"/>
      <c r="F51" s="69"/>
      <c r="G51" s="69"/>
      <c r="H51" s="69"/>
      <c r="I51" s="69"/>
      <c r="J51" s="69"/>
      <c r="K51" s="69"/>
    </row>
    <row r="52" spans="5:11" ht="12.75">
      <c r="E52" s="69"/>
      <c r="F52" s="69"/>
      <c r="G52" s="69"/>
      <c r="H52" s="69"/>
      <c r="I52" s="69"/>
      <c r="J52" s="69"/>
      <c r="K52" s="69"/>
    </row>
    <row r="53" spans="5:11" ht="12.75">
      <c r="E53" s="69"/>
      <c r="F53" s="69"/>
      <c r="G53" s="69"/>
      <c r="H53" s="69"/>
      <c r="I53" s="69"/>
      <c r="J53" s="69"/>
      <c r="K53" s="69"/>
    </row>
    <row r="54" spans="5:11" ht="12.75">
      <c r="E54" s="69"/>
      <c r="F54" s="69"/>
      <c r="G54" s="69"/>
      <c r="H54" s="69"/>
      <c r="I54" s="69"/>
      <c r="J54" s="69"/>
      <c r="K54" s="69"/>
    </row>
    <row r="55" spans="5:11" ht="12.75">
      <c r="E55" s="69"/>
      <c r="F55" s="69"/>
      <c r="G55" s="69"/>
      <c r="H55" s="69"/>
      <c r="I55" s="69"/>
      <c r="J55" s="69"/>
      <c r="K55" s="69"/>
    </row>
    <row r="56" spans="5:11" ht="12.75">
      <c r="E56" s="69"/>
      <c r="F56" s="69"/>
      <c r="G56" s="69"/>
      <c r="H56" s="69"/>
      <c r="I56" s="69"/>
      <c r="J56" s="69"/>
      <c r="K56" s="69"/>
    </row>
    <row r="57" spans="5:11" ht="12.75">
      <c r="E57" s="69"/>
      <c r="F57" s="69"/>
      <c r="G57" s="69"/>
      <c r="H57" s="69"/>
      <c r="I57" s="69"/>
      <c r="J57" s="69"/>
      <c r="K57" s="69"/>
    </row>
    <row r="58" spans="5:11" ht="12.75">
      <c r="E58" s="69"/>
      <c r="F58" s="69"/>
      <c r="G58" s="69"/>
      <c r="H58" s="69"/>
      <c r="I58" s="69"/>
      <c r="J58" s="69"/>
      <c r="K58" s="69"/>
    </row>
    <row r="59" spans="5:11" ht="12.75">
      <c r="E59" s="69"/>
      <c r="F59" s="69"/>
      <c r="G59" s="69"/>
      <c r="H59" s="69"/>
      <c r="I59" s="69"/>
      <c r="J59" s="69"/>
      <c r="K59" s="69"/>
    </row>
    <row r="60" spans="5:11" ht="12.75">
      <c r="E60" s="69"/>
      <c r="F60" s="69"/>
      <c r="G60" s="69"/>
      <c r="H60" s="69"/>
      <c r="I60" s="69"/>
      <c r="J60" s="69"/>
      <c r="K60" s="69"/>
    </row>
    <row r="61" spans="5:11" ht="12.75">
      <c r="E61" s="69"/>
      <c r="F61" s="69"/>
      <c r="G61" s="69"/>
      <c r="H61" s="69"/>
      <c r="I61" s="69"/>
      <c r="J61" s="69"/>
      <c r="K61" s="69"/>
    </row>
    <row r="62" spans="5:11" ht="12.75">
      <c r="E62" s="69"/>
      <c r="F62" s="69"/>
      <c r="G62" s="69"/>
      <c r="H62" s="69"/>
      <c r="I62" s="69"/>
      <c r="J62" s="69"/>
      <c r="K62" s="69"/>
    </row>
    <row r="63" spans="5:11" ht="12.75">
      <c r="E63" s="69"/>
      <c r="F63" s="69"/>
      <c r="G63" s="69"/>
      <c r="H63" s="69"/>
      <c r="I63" s="69"/>
      <c r="J63" s="69"/>
      <c r="K63" s="69"/>
    </row>
    <row r="64" spans="5:11" ht="12.75">
      <c r="E64" s="69"/>
      <c r="F64" s="69"/>
      <c r="G64" s="69"/>
      <c r="H64" s="69"/>
      <c r="I64" s="69"/>
      <c r="J64" s="69"/>
      <c r="K64" s="69"/>
    </row>
    <row r="65" spans="5:11" ht="12.75">
      <c r="E65" s="69"/>
      <c r="F65" s="69"/>
      <c r="G65" s="69"/>
      <c r="H65" s="69"/>
      <c r="I65" s="69"/>
      <c r="J65" s="69"/>
      <c r="K65" s="69"/>
    </row>
    <row r="66" spans="5:11" ht="12.75">
      <c r="E66" s="69"/>
      <c r="F66" s="69"/>
      <c r="G66" s="69"/>
      <c r="H66" s="69"/>
      <c r="I66" s="69"/>
      <c r="J66" s="69"/>
      <c r="K66" s="69"/>
    </row>
    <row r="67" spans="5:11" ht="12.75">
      <c r="E67" s="69"/>
      <c r="F67" s="69"/>
      <c r="G67" s="69"/>
      <c r="H67" s="69"/>
      <c r="I67" s="69"/>
      <c r="J67" s="69"/>
      <c r="K67" s="69"/>
    </row>
    <row r="68" spans="5:11" ht="12.75">
      <c r="E68" s="69"/>
      <c r="F68" s="69"/>
      <c r="G68" s="69"/>
      <c r="H68" s="69"/>
      <c r="I68" s="69"/>
      <c r="J68" s="69"/>
      <c r="K68" s="69"/>
    </row>
    <row r="69" spans="5:11" ht="12.75">
      <c r="E69" s="69"/>
      <c r="F69" s="69"/>
      <c r="G69" s="69"/>
      <c r="H69" s="69"/>
      <c r="I69" s="69"/>
      <c r="J69" s="69"/>
      <c r="K69" s="69"/>
    </row>
    <row r="70" spans="5:11" ht="12.75">
      <c r="E70" s="69"/>
      <c r="F70" s="69"/>
      <c r="G70" s="69"/>
      <c r="H70" s="69"/>
      <c r="I70" s="69"/>
      <c r="J70" s="69"/>
      <c r="K70" s="69"/>
    </row>
    <row r="71" spans="5:11" ht="12.75">
      <c r="E71" s="69"/>
      <c r="F71" s="69"/>
      <c r="G71" s="69"/>
      <c r="H71" s="69"/>
      <c r="I71" s="69"/>
      <c r="J71" s="69"/>
      <c r="K71" s="69"/>
    </row>
    <row r="72" spans="5:11" ht="12.75">
      <c r="E72" s="69"/>
      <c r="F72" s="69"/>
      <c r="G72" s="69"/>
      <c r="H72" s="69"/>
      <c r="I72" s="69"/>
      <c r="J72" s="69"/>
      <c r="K72" s="69"/>
    </row>
    <row r="73" spans="5:11" ht="12.75">
      <c r="E73" s="69"/>
      <c r="F73" s="69"/>
      <c r="G73" s="69"/>
      <c r="H73" s="69"/>
      <c r="I73" s="69"/>
      <c r="J73" s="69"/>
      <c r="K73" s="69"/>
    </row>
    <row r="74" spans="5:11" ht="12.75">
      <c r="E74" s="69"/>
      <c r="F74" s="69"/>
      <c r="G74" s="69"/>
      <c r="H74" s="69"/>
      <c r="I74" s="69"/>
      <c r="J74" s="69"/>
      <c r="K74" s="69"/>
    </row>
    <row r="75" spans="5:11" ht="12.75">
      <c r="E75" s="69"/>
      <c r="F75" s="69"/>
      <c r="G75" s="69"/>
      <c r="H75" s="69"/>
      <c r="I75" s="69"/>
      <c r="J75" s="69"/>
      <c r="K75" s="69"/>
    </row>
    <row r="76" spans="5:11" ht="12.75">
      <c r="E76" s="69"/>
      <c r="F76" s="69"/>
      <c r="G76" s="69"/>
      <c r="H76" s="69"/>
      <c r="I76" s="69"/>
      <c r="J76" s="69"/>
      <c r="K76" s="69"/>
    </row>
    <row r="77" spans="5:11" ht="12.75">
      <c r="E77" s="69"/>
      <c r="F77" s="69"/>
      <c r="G77" s="69"/>
      <c r="H77" s="69"/>
      <c r="I77" s="69"/>
      <c r="J77" s="69"/>
      <c r="K77" s="69"/>
    </row>
  </sheetData>
  <printOptions horizontalCentered="1"/>
  <pageMargins left="0.5" right="0.5" top="0.5" bottom="0.5" header="0.5" footer="0.5"/>
  <pageSetup fitToHeight="1" fitToWidth="1" horizontalDpi="600" verticalDpi="600" orientation="landscape" paperSize="5" scale="96" r:id="rId1"/>
</worksheet>
</file>

<file path=xl/worksheets/sheet4.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64</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40</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40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40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c r="D11" s="72">
        <v>40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c r="D12" s="72">
        <v>40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40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40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40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40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40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40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40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40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40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40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40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40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40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40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40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40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40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40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40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40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40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40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40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40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40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40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4" r:id="rId1"/>
</worksheet>
</file>

<file path=xl/worksheets/sheet5.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65</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61" t="s">
        <v>96</v>
      </c>
      <c r="B8" s="162">
        <v>37622</v>
      </c>
      <c r="C8" s="135"/>
      <c r="D8" s="72">
        <v>15</v>
      </c>
      <c r="E8" s="163">
        <v>13760</v>
      </c>
      <c r="F8" s="81">
        <v>0</v>
      </c>
      <c r="G8" s="79">
        <f>+E8-F8</f>
        <v>13760</v>
      </c>
      <c r="H8" s="101">
        <f>+(E8-F8)/(D8*12)</f>
        <v>76.44444444444444</v>
      </c>
      <c r="I8" s="79">
        <f>IF(B8&lt;$I$5,E8,0)</f>
        <v>13760</v>
      </c>
      <c r="J8" s="76">
        <f>IF(B8&gt;$I$5,0,IF(($I$5-B8)/30.4375&gt;(D8*12),(D8*12),($I$5-B8)/30.4375))</f>
        <v>59.9917864476386</v>
      </c>
      <c r="K8" s="79">
        <f>IF(H8*J8&gt;I8,-I8,-H8*J8)</f>
        <v>-4586.038786219484</v>
      </c>
      <c r="L8" s="101">
        <f>+I8+K8</f>
        <v>9173.961213780516</v>
      </c>
      <c r="M8" s="79">
        <f>IF(AND($I$5&lt;B8,B8&lt;$M$5+1),E8,0)</f>
        <v>0</v>
      </c>
      <c r="N8" s="79">
        <f>IF(AND($I$5&lt;C8,C8&lt;$M$5+1),-E8,0)</f>
        <v>0</v>
      </c>
      <c r="O8" s="79">
        <f>+I8+M8+N8</f>
        <v>13760</v>
      </c>
      <c r="P8" s="72">
        <v>12</v>
      </c>
      <c r="Q8" s="79">
        <f>-H8*P8</f>
        <v>-917.3333333333333</v>
      </c>
      <c r="R8" s="79">
        <f>IF(O8=0,0,K8+Q8)</f>
        <v>-5503.372119552817</v>
      </c>
      <c r="S8" s="101">
        <f>+O8+R8</f>
        <v>8256.627880447184</v>
      </c>
      <c r="T8" s="79">
        <f>IF(AND($M$5&lt;B8,J8&lt;$T$5+1),E8,0)</f>
        <v>0</v>
      </c>
      <c r="U8" s="79">
        <f>IF(AND($M$5&lt;C8,C8&lt;$T$5+1),-E8,0)</f>
        <v>0</v>
      </c>
      <c r="V8" s="79">
        <f>+O8+T8+U8</f>
        <v>13760</v>
      </c>
      <c r="W8" s="72">
        <v>12</v>
      </c>
      <c r="X8" s="79">
        <f>-H8*W8</f>
        <v>-917.3333333333333</v>
      </c>
      <c r="Y8" s="79">
        <f>IF(V8=0,0,R8+X8)</f>
        <v>-6420.70545288615</v>
      </c>
      <c r="Z8" s="126">
        <f>+V8+Y8</f>
        <v>7339.29454711385</v>
      </c>
      <c r="AA8" s="154" t="str">
        <f>IF(J8+P8+W8&lt;((D8*12)+1),"OK","ERROR")</f>
        <v>OK</v>
      </c>
    </row>
    <row r="9" spans="1:27" ht="15" customHeight="1">
      <c r="A9" s="161" t="s">
        <v>97</v>
      </c>
      <c r="B9" s="162">
        <v>37257</v>
      </c>
      <c r="C9" s="135"/>
      <c r="D9" s="72">
        <v>15</v>
      </c>
      <c r="E9" s="163">
        <v>13293</v>
      </c>
      <c r="F9" s="81">
        <v>0</v>
      </c>
      <c r="G9" s="79">
        <f aca="true" t="shared" si="0" ref="G9:G38">+E9-F9</f>
        <v>13293</v>
      </c>
      <c r="H9" s="101">
        <f aca="true" t="shared" si="1" ref="H9:H38">+(E9-F9)/(D9*12)</f>
        <v>73.85</v>
      </c>
      <c r="I9" s="79">
        <f aca="true" t="shared" si="2" ref="I9:I38">IF(B9&lt;$I$5,E9,0)</f>
        <v>13293</v>
      </c>
      <c r="J9" s="76">
        <f aca="true" t="shared" si="3" ref="J9:J38">IF(B9&gt;$I$5,0,IF(($I$5-B9)/30.4375&gt;(D9*12),(D9*12),($I$5-B9)/30.4375))</f>
        <v>71.9835728952772</v>
      </c>
      <c r="K9" s="79">
        <f aca="true" t="shared" si="4" ref="K9:K38">IF(H9*J9&gt;I9,-I9,-H9*J9)</f>
        <v>-5315.9868583162215</v>
      </c>
      <c r="L9" s="101">
        <f aca="true" t="shared" si="5" ref="L9:L38">+I9+K9</f>
        <v>7977.0131416837785</v>
      </c>
      <c r="M9" s="79">
        <f aca="true" t="shared" si="6" ref="M9:M38">IF(AND($I$5&lt;B9,B9&lt;$M$5+1),E9,0)</f>
        <v>0</v>
      </c>
      <c r="N9" s="79">
        <f aca="true" t="shared" si="7" ref="N9:N38">IF(AND($I$5&lt;C9,C9&lt;$M$5+1),-E9,0)</f>
        <v>0</v>
      </c>
      <c r="O9" s="79">
        <f aca="true" t="shared" si="8" ref="O9:O38">+I9+M9+N9</f>
        <v>13293</v>
      </c>
      <c r="P9" s="72">
        <v>12</v>
      </c>
      <c r="Q9" s="79">
        <f aca="true" t="shared" si="9" ref="Q9:Q38">-H9*P9</f>
        <v>-886.1999999999999</v>
      </c>
      <c r="R9" s="79">
        <f aca="true" t="shared" si="10" ref="R9:R38">IF(O9=0,0,K9+Q9)</f>
        <v>-6202.186858316221</v>
      </c>
      <c r="S9" s="101">
        <f aca="true" t="shared" si="11" ref="S9:S38">+O9+R9</f>
        <v>7090.813141683779</v>
      </c>
      <c r="T9" s="79">
        <f aca="true" t="shared" si="12" ref="T9:T38">IF(AND($M$5&lt;B9,J9&lt;$T$5+1),E9,0)</f>
        <v>0</v>
      </c>
      <c r="U9" s="79">
        <f aca="true" t="shared" si="13" ref="U9:U38">IF(AND($M$5&lt;C9,C9&lt;$T$5+1),-E9,0)</f>
        <v>0</v>
      </c>
      <c r="V9" s="79">
        <f aca="true" t="shared" si="14" ref="V9:V38">+O9+T9+U9</f>
        <v>13293</v>
      </c>
      <c r="W9" s="72">
        <v>12</v>
      </c>
      <c r="X9" s="79">
        <f aca="true" t="shared" si="15" ref="X9:X38">-H9*W9</f>
        <v>-886.1999999999999</v>
      </c>
      <c r="Y9" s="79">
        <f aca="true" t="shared" si="16" ref="Y9:Y38">IF(V9=0,0,R9+X9)</f>
        <v>-7088.386858316221</v>
      </c>
      <c r="Z9" s="126">
        <f aca="true" t="shared" si="17" ref="Z9:Z38">+V9+Y9</f>
        <v>6204.613141683779</v>
      </c>
      <c r="AA9" s="154" t="str">
        <f aca="true" t="shared" si="18" ref="AA9:AA38">IF(J9+P9+W9&lt;((D9*12)+1),"OK","ERROR")</f>
        <v>OK</v>
      </c>
    </row>
    <row r="10" spans="1:27" ht="15" customHeight="1">
      <c r="A10" s="161" t="s">
        <v>98</v>
      </c>
      <c r="B10" s="162">
        <v>33970</v>
      </c>
      <c r="C10" s="135" t="s">
        <v>59</v>
      </c>
      <c r="D10" s="72">
        <v>15</v>
      </c>
      <c r="E10" s="163">
        <v>7500</v>
      </c>
      <c r="F10" s="81">
        <v>0</v>
      </c>
      <c r="G10" s="79">
        <f t="shared" si="0"/>
        <v>7500</v>
      </c>
      <c r="H10" s="101">
        <f t="shared" si="1"/>
        <v>41.666666666666664</v>
      </c>
      <c r="I10" s="79">
        <f t="shared" si="2"/>
        <v>7500</v>
      </c>
      <c r="J10" s="76">
        <f t="shared" si="3"/>
        <v>179.97535934291582</v>
      </c>
      <c r="K10" s="79">
        <f t="shared" si="4"/>
        <v>-7498.973305954825</v>
      </c>
      <c r="L10" s="101">
        <f t="shared" si="5"/>
        <v>1.026694045174736</v>
      </c>
      <c r="M10" s="79">
        <f t="shared" si="6"/>
        <v>0</v>
      </c>
      <c r="N10" s="79">
        <f t="shared" si="7"/>
        <v>0</v>
      </c>
      <c r="O10" s="79">
        <f t="shared" si="8"/>
        <v>7500</v>
      </c>
      <c r="P10" s="72"/>
      <c r="Q10" s="79">
        <f t="shared" si="9"/>
        <v>0</v>
      </c>
      <c r="R10" s="79">
        <f t="shared" si="10"/>
        <v>-7498.973305954825</v>
      </c>
      <c r="S10" s="101">
        <f t="shared" si="11"/>
        <v>1.026694045174736</v>
      </c>
      <c r="T10" s="79">
        <f t="shared" si="12"/>
        <v>0</v>
      </c>
      <c r="U10" s="79">
        <f t="shared" si="13"/>
        <v>0</v>
      </c>
      <c r="V10" s="79">
        <f t="shared" si="14"/>
        <v>7500</v>
      </c>
      <c r="W10" s="72"/>
      <c r="X10" s="79">
        <f t="shared" si="15"/>
        <v>0</v>
      </c>
      <c r="Y10" s="79">
        <f t="shared" si="16"/>
        <v>-7498.973305954825</v>
      </c>
      <c r="Z10" s="126">
        <f t="shared" si="17"/>
        <v>1.026694045174736</v>
      </c>
      <c r="AA10" s="154" t="str">
        <f t="shared" si="18"/>
        <v>OK</v>
      </c>
    </row>
    <row r="11" spans="1:31" s="66" customFormat="1" ht="13.5" customHeight="1">
      <c r="A11" s="161" t="s">
        <v>98</v>
      </c>
      <c r="B11" s="162">
        <v>33970</v>
      </c>
      <c r="C11" s="135" t="s">
        <v>59</v>
      </c>
      <c r="D11" s="72">
        <v>15</v>
      </c>
      <c r="E11" s="163">
        <v>7500</v>
      </c>
      <c r="F11" s="81">
        <v>0</v>
      </c>
      <c r="G11" s="79">
        <f t="shared" si="0"/>
        <v>7500</v>
      </c>
      <c r="H11" s="101">
        <f t="shared" si="1"/>
        <v>41.666666666666664</v>
      </c>
      <c r="I11" s="79">
        <f t="shared" si="2"/>
        <v>7500</v>
      </c>
      <c r="J11" s="76">
        <f t="shared" si="3"/>
        <v>179.97535934291582</v>
      </c>
      <c r="K11" s="79">
        <f t="shared" si="4"/>
        <v>-7498.973305954825</v>
      </c>
      <c r="L11" s="101">
        <f t="shared" si="5"/>
        <v>1.026694045174736</v>
      </c>
      <c r="M11" s="79">
        <f t="shared" si="6"/>
        <v>0</v>
      </c>
      <c r="N11" s="79">
        <f t="shared" si="7"/>
        <v>0</v>
      </c>
      <c r="O11" s="79">
        <f t="shared" si="8"/>
        <v>7500</v>
      </c>
      <c r="P11" s="72"/>
      <c r="Q11" s="79">
        <f t="shared" si="9"/>
        <v>0</v>
      </c>
      <c r="R11" s="79">
        <f t="shared" si="10"/>
        <v>-7498.973305954825</v>
      </c>
      <c r="S11" s="101">
        <f t="shared" si="11"/>
        <v>1.026694045174736</v>
      </c>
      <c r="T11" s="79">
        <f t="shared" si="12"/>
        <v>0</v>
      </c>
      <c r="U11" s="79">
        <f t="shared" si="13"/>
        <v>0</v>
      </c>
      <c r="V11" s="79">
        <f t="shared" si="14"/>
        <v>7500</v>
      </c>
      <c r="W11" s="72"/>
      <c r="X11" s="79">
        <f t="shared" si="15"/>
        <v>0</v>
      </c>
      <c r="Y11" s="79">
        <f t="shared" si="16"/>
        <v>-7498.973305954825</v>
      </c>
      <c r="Z11" s="126">
        <f t="shared" si="17"/>
        <v>1.026694045174736</v>
      </c>
      <c r="AA11" s="154" t="str">
        <f t="shared" si="18"/>
        <v>OK</v>
      </c>
      <c r="AB11" s="60"/>
      <c r="AC11" s="60"/>
      <c r="AD11" s="60"/>
      <c r="AE11" s="60"/>
    </row>
    <row r="12" spans="1:31" s="66" customFormat="1" ht="13.5" customHeight="1">
      <c r="A12" s="161" t="s">
        <v>99</v>
      </c>
      <c r="B12" s="162">
        <v>37622</v>
      </c>
      <c r="C12" s="99"/>
      <c r="D12" s="72">
        <v>15</v>
      </c>
      <c r="E12" s="163">
        <v>7000</v>
      </c>
      <c r="F12" s="81">
        <v>0</v>
      </c>
      <c r="G12" s="79">
        <f t="shared" si="0"/>
        <v>7000</v>
      </c>
      <c r="H12" s="101">
        <f t="shared" si="1"/>
        <v>38.888888888888886</v>
      </c>
      <c r="I12" s="79">
        <f t="shared" si="2"/>
        <v>7000</v>
      </c>
      <c r="J12" s="76">
        <f t="shared" si="3"/>
        <v>59.9917864476386</v>
      </c>
      <c r="K12" s="79">
        <f t="shared" si="4"/>
        <v>-2333.013917408168</v>
      </c>
      <c r="L12" s="101">
        <f t="shared" si="5"/>
        <v>4666.986082591832</v>
      </c>
      <c r="M12" s="79">
        <f t="shared" si="6"/>
        <v>0</v>
      </c>
      <c r="N12" s="79">
        <f t="shared" si="7"/>
        <v>0</v>
      </c>
      <c r="O12" s="79">
        <f t="shared" si="8"/>
        <v>7000</v>
      </c>
      <c r="P12" s="72">
        <v>12</v>
      </c>
      <c r="Q12" s="79">
        <f t="shared" si="9"/>
        <v>-466.66666666666663</v>
      </c>
      <c r="R12" s="79">
        <f t="shared" si="10"/>
        <v>-2799.6805840748343</v>
      </c>
      <c r="S12" s="101">
        <f t="shared" si="11"/>
        <v>4200.319415925165</v>
      </c>
      <c r="T12" s="79">
        <f t="shared" si="12"/>
        <v>0</v>
      </c>
      <c r="U12" s="79">
        <f t="shared" si="13"/>
        <v>0</v>
      </c>
      <c r="V12" s="79">
        <f t="shared" si="14"/>
        <v>7000</v>
      </c>
      <c r="W12" s="72">
        <v>12</v>
      </c>
      <c r="X12" s="79">
        <f t="shared" si="15"/>
        <v>-466.66666666666663</v>
      </c>
      <c r="Y12" s="79">
        <f t="shared" si="16"/>
        <v>-3266.347250741501</v>
      </c>
      <c r="Z12" s="126">
        <f t="shared" si="17"/>
        <v>3733.652749258499</v>
      </c>
      <c r="AA12" s="154" t="str">
        <f t="shared" si="18"/>
        <v>OK</v>
      </c>
      <c r="AB12" s="60"/>
      <c r="AC12" s="64"/>
      <c r="AD12" s="60"/>
      <c r="AE12" s="64"/>
    </row>
    <row r="13" spans="1:34" ht="12.75" customHeight="1">
      <c r="A13" s="164" t="s">
        <v>100</v>
      </c>
      <c r="B13" s="165">
        <v>38718</v>
      </c>
      <c r="C13" s="99"/>
      <c r="D13" s="72">
        <v>15</v>
      </c>
      <c r="E13" s="166">
        <v>3400</v>
      </c>
      <c r="F13" s="81">
        <v>0</v>
      </c>
      <c r="G13" s="79">
        <f t="shared" si="0"/>
        <v>3400</v>
      </c>
      <c r="H13" s="101">
        <f t="shared" si="1"/>
        <v>18.88888888888889</v>
      </c>
      <c r="I13" s="79">
        <f t="shared" si="2"/>
        <v>3400</v>
      </c>
      <c r="J13" s="76">
        <f t="shared" si="3"/>
        <v>23.983572895277206</v>
      </c>
      <c r="K13" s="79">
        <f t="shared" si="4"/>
        <v>-453.02304357745834</v>
      </c>
      <c r="L13" s="101">
        <f t="shared" si="5"/>
        <v>2946.9769564225417</v>
      </c>
      <c r="M13" s="79">
        <f t="shared" si="6"/>
        <v>0</v>
      </c>
      <c r="N13" s="79">
        <f t="shared" si="7"/>
        <v>0</v>
      </c>
      <c r="O13" s="79">
        <f t="shared" si="8"/>
        <v>3400</v>
      </c>
      <c r="P13" s="72">
        <v>12</v>
      </c>
      <c r="Q13" s="79">
        <f t="shared" si="9"/>
        <v>-226.66666666666669</v>
      </c>
      <c r="R13" s="79">
        <f t="shared" si="10"/>
        <v>-679.6897102441251</v>
      </c>
      <c r="S13" s="101">
        <f t="shared" si="11"/>
        <v>2720.3102897558747</v>
      </c>
      <c r="T13" s="79">
        <f t="shared" si="12"/>
        <v>0</v>
      </c>
      <c r="U13" s="79">
        <f t="shared" si="13"/>
        <v>0</v>
      </c>
      <c r="V13" s="79">
        <f t="shared" si="14"/>
        <v>3400</v>
      </c>
      <c r="W13" s="72">
        <v>12</v>
      </c>
      <c r="X13" s="79">
        <f t="shared" si="15"/>
        <v>-226.66666666666669</v>
      </c>
      <c r="Y13" s="79">
        <f t="shared" si="16"/>
        <v>-906.3563769107918</v>
      </c>
      <c r="Z13" s="126">
        <f t="shared" si="17"/>
        <v>2493.643623089208</v>
      </c>
      <c r="AA13" s="154" t="str">
        <f t="shared" si="18"/>
        <v>OK</v>
      </c>
      <c r="AF13" s="5"/>
      <c r="AG13" s="5"/>
      <c r="AH13" s="5"/>
    </row>
    <row r="14" spans="1:34" ht="12.75" customHeight="1">
      <c r="A14" s="164" t="s">
        <v>101</v>
      </c>
      <c r="B14" s="165">
        <v>32874</v>
      </c>
      <c r="C14" s="73"/>
      <c r="D14" s="72">
        <v>15</v>
      </c>
      <c r="E14" s="166">
        <v>450</v>
      </c>
      <c r="F14" s="81">
        <v>0</v>
      </c>
      <c r="G14" s="79">
        <f t="shared" si="0"/>
        <v>450</v>
      </c>
      <c r="H14" s="101">
        <f t="shared" si="1"/>
        <v>2.5</v>
      </c>
      <c r="I14" s="79">
        <f t="shared" si="2"/>
        <v>450</v>
      </c>
      <c r="J14" s="76">
        <f t="shared" si="3"/>
        <v>180</v>
      </c>
      <c r="K14" s="79">
        <f t="shared" si="4"/>
        <v>-450</v>
      </c>
      <c r="L14" s="101">
        <f t="shared" si="5"/>
        <v>0</v>
      </c>
      <c r="M14" s="79">
        <f t="shared" si="6"/>
        <v>0</v>
      </c>
      <c r="N14" s="79">
        <f t="shared" si="7"/>
        <v>0</v>
      </c>
      <c r="O14" s="79">
        <f t="shared" si="8"/>
        <v>450</v>
      </c>
      <c r="P14" s="72"/>
      <c r="Q14" s="79">
        <f t="shared" si="9"/>
        <v>0</v>
      </c>
      <c r="R14" s="79">
        <f t="shared" si="10"/>
        <v>-450</v>
      </c>
      <c r="S14" s="101">
        <f t="shared" si="11"/>
        <v>0</v>
      </c>
      <c r="T14" s="79">
        <f t="shared" si="12"/>
        <v>0</v>
      </c>
      <c r="U14" s="79">
        <f t="shared" si="13"/>
        <v>0</v>
      </c>
      <c r="V14" s="79">
        <f t="shared" si="14"/>
        <v>450</v>
      </c>
      <c r="W14" s="72"/>
      <c r="X14" s="79">
        <f t="shared" si="15"/>
        <v>0</v>
      </c>
      <c r="Y14" s="79">
        <f t="shared" si="16"/>
        <v>-450</v>
      </c>
      <c r="Z14" s="126">
        <f t="shared" si="17"/>
        <v>0</v>
      </c>
      <c r="AA14" s="154" t="str">
        <f t="shared" si="18"/>
        <v>OK</v>
      </c>
      <c r="AF14" s="5"/>
      <c r="AG14" s="5"/>
      <c r="AH14" s="5"/>
    </row>
    <row r="15" spans="1:34" ht="13.5" customHeight="1">
      <c r="A15" s="164" t="s">
        <v>102</v>
      </c>
      <c r="B15" s="165">
        <v>38718</v>
      </c>
      <c r="C15" s="100"/>
      <c r="D15" s="72">
        <v>15</v>
      </c>
      <c r="E15" s="167">
        <v>4000</v>
      </c>
      <c r="F15" s="81">
        <v>0</v>
      </c>
      <c r="G15" s="79">
        <f t="shared" si="0"/>
        <v>4000</v>
      </c>
      <c r="H15" s="101">
        <f t="shared" si="1"/>
        <v>22.22222222222222</v>
      </c>
      <c r="I15" s="79">
        <f t="shared" si="2"/>
        <v>4000</v>
      </c>
      <c r="J15" s="76">
        <f t="shared" si="3"/>
        <v>23.983572895277206</v>
      </c>
      <c r="K15" s="79">
        <f t="shared" si="4"/>
        <v>-532.9682865617157</v>
      </c>
      <c r="L15" s="101">
        <f t="shared" si="5"/>
        <v>3467.0317134382844</v>
      </c>
      <c r="M15" s="79">
        <f t="shared" si="6"/>
        <v>0</v>
      </c>
      <c r="N15" s="79">
        <f t="shared" si="7"/>
        <v>0</v>
      </c>
      <c r="O15" s="79">
        <f t="shared" si="8"/>
        <v>4000</v>
      </c>
      <c r="P15" s="72">
        <v>12</v>
      </c>
      <c r="Q15" s="79">
        <f t="shared" si="9"/>
        <v>-266.66666666666663</v>
      </c>
      <c r="R15" s="79">
        <f t="shared" si="10"/>
        <v>-799.6349532283823</v>
      </c>
      <c r="S15" s="101">
        <f t="shared" si="11"/>
        <v>3200.365046771618</v>
      </c>
      <c r="T15" s="79">
        <f t="shared" si="12"/>
        <v>0</v>
      </c>
      <c r="U15" s="79">
        <f t="shared" si="13"/>
        <v>0</v>
      </c>
      <c r="V15" s="79">
        <f t="shared" si="14"/>
        <v>4000</v>
      </c>
      <c r="W15" s="72">
        <v>12</v>
      </c>
      <c r="X15" s="79">
        <f t="shared" si="15"/>
        <v>-266.66666666666663</v>
      </c>
      <c r="Y15" s="79">
        <f t="shared" si="16"/>
        <v>-1066.301619895049</v>
      </c>
      <c r="Z15" s="126">
        <f t="shared" si="17"/>
        <v>2933.698380104951</v>
      </c>
      <c r="AA15" s="154" t="str">
        <f t="shared" si="18"/>
        <v>OK</v>
      </c>
      <c r="AF15" s="5"/>
      <c r="AG15" s="5"/>
      <c r="AH15" s="5"/>
    </row>
    <row r="16" spans="1:34" ht="13.5" customHeight="1">
      <c r="A16" s="164" t="s">
        <v>103</v>
      </c>
      <c r="B16" s="165">
        <v>38353</v>
      </c>
      <c r="C16" s="100"/>
      <c r="D16" s="72">
        <v>15</v>
      </c>
      <c r="E16" s="167">
        <v>1250</v>
      </c>
      <c r="F16" s="81">
        <v>0</v>
      </c>
      <c r="G16" s="79">
        <f t="shared" si="0"/>
        <v>1250</v>
      </c>
      <c r="H16" s="101">
        <f t="shared" si="1"/>
        <v>6.944444444444445</v>
      </c>
      <c r="I16" s="79">
        <f t="shared" si="2"/>
        <v>1250</v>
      </c>
      <c r="J16" s="76">
        <f t="shared" si="3"/>
        <v>35.97535934291581</v>
      </c>
      <c r="K16" s="79">
        <f t="shared" si="4"/>
        <v>-249.82888432580424</v>
      </c>
      <c r="L16" s="101">
        <f t="shared" si="5"/>
        <v>1000.1711156741958</v>
      </c>
      <c r="M16" s="79">
        <f t="shared" si="6"/>
        <v>0</v>
      </c>
      <c r="N16" s="79">
        <f t="shared" si="7"/>
        <v>0</v>
      </c>
      <c r="O16" s="79">
        <f t="shared" si="8"/>
        <v>1250</v>
      </c>
      <c r="P16" s="72">
        <v>12</v>
      </c>
      <c r="Q16" s="79">
        <f t="shared" si="9"/>
        <v>-83.33333333333334</v>
      </c>
      <c r="R16" s="79">
        <f t="shared" si="10"/>
        <v>-333.1622176591376</v>
      </c>
      <c r="S16" s="101">
        <f t="shared" si="11"/>
        <v>916.8377823408624</v>
      </c>
      <c r="T16" s="79">
        <f t="shared" si="12"/>
        <v>0</v>
      </c>
      <c r="U16" s="79">
        <f t="shared" si="13"/>
        <v>0</v>
      </c>
      <c r="V16" s="79">
        <f t="shared" si="14"/>
        <v>1250</v>
      </c>
      <c r="W16" s="72">
        <v>12</v>
      </c>
      <c r="X16" s="79">
        <f t="shared" si="15"/>
        <v>-83.33333333333334</v>
      </c>
      <c r="Y16" s="79">
        <f t="shared" si="16"/>
        <v>-416.49555099247095</v>
      </c>
      <c r="Z16" s="126">
        <f t="shared" si="17"/>
        <v>833.504449007529</v>
      </c>
      <c r="AA16" s="154" t="str">
        <f t="shared" si="18"/>
        <v>OK</v>
      </c>
      <c r="AF16" s="5"/>
      <c r="AG16" s="5"/>
      <c r="AH16" s="5"/>
    </row>
    <row r="17" spans="1:34" ht="13.5" customHeight="1">
      <c r="A17" s="164" t="s">
        <v>104</v>
      </c>
      <c r="B17" s="165">
        <v>37987</v>
      </c>
      <c r="C17" s="99"/>
      <c r="D17" s="72">
        <v>15</v>
      </c>
      <c r="E17" s="167">
        <v>850</v>
      </c>
      <c r="F17" s="81">
        <v>0</v>
      </c>
      <c r="G17" s="79">
        <f t="shared" si="0"/>
        <v>850</v>
      </c>
      <c r="H17" s="101">
        <f t="shared" si="1"/>
        <v>4.722222222222222</v>
      </c>
      <c r="I17" s="79">
        <f t="shared" si="2"/>
        <v>850</v>
      </c>
      <c r="J17" s="76">
        <f t="shared" si="3"/>
        <v>48</v>
      </c>
      <c r="K17" s="79">
        <f t="shared" si="4"/>
        <v>-226.66666666666669</v>
      </c>
      <c r="L17" s="101">
        <f t="shared" si="5"/>
        <v>623.3333333333333</v>
      </c>
      <c r="M17" s="79">
        <f t="shared" si="6"/>
        <v>0</v>
      </c>
      <c r="N17" s="79">
        <f t="shared" si="7"/>
        <v>0</v>
      </c>
      <c r="O17" s="79">
        <f t="shared" si="8"/>
        <v>850</v>
      </c>
      <c r="P17" s="72">
        <v>12</v>
      </c>
      <c r="Q17" s="79">
        <f t="shared" si="9"/>
        <v>-56.66666666666667</v>
      </c>
      <c r="R17" s="79">
        <f t="shared" si="10"/>
        <v>-283.33333333333337</v>
      </c>
      <c r="S17" s="101">
        <f t="shared" si="11"/>
        <v>566.6666666666666</v>
      </c>
      <c r="T17" s="79">
        <f t="shared" si="12"/>
        <v>0</v>
      </c>
      <c r="U17" s="79">
        <f t="shared" si="13"/>
        <v>0</v>
      </c>
      <c r="V17" s="79">
        <f t="shared" si="14"/>
        <v>850</v>
      </c>
      <c r="W17" s="72">
        <v>12</v>
      </c>
      <c r="X17" s="79">
        <f t="shared" si="15"/>
        <v>-56.66666666666667</v>
      </c>
      <c r="Y17" s="79">
        <f t="shared" si="16"/>
        <v>-340.00000000000006</v>
      </c>
      <c r="Z17" s="126">
        <f t="shared" si="17"/>
        <v>509.99999999999994</v>
      </c>
      <c r="AA17" s="154" t="str">
        <f t="shared" si="18"/>
        <v>OK</v>
      </c>
      <c r="AF17" s="5"/>
      <c r="AG17" s="5"/>
      <c r="AH17" s="5"/>
    </row>
    <row r="18" spans="1:34" ht="13.5" customHeight="1">
      <c r="A18" s="164" t="s">
        <v>105</v>
      </c>
      <c r="B18" s="165">
        <v>36892</v>
      </c>
      <c r="C18" s="99"/>
      <c r="D18" s="72">
        <v>15</v>
      </c>
      <c r="E18" s="166">
        <v>2507</v>
      </c>
      <c r="F18" s="81">
        <v>0</v>
      </c>
      <c r="G18" s="79">
        <f t="shared" si="0"/>
        <v>2507</v>
      </c>
      <c r="H18" s="101">
        <f t="shared" si="1"/>
        <v>13.927777777777777</v>
      </c>
      <c r="I18" s="79">
        <f t="shared" si="2"/>
        <v>2507</v>
      </c>
      <c r="J18" s="76">
        <f t="shared" si="3"/>
        <v>83.97535934291581</v>
      </c>
      <c r="K18" s="79">
        <f t="shared" si="4"/>
        <v>-1169.5901437371663</v>
      </c>
      <c r="L18" s="101">
        <f t="shared" si="5"/>
        <v>1337.4098562628337</v>
      </c>
      <c r="M18" s="79">
        <f t="shared" si="6"/>
        <v>0</v>
      </c>
      <c r="N18" s="79">
        <f t="shared" si="7"/>
        <v>0</v>
      </c>
      <c r="O18" s="79">
        <f t="shared" si="8"/>
        <v>2507</v>
      </c>
      <c r="P18" s="72">
        <v>12</v>
      </c>
      <c r="Q18" s="79">
        <f t="shared" si="9"/>
        <v>-167.13333333333333</v>
      </c>
      <c r="R18" s="79">
        <f t="shared" si="10"/>
        <v>-1336.7234770704995</v>
      </c>
      <c r="S18" s="101">
        <f t="shared" si="11"/>
        <v>1170.2765229295005</v>
      </c>
      <c r="T18" s="79">
        <f t="shared" si="12"/>
        <v>0</v>
      </c>
      <c r="U18" s="79">
        <f t="shared" si="13"/>
        <v>0</v>
      </c>
      <c r="V18" s="79">
        <f t="shared" si="14"/>
        <v>2507</v>
      </c>
      <c r="W18" s="72">
        <v>12</v>
      </c>
      <c r="X18" s="79">
        <f t="shared" si="15"/>
        <v>-167.13333333333333</v>
      </c>
      <c r="Y18" s="79">
        <f t="shared" si="16"/>
        <v>-1503.8568104038327</v>
      </c>
      <c r="Z18" s="126">
        <f t="shared" si="17"/>
        <v>1003.1431895961673</v>
      </c>
      <c r="AA18" s="154" t="str">
        <f t="shared" si="18"/>
        <v>OK</v>
      </c>
      <c r="AF18" s="5"/>
      <c r="AG18" s="5"/>
      <c r="AH18" s="5"/>
    </row>
    <row r="19" spans="1:34" ht="13.5" customHeight="1">
      <c r="A19" s="164" t="s">
        <v>106</v>
      </c>
      <c r="B19" s="165">
        <v>29221</v>
      </c>
      <c r="C19" s="99"/>
      <c r="D19" s="72">
        <v>15</v>
      </c>
      <c r="E19" s="166">
        <v>277200</v>
      </c>
      <c r="F19" s="81">
        <v>0</v>
      </c>
      <c r="G19" s="79">
        <f t="shared" si="0"/>
        <v>277200</v>
      </c>
      <c r="H19" s="101">
        <f t="shared" si="1"/>
        <v>1540</v>
      </c>
      <c r="I19" s="79">
        <f t="shared" si="2"/>
        <v>277200</v>
      </c>
      <c r="J19" s="76">
        <f t="shared" si="3"/>
        <v>180</v>
      </c>
      <c r="K19" s="79">
        <f t="shared" si="4"/>
        <v>-277200</v>
      </c>
      <c r="L19" s="101">
        <f t="shared" si="5"/>
        <v>0</v>
      </c>
      <c r="M19" s="79">
        <f t="shared" si="6"/>
        <v>0</v>
      </c>
      <c r="N19" s="79">
        <f t="shared" si="7"/>
        <v>0</v>
      </c>
      <c r="O19" s="79">
        <f t="shared" si="8"/>
        <v>277200</v>
      </c>
      <c r="P19" s="72"/>
      <c r="Q19" s="79">
        <f t="shared" si="9"/>
        <v>0</v>
      </c>
      <c r="R19" s="79">
        <f t="shared" si="10"/>
        <v>-277200</v>
      </c>
      <c r="S19" s="101">
        <f t="shared" si="11"/>
        <v>0</v>
      </c>
      <c r="T19" s="79">
        <f t="shared" si="12"/>
        <v>0</v>
      </c>
      <c r="U19" s="79">
        <f t="shared" si="13"/>
        <v>0</v>
      </c>
      <c r="V19" s="79">
        <f t="shared" si="14"/>
        <v>277200</v>
      </c>
      <c r="W19" s="72"/>
      <c r="X19" s="79">
        <f t="shared" si="15"/>
        <v>0</v>
      </c>
      <c r="Y19" s="79">
        <f t="shared" si="16"/>
        <v>-277200</v>
      </c>
      <c r="Z19" s="126">
        <f t="shared" si="17"/>
        <v>0</v>
      </c>
      <c r="AA19" s="154" t="str">
        <f t="shared" si="18"/>
        <v>OK</v>
      </c>
      <c r="AF19" s="5"/>
      <c r="AG19" s="5"/>
      <c r="AH19" s="5"/>
    </row>
    <row r="20" spans="1:34" ht="13.5" customHeight="1">
      <c r="A20" s="168" t="s">
        <v>107</v>
      </c>
      <c r="B20" s="169" t="s">
        <v>59</v>
      </c>
      <c r="C20" s="99"/>
      <c r="D20" s="72">
        <v>15</v>
      </c>
      <c r="E20" s="163"/>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61" t="s">
        <v>108</v>
      </c>
      <c r="B21" s="165">
        <v>34700</v>
      </c>
      <c r="C21" s="100"/>
      <c r="D21" s="72">
        <v>15</v>
      </c>
      <c r="E21" s="170">
        <v>912.96</v>
      </c>
      <c r="F21" s="81">
        <v>0</v>
      </c>
      <c r="G21" s="79">
        <f t="shared" si="0"/>
        <v>912.96</v>
      </c>
      <c r="H21" s="101">
        <f t="shared" si="1"/>
        <v>5.072</v>
      </c>
      <c r="I21" s="79">
        <f t="shared" si="2"/>
        <v>912.96</v>
      </c>
      <c r="J21" s="76">
        <f t="shared" si="3"/>
        <v>155.99178644763862</v>
      </c>
      <c r="K21" s="79">
        <f t="shared" si="4"/>
        <v>-791.1903408624231</v>
      </c>
      <c r="L21" s="101">
        <f t="shared" si="5"/>
        <v>121.76965913757692</v>
      </c>
      <c r="M21" s="79">
        <f t="shared" si="6"/>
        <v>0</v>
      </c>
      <c r="N21" s="79">
        <f t="shared" si="7"/>
        <v>0</v>
      </c>
      <c r="O21" s="79">
        <f t="shared" si="8"/>
        <v>912.96</v>
      </c>
      <c r="P21" s="72">
        <v>12</v>
      </c>
      <c r="Q21" s="79">
        <f t="shared" si="9"/>
        <v>-60.864000000000004</v>
      </c>
      <c r="R21" s="79">
        <f t="shared" si="10"/>
        <v>-852.0543408624231</v>
      </c>
      <c r="S21" s="101">
        <f t="shared" si="11"/>
        <v>60.90565913757689</v>
      </c>
      <c r="T21" s="79">
        <f t="shared" si="12"/>
        <v>0</v>
      </c>
      <c r="U21" s="79">
        <f t="shared" si="13"/>
        <v>0</v>
      </c>
      <c r="V21" s="79">
        <f t="shared" si="14"/>
        <v>912.96</v>
      </c>
      <c r="W21" s="72">
        <v>12</v>
      </c>
      <c r="X21" s="79">
        <f t="shared" si="15"/>
        <v>-60.864000000000004</v>
      </c>
      <c r="Y21" s="79">
        <f t="shared" si="16"/>
        <v>-912.9183408624232</v>
      </c>
      <c r="Z21" s="126">
        <f t="shared" si="17"/>
        <v>0.041659137576857574</v>
      </c>
      <c r="AA21" s="154" t="str">
        <f t="shared" si="18"/>
        <v>OK</v>
      </c>
      <c r="AF21" s="5"/>
      <c r="AG21" s="5"/>
      <c r="AH21" s="5"/>
    </row>
    <row r="22" spans="1:34" ht="13.5" customHeight="1">
      <c r="A22" s="161" t="s">
        <v>109</v>
      </c>
      <c r="B22" s="165">
        <v>34700</v>
      </c>
      <c r="C22" s="100"/>
      <c r="D22" s="72">
        <v>15</v>
      </c>
      <c r="E22" s="170">
        <v>2986.36</v>
      </c>
      <c r="F22" s="81">
        <v>0</v>
      </c>
      <c r="G22" s="79">
        <f t="shared" si="0"/>
        <v>2986.36</v>
      </c>
      <c r="H22" s="101">
        <f t="shared" si="1"/>
        <v>16.59088888888889</v>
      </c>
      <c r="I22" s="79">
        <f t="shared" si="2"/>
        <v>2986.36</v>
      </c>
      <c r="J22" s="76">
        <f t="shared" si="3"/>
        <v>155.99178644763862</v>
      </c>
      <c r="K22" s="79">
        <f t="shared" si="4"/>
        <v>-2588.042396532056</v>
      </c>
      <c r="L22" s="101">
        <f t="shared" si="5"/>
        <v>398.3176034679441</v>
      </c>
      <c r="M22" s="79">
        <f t="shared" si="6"/>
        <v>0</v>
      </c>
      <c r="N22" s="79">
        <f t="shared" si="7"/>
        <v>0</v>
      </c>
      <c r="O22" s="79">
        <f t="shared" si="8"/>
        <v>2986.36</v>
      </c>
      <c r="P22" s="72">
        <v>12</v>
      </c>
      <c r="Q22" s="79">
        <f t="shared" si="9"/>
        <v>-199.0906666666667</v>
      </c>
      <c r="R22" s="79">
        <f t="shared" si="10"/>
        <v>-2787.1330631987225</v>
      </c>
      <c r="S22" s="101">
        <f t="shared" si="11"/>
        <v>199.2269368012776</v>
      </c>
      <c r="T22" s="79">
        <f t="shared" si="12"/>
        <v>0</v>
      </c>
      <c r="U22" s="79">
        <f t="shared" si="13"/>
        <v>0</v>
      </c>
      <c r="V22" s="79">
        <f t="shared" si="14"/>
        <v>2986.36</v>
      </c>
      <c r="W22" s="72">
        <v>12</v>
      </c>
      <c r="X22" s="79">
        <f t="shared" si="15"/>
        <v>-199.0906666666667</v>
      </c>
      <c r="Y22" s="79">
        <f t="shared" si="16"/>
        <v>-2986.223729865389</v>
      </c>
      <c r="Z22" s="126">
        <f t="shared" si="17"/>
        <v>0.13627013461109527</v>
      </c>
      <c r="AA22" s="154" t="str">
        <f t="shared" si="18"/>
        <v>OK</v>
      </c>
      <c r="AF22" s="5"/>
      <c r="AG22" s="5"/>
      <c r="AH22" s="5"/>
    </row>
    <row r="23" spans="1:34" ht="13.5" customHeight="1">
      <c r="A23" s="161" t="s">
        <v>110</v>
      </c>
      <c r="B23" s="165">
        <v>31048</v>
      </c>
      <c r="C23" s="100"/>
      <c r="D23" s="72">
        <v>15</v>
      </c>
      <c r="E23" s="170">
        <v>738</v>
      </c>
      <c r="F23" s="81">
        <v>0</v>
      </c>
      <c r="G23" s="79">
        <f t="shared" si="0"/>
        <v>738</v>
      </c>
      <c r="H23" s="101">
        <f t="shared" si="1"/>
        <v>4.1</v>
      </c>
      <c r="I23" s="79">
        <f t="shared" si="2"/>
        <v>738</v>
      </c>
      <c r="J23" s="76">
        <f t="shared" si="3"/>
        <v>180</v>
      </c>
      <c r="K23" s="79">
        <f t="shared" si="4"/>
        <v>-737.9999999999999</v>
      </c>
      <c r="L23" s="101">
        <f t="shared" si="5"/>
        <v>0</v>
      </c>
      <c r="M23" s="79">
        <f t="shared" si="6"/>
        <v>0</v>
      </c>
      <c r="N23" s="79">
        <f t="shared" si="7"/>
        <v>0</v>
      </c>
      <c r="O23" s="79">
        <f t="shared" si="8"/>
        <v>738</v>
      </c>
      <c r="P23" s="72"/>
      <c r="Q23" s="79">
        <f t="shared" si="9"/>
        <v>0</v>
      </c>
      <c r="R23" s="79">
        <f t="shared" si="10"/>
        <v>-737.9999999999999</v>
      </c>
      <c r="S23" s="101">
        <f t="shared" si="11"/>
        <v>0</v>
      </c>
      <c r="T23" s="79">
        <f t="shared" si="12"/>
        <v>0</v>
      </c>
      <c r="U23" s="79">
        <f t="shared" si="13"/>
        <v>0</v>
      </c>
      <c r="V23" s="79">
        <f t="shared" si="14"/>
        <v>738</v>
      </c>
      <c r="W23" s="72"/>
      <c r="X23" s="79">
        <f t="shared" si="15"/>
        <v>0</v>
      </c>
      <c r="Y23" s="79">
        <f t="shared" si="16"/>
        <v>-737.9999999999999</v>
      </c>
      <c r="Z23" s="126">
        <f t="shared" si="17"/>
        <v>0</v>
      </c>
      <c r="AA23" s="154" t="str">
        <f t="shared" si="18"/>
        <v>OK</v>
      </c>
      <c r="AF23" s="5"/>
      <c r="AG23" s="5"/>
      <c r="AH23" s="5"/>
    </row>
    <row r="24" spans="1:27" ht="13.5" customHeight="1">
      <c r="A24" s="161" t="s">
        <v>111</v>
      </c>
      <c r="B24" s="165">
        <v>32874</v>
      </c>
      <c r="C24" s="100"/>
      <c r="D24" s="72">
        <v>15</v>
      </c>
      <c r="E24" s="171">
        <v>482.79</v>
      </c>
      <c r="F24" s="81">
        <v>0</v>
      </c>
      <c r="G24" s="79">
        <f t="shared" si="0"/>
        <v>482.79</v>
      </c>
      <c r="H24" s="101">
        <f t="shared" si="1"/>
        <v>2.682166666666667</v>
      </c>
      <c r="I24" s="79">
        <f t="shared" si="2"/>
        <v>482.79</v>
      </c>
      <c r="J24" s="76">
        <f t="shared" si="3"/>
        <v>180</v>
      </c>
      <c r="K24" s="79">
        <f t="shared" si="4"/>
        <v>-482.79</v>
      </c>
      <c r="L24" s="101">
        <f t="shared" si="5"/>
        <v>0</v>
      </c>
      <c r="M24" s="79">
        <f t="shared" si="6"/>
        <v>0</v>
      </c>
      <c r="N24" s="79">
        <f t="shared" si="7"/>
        <v>0</v>
      </c>
      <c r="O24" s="79">
        <f t="shared" si="8"/>
        <v>482.79</v>
      </c>
      <c r="P24" s="72"/>
      <c r="Q24" s="79">
        <f t="shared" si="9"/>
        <v>0</v>
      </c>
      <c r="R24" s="79">
        <f t="shared" si="10"/>
        <v>-482.79</v>
      </c>
      <c r="S24" s="101">
        <f t="shared" si="11"/>
        <v>0</v>
      </c>
      <c r="T24" s="79">
        <f t="shared" si="12"/>
        <v>0</v>
      </c>
      <c r="U24" s="79">
        <f t="shared" si="13"/>
        <v>0</v>
      </c>
      <c r="V24" s="79">
        <f t="shared" si="14"/>
        <v>482.79</v>
      </c>
      <c r="W24" s="72"/>
      <c r="X24" s="79">
        <f t="shared" si="15"/>
        <v>0</v>
      </c>
      <c r="Y24" s="79">
        <f t="shared" si="16"/>
        <v>-482.79</v>
      </c>
      <c r="Z24" s="126">
        <f t="shared" si="17"/>
        <v>0</v>
      </c>
      <c r="AA24" s="154" t="str">
        <f t="shared" si="18"/>
        <v>OK</v>
      </c>
    </row>
    <row r="25" spans="1:27" ht="13.5" customHeight="1">
      <c r="A25" s="161" t="s">
        <v>112</v>
      </c>
      <c r="B25" s="165">
        <v>36526</v>
      </c>
      <c r="C25" s="100"/>
      <c r="D25" s="72">
        <v>15</v>
      </c>
      <c r="E25" s="171">
        <v>76280.82</v>
      </c>
      <c r="F25" s="81">
        <v>0</v>
      </c>
      <c r="G25" s="79">
        <f t="shared" si="0"/>
        <v>76280.82</v>
      </c>
      <c r="H25" s="101">
        <f t="shared" si="1"/>
        <v>423.7823333333334</v>
      </c>
      <c r="I25" s="79">
        <f t="shared" si="2"/>
        <v>76280.82</v>
      </c>
      <c r="J25" s="76">
        <f t="shared" si="3"/>
        <v>96</v>
      </c>
      <c r="K25" s="79">
        <f t="shared" si="4"/>
        <v>-40683.10400000001</v>
      </c>
      <c r="L25" s="101">
        <f t="shared" si="5"/>
        <v>35597.716</v>
      </c>
      <c r="M25" s="79">
        <f t="shared" si="6"/>
        <v>0</v>
      </c>
      <c r="N25" s="79">
        <f t="shared" si="7"/>
        <v>0</v>
      </c>
      <c r="O25" s="79">
        <f t="shared" si="8"/>
        <v>76280.82</v>
      </c>
      <c r="P25" s="72">
        <v>12</v>
      </c>
      <c r="Q25" s="79">
        <f t="shared" si="9"/>
        <v>-5085.388000000001</v>
      </c>
      <c r="R25" s="79">
        <f t="shared" si="10"/>
        <v>-45768.492000000006</v>
      </c>
      <c r="S25" s="101">
        <f t="shared" si="11"/>
        <v>30512.328</v>
      </c>
      <c r="T25" s="79">
        <f t="shared" si="12"/>
        <v>0</v>
      </c>
      <c r="U25" s="79">
        <f t="shared" si="13"/>
        <v>0</v>
      </c>
      <c r="V25" s="79">
        <f t="shared" si="14"/>
        <v>76280.82</v>
      </c>
      <c r="W25" s="72">
        <v>12</v>
      </c>
      <c r="X25" s="79">
        <f t="shared" si="15"/>
        <v>-5085.388000000001</v>
      </c>
      <c r="Y25" s="79">
        <f t="shared" si="16"/>
        <v>-50853.880000000005</v>
      </c>
      <c r="Z25" s="126">
        <f t="shared" si="17"/>
        <v>25426.940000000002</v>
      </c>
      <c r="AA25" s="154" t="str">
        <f t="shared" si="18"/>
        <v>OK</v>
      </c>
    </row>
    <row r="26" spans="1:27" ht="13.5" customHeight="1">
      <c r="A26" s="115"/>
      <c r="B26" s="98" t="s">
        <v>59</v>
      </c>
      <c r="C26" s="73"/>
      <c r="D26" s="72">
        <v>10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10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10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10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10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10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10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10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10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10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10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10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10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420110.93</v>
      </c>
      <c r="J40" s="79"/>
      <c r="K40" s="80">
        <f>SUM(K8:K38)</f>
        <v>-352798.1899361168</v>
      </c>
      <c r="L40" s="104">
        <f>SUM(L8:L38)</f>
        <v>67312.74006388319</v>
      </c>
      <c r="M40" s="80">
        <f>SUM(M8:M38)</f>
        <v>0</v>
      </c>
      <c r="N40" s="80">
        <f>SUM(N8:N38)</f>
        <v>0</v>
      </c>
      <c r="O40" s="80">
        <f aca="true" t="shared" si="19" ref="O40:U40">SUM(O8:O38)</f>
        <v>420110.93</v>
      </c>
      <c r="P40" s="79"/>
      <c r="Q40" s="80">
        <f t="shared" si="19"/>
        <v>-8416.009333333333</v>
      </c>
      <c r="R40" s="80">
        <f t="shared" si="19"/>
        <v>-361214.19926945015</v>
      </c>
      <c r="S40" s="104">
        <f t="shared" si="19"/>
        <v>58896.730730549854</v>
      </c>
      <c r="T40" s="80">
        <f t="shared" si="19"/>
        <v>0</v>
      </c>
      <c r="U40" s="80">
        <f t="shared" si="19"/>
        <v>0</v>
      </c>
      <c r="V40" s="80">
        <f>SUM(V8:V38)</f>
        <v>420110.93</v>
      </c>
      <c r="W40" s="79"/>
      <c r="X40" s="80">
        <f>SUM(X8:X38)</f>
        <v>-8416.009333333333</v>
      </c>
      <c r="Y40" s="80">
        <f>SUM(Y8:Y38)</f>
        <v>-369630.2086027835</v>
      </c>
      <c r="Z40" s="128">
        <f>SUM(Z8:Z38)</f>
        <v>50480.72139721653</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2" r:id="rId1"/>
</worksheet>
</file>

<file path=xl/worksheets/sheet6.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66</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t="s">
        <v>283</v>
      </c>
      <c r="B8" s="98">
        <v>36342</v>
      </c>
      <c r="C8" s="135"/>
      <c r="D8" s="72">
        <v>40</v>
      </c>
      <c r="E8" s="137">
        <v>75000</v>
      </c>
      <c r="F8" s="81">
        <v>0</v>
      </c>
      <c r="G8" s="79">
        <f>+E8-F8</f>
        <v>75000</v>
      </c>
      <c r="H8" s="101">
        <f>+(E8-F8)/(D8*12)</f>
        <v>156.25</v>
      </c>
      <c r="I8" s="79">
        <f>IF(B8&lt;$I$5,E8,0)</f>
        <v>75000</v>
      </c>
      <c r="J8" s="76">
        <f>IF(B8&gt;$I$5,0,IF(($I$5-B8)/30.4375&gt;(D8*12),(D8*12),($I$5-B8)/30.4375))</f>
        <v>102.04517453798768</v>
      </c>
      <c r="K8" s="79">
        <f>IF(H8*J8&gt;I8,-I8,-H8*J8)</f>
        <v>-15944.558521560575</v>
      </c>
      <c r="L8" s="101">
        <f>+I8+K8</f>
        <v>59055.441478439425</v>
      </c>
      <c r="M8" s="79">
        <f>IF(AND($I$5&lt;B8,B8&lt;$M$5+1),E8,0)</f>
        <v>0</v>
      </c>
      <c r="N8" s="79">
        <f>IF(AND($I$5&lt;C8,C8&lt;$M$5+1),-E8,0)</f>
        <v>0</v>
      </c>
      <c r="O8" s="79">
        <f>+I8+M8+N8</f>
        <v>75000</v>
      </c>
      <c r="P8" s="72">
        <v>12</v>
      </c>
      <c r="Q8" s="79">
        <f>-H8*P8</f>
        <v>-1875</v>
      </c>
      <c r="R8" s="79">
        <f>IF(O8=0,0,K8+Q8)</f>
        <v>-17819.558521560575</v>
      </c>
      <c r="S8" s="101">
        <f>+O8+R8</f>
        <v>57180.441478439425</v>
      </c>
      <c r="T8" s="79">
        <f>IF(AND($M$5&lt;B8,J8&lt;$T$5+1),E8,0)</f>
        <v>0</v>
      </c>
      <c r="U8" s="79">
        <f>IF(AND($M$5&lt;C8,C8&lt;$T$5+1),-E8,0)</f>
        <v>0</v>
      </c>
      <c r="V8" s="79">
        <f>+O8+T8+U8</f>
        <v>75000</v>
      </c>
      <c r="W8" s="72">
        <v>12</v>
      </c>
      <c r="X8" s="79">
        <f>-H8*W8</f>
        <v>-1875</v>
      </c>
      <c r="Y8" s="79">
        <f>IF(V8=0,0,R8+X8)</f>
        <v>-19694.558521560575</v>
      </c>
      <c r="Z8" s="126">
        <f>+V8+Y8</f>
        <v>55305.441478439425</v>
      </c>
      <c r="AA8" s="154" t="str">
        <f>IF(J8+P8+W8&lt;((D8*12)+1),"OK","ERROR")</f>
        <v>OK</v>
      </c>
    </row>
    <row r="9" spans="1:27" ht="15" customHeight="1">
      <c r="A9" s="115" t="s">
        <v>284</v>
      </c>
      <c r="B9" s="98">
        <v>37803</v>
      </c>
      <c r="C9" s="135"/>
      <c r="D9" s="72">
        <v>40</v>
      </c>
      <c r="E9" s="137">
        <v>150000</v>
      </c>
      <c r="F9" s="81">
        <v>0</v>
      </c>
      <c r="G9" s="79">
        <f aca="true" t="shared" si="0" ref="G9:G38">+E9-F9</f>
        <v>150000</v>
      </c>
      <c r="H9" s="101">
        <f aca="true" t="shared" si="1" ref="H9:H38">+(E9-F9)/(D9*12)</f>
        <v>312.5</v>
      </c>
      <c r="I9" s="79">
        <f aca="true" t="shared" si="2" ref="I9:I38">IF(B9&lt;$I$5,E9,0)</f>
        <v>150000</v>
      </c>
      <c r="J9" s="76">
        <f aca="true" t="shared" si="3" ref="J9:J38">IF(B9&gt;$I$5,0,IF(($I$5-B9)/30.4375&gt;(D9*12),(D9*12),($I$5-B9)/30.4375))</f>
        <v>54.04517453798768</v>
      </c>
      <c r="K9" s="79">
        <f aca="true" t="shared" si="4" ref="K9:K38">IF(H9*J9&gt;I9,-I9,-H9*J9)</f>
        <v>-16889.11704312115</v>
      </c>
      <c r="L9" s="101">
        <f aca="true" t="shared" si="5" ref="L9:L38">+I9+K9</f>
        <v>133110.88295687886</v>
      </c>
      <c r="M9" s="79">
        <f aca="true" t="shared" si="6" ref="M9:M38">IF(AND($I$5&lt;B9,B9&lt;$M$5+1),E9,0)</f>
        <v>0</v>
      </c>
      <c r="N9" s="79">
        <f aca="true" t="shared" si="7" ref="N9:N38">IF(AND($I$5&lt;C9,C9&lt;$M$5+1),-E9,0)</f>
        <v>0</v>
      </c>
      <c r="O9" s="79">
        <f aca="true" t="shared" si="8" ref="O9:O38">+I9+M9+N9</f>
        <v>150000</v>
      </c>
      <c r="P9" s="72">
        <v>12</v>
      </c>
      <c r="Q9" s="79">
        <f aca="true" t="shared" si="9" ref="Q9:Q38">-H9*P9</f>
        <v>-3750</v>
      </c>
      <c r="R9" s="79">
        <f aca="true" t="shared" si="10" ref="R9:R38">IF(O9=0,0,K9+Q9)</f>
        <v>-20639.11704312115</v>
      </c>
      <c r="S9" s="101">
        <f aca="true" t="shared" si="11" ref="S9:S38">+O9+R9</f>
        <v>129360.88295687885</v>
      </c>
      <c r="T9" s="79">
        <f aca="true" t="shared" si="12" ref="T9:T38">IF(AND($M$5&lt;B9,J9&lt;$T$5+1),E9,0)</f>
        <v>0</v>
      </c>
      <c r="U9" s="79">
        <f aca="true" t="shared" si="13" ref="U9:U38">IF(AND($M$5&lt;C9,C9&lt;$T$5+1),-E9,0)</f>
        <v>0</v>
      </c>
      <c r="V9" s="79">
        <f aca="true" t="shared" si="14" ref="V9:V38">+O9+T9+U9</f>
        <v>150000</v>
      </c>
      <c r="W9" s="72">
        <v>12</v>
      </c>
      <c r="X9" s="79">
        <f aca="true" t="shared" si="15" ref="X9:X38">-H9*W9</f>
        <v>-3750</v>
      </c>
      <c r="Y9" s="79">
        <f aca="true" t="shared" si="16" ref="Y9:Y38">IF(V9=0,0,R9+X9)</f>
        <v>-24389.11704312115</v>
      </c>
      <c r="Z9" s="126">
        <f aca="true" t="shared" si="17" ref="Z9:Z38">+V9+Y9</f>
        <v>125610.88295687885</v>
      </c>
      <c r="AA9" s="154" t="str">
        <f aca="true" t="shared" si="18" ref="AA9:AA38">IF(J9+P9+W9&lt;((D9*12)+1),"OK","ERROR")</f>
        <v>OK</v>
      </c>
    </row>
    <row r="10" spans="1:27" ht="15" customHeight="1">
      <c r="A10" s="115" t="s">
        <v>285</v>
      </c>
      <c r="B10" s="98">
        <v>34881</v>
      </c>
      <c r="C10" s="135"/>
      <c r="D10" s="72">
        <v>60</v>
      </c>
      <c r="E10" s="137">
        <v>1326461</v>
      </c>
      <c r="F10" s="81">
        <v>0</v>
      </c>
      <c r="G10" s="79">
        <f t="shared" si="0"/>
        <v>1326461</v>
      </c>
      <c r="H10" s="101">
        <f t="shared" si="1"/>
        <v>1842.3069444444445</v>
      </c>
      <c r="I10" s="79">
        <f t="shared" si="2"/>
        <v>1326461</v>
      </c>
      <c r="J10" s="76">
        <f t="shared" si="3"/>
        <v>150.0451745379877</v>
      </c>
      <c r="K10" s="79">
        <f t="shared" si="4"/>
        <v>-276429.26703171345</v>
      </c>
      <c r="L10" s="101">
        <f t="shared" si="5"/>
        <v>1050031.7329682866</v>
      </c>
      <c r="M10" s="79">
        <f t="shared" si="6"/>
        <v>0</v>
      </c>
      <c r="N10" s="79">
        <f t="shared" si="7"/>
        <v>0</v>
      </c>
      <c r="O10" s="79">
        <f t="shared" si="8"/>
        <v>1326461</v>
      </c>
      <c r="P10" s="72">
        <v>12</v>
      </c>
      <c r="Q10" s="79">
        <f t="shared" si="9"/>
        <v>-22107.683333333334</v>
      </c>
      <c r="R10" s="79">
        <f t="shared" si="10"/>
        <v>-298536.9503650468</v>
      </c>
      <c r="S10" s="101">
        <f t="shared" si="11"/>
        <v>1027924.0496349533</v>
      </c>
      <c r="T10" s="79">
        <f t="shared" si="12"/>
        <v>0</v>
      </c>
      <c r="U10" s="79">
        <f t="shared" si="13"/>
        <v>0</v>
      </c>
      <c r="V10" s="79">
        <f t="shared" si="14"/>
        <v>1326461</v>
      </c>
      <c r="W10" s="72">
        <v>12</v>
      </c>
      <c r="X10" s="79">
        <f t="shared" si="15"/>
        <v>-22107.683333333334</v>
      </c>
      <c r="Y10" s="79">
        <f t="shared" si="16"/>
        <v>-320644.63369838014</v>
      </c>
      <c r="Z10" s="126">
        <f t="shared" si="17"/>
        <v>1005816.3663016199</v>
      </c>
      <c r="AA10" s="154" t="str">
        <f t="shared" si="18"/>
        <v>OK</v>
      </c>
    </row>
    <row r="11" spans="1:31" s="66" customFormat="1" ht="13.5" customHeight="1">
      <c r="A11" s="115" t="s">
        <v>286</v>
      </c>
      <c r="B11" s="98">
        <v>39264</v>
      </c>
      <c r="C11" s="135" t="s">
        <v>59</v>
      </c>
      <c r="D11" s="72">
        <v>60</v>
      </c>
      <c r="E11" s="137">
        <v>1180114.04</v>
      </c>
      <c r="F11" s="81">
        <v>0</v>
      </c>
      <c r="G11" s="79">
        <f t="shared" si="0"/>
        <v>1180114.04</v>
      </c>
      <c r="H11" s="101">
        <f t="shared" si="1"/>
        <v>1639.047277777778</v>
      </c>
      <c r="I11" s="79">
        <f t="shared" si="2"/>
        <v>1180114.04</v>
      </c>
      <c r="J11" s="76">
        <f t="shared" si="3"/>
        <v>6.04517453798768</v>
      </c>
      <c r="K11" s="79">
        <f t="shared" si="4"/>
        <v>-9908.326870180243</v>
      </c>
      <c r="L11" s="101">
        <f t="shared" si="5"/>
        <v>1170205.7131298198</v>
      </c>
      <c r="M11" s="79">
        <f t="shared" si="6"/>
        <v>0</v>
      </c>
      <c r="N11" s="79">
        <f t="shared" si="7"/>
        <v>0</v>
      </c>
      <c r="O11" s="79">
        <f t="shared" si="8"/>
        <v>1180114.04</v>
      </c>
      <c r="P11" s="72">
        <v>12</v>
      </c>
      <c r="Q11" s="79">
        <f t="shared" si="9"/>
        <v>-19668.567333333336</v>
      </c>
      <c r="R11" s="79">
        <f t="shared" si="10"/>
        <v>-29576.894203513577</v>
      </c>
      <c r="S11" s="101">
        <f t="shared" si="11"/>
        <v>1150537.1457964864</v>
      </c>
      <c r="T11" s="79">
        <f t="shared" si="12"/>
        <v>0</v>
      </c>
      <c r="U11" s="79">
        <f t="shared" si="13"/>
        <v>0</v>
      </c>
      <c r="V11" s="79">
        <f t="shared" si="14"/>
        <v>1180114.04</v>
      </c>
      <c r="W11" s="72">
        <v>12</v>
      </c>
      <c r="X11" s="79">
        <f t="shared" si="15"/>
        <v>-19668.567333333336</v>
      </c>
      <c r="Y11" s="79">
        <f t="shared" si="16"/>
        <v>-49245.46153684691</v>
      </c>
      <c r="Z11" s="126">
        <f t="shared" si="17"/>
        <v>1130868.5784631532</v>
      </c>
      <c r="AA11" s="154" t="str">
        <f t="shared" si="18"/>
        <v>OK</v>
      </c>
      <c r="AB11" s="60"/>
      <c r="AC11" s="60"/>
      <c r="AD11" s="60"/>
      <c r="AE11" s="60"/>
    </row>
    <row r="12" spans="1:31" s="66" customFormat="1" ht="13.5" customHeight="1">
      <c r="A12" s="115" t="s">
        <v>287</v>
      </c>
      <c r="B12" s="156">
        <v>36342</v>
      </c>
      <c r="C12" s="135" t="s">
        <v>59</v>
      </c>
      <c r="D12" s="72">
        <v>60</v>
      </c>
      <c r="E12" s="137">
        <v>18879</v>
      </c>
      <c r="F12" s="81">
        <v>0</v>
      </c>
      <c r="G12" s="79">
        <f t="shared" si="0"/>
        <v>18879</v>
      </c>
      <c r="H12" s="101">
        <f t="shared" si="1"/>
        <v>26.220833333333335</v>
      </c>
      <c r="I12" s="79">
        <f t="shared" si="2"/>
        <v>18879</v>
      </c>
      <c r="J12" s="76">
        <f t="shared" si="3"/>
        <v>102.04517453798768</v>
      </c>
      <c r="K12" s="79">
        <f t="shared" si="4"/>
        <v>-2675.7095140314855</v>
      </c>
      <c r="L12" s="101">
        <f t="shared" si="5"/>
        <v>16203.290485968515</v>
      </c>
      <c r="M12" s="79">
        <f t="shared" si="6"/>
        <v>0</v>
      </c>
      <c r="N12" s="79">
        <f t="shared" si="7"/>
        <v>0</v>
      </c>
      <c r="O12" s="79">
        <f t="shared" si="8"/>
        <v>18879</v>
      </c>
      <c r="P12" s="72">
        <v>12</v>
      </c>
      <c r="Q12" s="79">
        <f t="shared" si="9"/>
        <v>-314.65000000000003</v>
      </c>
      <c r="R12" s="79">
        <f t="shared" si="10"/>
        <v>-2990.3595140314856</v>
      </c>
      <c r="S12" s="101">
        <f t="shared" si="11"/>
        <v>15888.640485968514</v>
      </c>
      <c r="T12" s="79">
        <f t="shared" si="12"/>
        <v>0</v>
      </c>
      <c r="U12" s="79">
        <f t="shared" si="13"/>
        <v>0</v>
      </c>
      <c r="V12" s="79">
        <f t="shared" si="14"/>
        <v>18879</v>
      </c>
      <c r="W12" s="72">
        <v>12</v>
      </c>
      <c r="X12" s="79">
        <f t="shared" si="15"/>
        <v>-314.65000000000003</v>
      </c>
      <c r="Y12" s="79">
        <f t="shared" si="16"/>
        <v>-3305.0095140314857</v>
      </c>
      <c r="Z12" s="126">
        <f t="shared" si="17"/>
        <v>15573.990485968514</v>
      </c>
      <c r="AA12" s="154" t="str">
        <f t="shared" si="18"/>
        <v>OK</v>
      </c>
      <c r="AB12" s="60"/>
      <c r="AC12" s="64"/>
      <c r="AD12" s="60"/>
      <c r="AE12" s="64"/>
    </row>
    <row r="13" spans="1:34" ht="12.75" customHeight="1">
      <c r="A13" s="116"/>
      <c r="B13" s="156" t="s">
        <v>59</v>
      </c>
      <c r="C13" s="99"/>
      <c r="D13" s="72">
        <v>50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50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50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50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50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50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50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50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50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50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50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50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50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50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50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50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50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50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50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50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50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50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50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50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50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50</v>
      </c>
      <c r="E38" s="81"/>
      <c r="F38" s="81">
        <v>0</v>
      </c>
      <c r="G38" s="79">
        <f t="shared" si="0"/>
        <v>0</v>
      </c>
      <c r="H38" s="101">
        <f t="shared" si="1"/>
        <v>0</v>
      </c>
      <c r="I38" s="102">
        <f t="shared" si="2"/>
        <v>0</v>
      </c>
      <c r="J38" s="76">
        <f t="shared" si="3"/>
        <v>0</v>
      </c>
      <c r="K38" s="79">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2750454.04</v>
      </c>
      <c r="J40" s="79"/>
      <c r="K40" s="80">
        <f>SUM(K8:K38)</f>
        <v>-321846.9789806069</v>
      </c>
      <c r="L40" s="104">
        <f>SUM(L8:L38)</f>
        <v>2428607.061019393</v>
      </c>
      <c r="M40" s="80">
        <f>SUM(M8:M38)</f>
        <v>0</v>
      </c>
      <c r="N40" s="80">
        <f>SUM(N8:N38)</f>
        <v>0</v>
      </c>
      <c r="O40" s="80">
        <f aca="true" t="shared" si="19" ref="O40:U40">SUM(O8:O38)</f>
        <v>2750454.04</v>
      </c>
      <c r="P40" s="79"/>
      <c r="Q40" s="80">
        <f t="shared" si="19"/>
        <v>-47715.900666666676</v>
      </c>
      <c r="R40" s="80">
        <f t="shared" si="19"/>
        <v>-369562.87964727357</v>
      </c>
      <c r="S40" s="104">
        <f t="shared" si="19"/>
        <v>2380891.1603527265</v>
      </c>
      <c r="T40" s="80">
        <f t="shared" si="19"/>
        <v>0</v>
      </c>
      <c r="U40" s="80">
        <f t="shared" si="19"/>
        <v>0</v>
      </c>
      <c r="V40" s="80">
        <f>SUM(V8:V38)</f>
        <v>2750454.04</v>
      </c>
      <c r="W40" s="79"/>
      <c r="X40" s="80">
        <f>SUM(X8:X38)</f>
        <v>-47715.900666666676</v>
      </c>
      <c r="Y40" s="80">
        <f>SUM(Y8:Y38)</f>
        <v>-417278.78031394025</v>
      </c>
      <c r="Z40" s="128">
        <f>SUM(Z8:Z38)</f>
        <v>2333175.25968606</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4" r:id="rId1"/>
</worksheet>
</file>

<file path=xl/worksheets/sheet7.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68</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c r="B8" s="98" t="s">
        <v>59</v>
      </c>
      <c r="C8" s="135"/>
      <c r="D8" s="72">
        <v>25</v>
      </c>
      <c r="E8" s="137"/>
      <c r="F8" s="81">
        <v>0</v>
      </c>
      <c r="G8" s="79">
        <f>+E8-F8</f>
        <v>0</v>
      </c>
      <c r="H8" s="101">
        <f>+(E8-F8)/(D8*12)</f>
        <v>0</v>
      </c>
      <c r="I8" s="79">
        <f>IF(B8&lt;$I$5,E8,0)</f>
        <v>0</v>
      </c>
      <c r="J8" s="76">
        <f>IF(B8&gt;$I$5,0,IF(($I$5-B8)/30.4375&gt;(D8*12),(D8*12),($I$5-B8)/30.4375))</f>
        <v>0</v>
      </c>
      <c r="K8" s="79">
        <f>IF(H8*J8&gt;I8,-I8,-H8*J8)</f>
        <v>0</v>
      </c>
      <c r="L8" s="101">
        <f>+I8+K8</f>
        <v>0</v>
      </c>
      <c r="M8" s="79">
        <f>IF(AND($I$5&lt;B8,B8&lt;$M$5+1),E8,0)</f>
        <v>0</v>
      </c>
      <c r="N8" s="79">
        <f>IF(AND($I$5&lt;C8,C8&lt;$M$5+1),-E8,0)</f>
        <v>0</v>
      </c>
      <c r="O8" s="79">
        <f>+I8+M8+N8</f>
        <v>0</v>
      </c>
      <c r="P8" s="72"/>
      <c r="Q8" s="79">
        <f>-H8*P8</f>
        <v>0</v>
      </c>
      <c r="R8" s="79">
        <f>IF(O8=0,0,K8+Q8)</f>
        <v>0</v>
      </c>
      <c r="S8" s="101">
        <f>+O8+R8</f>
        <v>0</v>
      </c>
      <c r="T8" s="79">
        <f>IF(AND($M$5&lt;B8,J8&lt;$T$5+1),E8,0)</f>
        <v>0</v>
      </c>
      <c r="U8" s="79">
        <f>IF(AND($M$5&lt;C8,C8&lt;$T$5+1),-E8,0)</f>
        <v>0</v>
      </c>
      <c r="V8" s="79">
        <f>+O8+T8+U8</f>
        <v>0</v>
      </c>
      <c r="W8" s="72"/>
      <c r="X8" s="79">
        <f>-H8*W8</f>
        <v>0</v>
      </c>
      <c r="Y8" s="79">
        <f>IF(V8=0,0,R8+X8)</f>
        <v>0</v>
      </c>
      <c r="Z8" s="126">
        <f>+V8+Y8</f>
        <v>0</v>
      </c>
      <c r="AA8" s="154" t="str">
        <f>IF(J8+P8+W8&lt;((D8*12)+1),"OK","ERROR")</f>
        <v>OK</v>
      </c>
    </row>
    <row r="9" spans="1:27" ht="15" customHeight="1">
      <c r="A9" s="115"/>
      <c r="B9" s="98" t="s">
        <v>59</v>
      </c>
      <c r="C9" s="135"/>
      <c r="D9" s="72">
        <v>25</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25</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25</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25</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25</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25</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25</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25</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25</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25</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25</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25</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25</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25</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25</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25</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25</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25</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25</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25</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25</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25</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25</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25</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25</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25</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25</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25</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25</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25</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0</v>
      </c>
      <c r="J40" s="79"/>
      <c r="K40" s="80">
        <f>SUM(K8:K38)</f>
        <v>0</v>
      </c>
      <c r="L40" s="104">
        <f>SUM(L8:L38)</f>
        <v>0</v>
      </c>
      <c r="M40" s="80">
        <f>SUM(M8:M38)</f>
        <v>0</v>
      </c>
      <c r="N40" s="80">
        <f>SUM(N8:N38)</f>
        <v>0</v>
      </c>
      <c r="O40" s="80">
        <f aca="true" t="shared" si="19" ref="O40:U40">SUM(O8:O38)</f>
        <v>0</v>
      </c>
      <c r="P40" s="79"/>
      <c r="Q40" s="80">
        <f t="shared" si="19"/>
        <v>0</v>
      </c>
      <c r="R40" s="80">
        <f t="shared" si="19"/>
        <v>0</v>
      </c>
      <c r="S40" s="104">
        <f t="shared" si="19"/>
        <v>0</v>
      </c>
      <c r="T40" s="80">
        <f t="shared" si="19"/>
        <v>0</v>
      </c>
      <c r="U40" s="80">
        <f t="shared" si="19"/>
        <v>0</v>
      </c>
      <c r="V40" s="80">
        <f>SUM(V8:V38)</f>
        <v>0</v>
      </c>
      <c r="W40" s="79"/>
      <c r="X40" s="80">
        <f>SUM(X8:X38)</f>
        <v>0</v>
      </c>
      <c r="Y40" s="80">
        <f>SUM(Y8:Y38)</f>
        <v>0</v>
      </c>
      <c r="Z40" s="128">
        <f>SUM(Z8:Z38)</f>
        <v>0</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4" r:id="rId1"/>
</worksheet>
</file>

<file path=xl/worksheets/sheet8.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67</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t="s">
        <v>282</v>
      </c>
      <c r="B8" s="98">
        <v>36526</v>
      </c>
      <c r="C8" s="135"/>
      <c r="D8" s="72">
        <v>40</v>
      </c>
      <c r="E8" s="137">
        <v>1837811.64</v>
      </c>
      <c r="F8" s="81">
        <v>0</v>
      </c>
      <c r="G8" s="79">
        <f>+E8-F8</f>
        <v>1837811.64</v>
      </c>
      <c r="H8" s="101">
        <f>+(E8-F8)/(D8*12)</f>
        <v>3828.77425</v>
      </c>
      <c r="I8" s="79">
        <f>IF(B8&lt;$I$5,E8,0)</f>
        <v>1837811.64</v>
      </c>
      <c r="J8" s="76">
        <f>IF(B8&gt;$I$5,0,IF(($I$5-B8)/30.4375&gt;(D8*12),(D8*12),($I$5-B8)/30.4375))</f>
        <v>96</v>
      </c>
      <c r="K8" s="79">
        <f>IF(H8*J8&gt;I8,-I8,-H8*J8)</f>
        <v>-367562.328</v>
      </c>
      <c r="L8" s="101">
        <f>+I8+K8</f>
        <v>1470249.312</v>
      </c>
      <c r="M8" s="79">
        <f>IF(AND($I$5&lt;B8,B8&lt;$M$5+1),E8,0)</f>
        <v>0</v>
      </c>
      <c r="N8" s="79">
        <f>IF(AND($I$5&lt;C8,C8&lt;$M$5+1),-E8,0)</f>
        <v>0</v>
      </c>
      <c r="O8" s="79">
        <f>+I8+M8+N8</f>
        <v>1837811.64</v>
      </c>
      <c r="P8" s="72">
        <v>12</v>
      </c>
      <c r="Q8" s="79">
        <f>-H8*P8</f>
        <v>-45945.291</v>
      </c>
      <c r="R8" s="79">
        <f>IF(O8=0,0,K8+Q8)</f>
        <v>-413507.61899999995</v>
      </c>
      <c r="S8" s="101">
        <f>+O8+R8</f>
        <v>1424304.021</v>
      </c>
      <c r="T8" s="79">
        <f>IF(AND($M$5&lt;B8,J8&lt;$T$5+1),E8,0)</f>
        <v>0</v>
      </c>
      <c r="U8" s="79">
        <f>IF(AND($M$5&lt;C8,C8&lt;$T$5+1),-E8,0)</f>
        <v>0</v>
      </c>
      <c r="V8" s="79">
        <f>+O8+T8+U8</f>
        <v>1837811.64</v>
      </c>
      <c r="W8" s="72">
        <v>12</v>
      </c>
      <c r="X8" s="79">
        <f>-H8*W8</f>
        <v>-45945.291</v>
      </c>
      <c r="Y8" s="79">
        <f>IF(V8=0,0,R8+X8)</f>
        <v>-459452.9099999999</v>
      </c>
      <c r="Z8" s="126">
        <f>+V8+Y8</f>
        <v>1378358.73</v>
      </c>
      <c r="AA8" s="154" t="str">
        <f>IF(J8+P8+W8&lt;((D8*12)+1),"OK","ERROR")</f>
        <v>OK</v>
      </c>
    </row>
    <row r="9" spans="1:27" ht="15" customHeight="1">
      <c r="A9" s="115"/>
      <c r="B9" s="98" t="s">
        <v>59</v>
      </c>
      <c r="C9" s="135"/>
      <c r="D9" s="72">
        <v>40</v>
      </c>
      <c r="E9" s="137"/>
      <c r="F9" s="81">
        <v>0</v>
      </c>
      <c r="G9" s="79">
        <f aca="true" t="shared" si="0" ref="G9:G38">+E9-F9</f>
        <v>0</v>
      </c>
      <c r="H9" s="101">
        <f aca="true" t="shared" si="1" ref="H9:H38">+(E9-F9)/(D9*12)</f>
        <v>0</v>
      </c>
      <c r="I9" s="79">
        <f aca="true" t="shared" si="2" ref="I9:I38">IF(B9&lt;$I$5,E9,0)</f>
        <v>0</v>
      </c>
      <c r="J9" s="76">
        <f aca="true" t="shared" si="3" ref="J9:J38">IF(B9&gt;$I$5,0,IF(($I$5-B9)/30.4375&gt;(D9*12),(D9*12),($I$5-B9)/30.4375))</f>
        <v>0</v>
      </c>
      <c r="K9" s="79">
        <f aca="true" t="shared" si="4" ref="K9:K38">IF(H9*J9&gt;I9,-I9,-H9*J9)</f>
        <v>0</v>
      </c>
      <c r="L9" s="101">
        <f aca="true" t="shared" si="5" ref="L9:L38">+I9+K9</f>
        <v>0</v>
      </c>
      <c r="M9" s="79">
        <f aca="true" t="shared" si="6" ref="M9:M38">IF(AND($I$5&lt;B9,B9&lt;$M$5+1),E9,0)</f>
        <v>0</v>
      </c>
      <c r="N9" s="79">
        <f aca="true" t="shared" si="7" ref="N9:N38">IF(AND($I$5&lt;C9,C9&lt;$M$5+1),-E9,0)</f>
        <v>0</v>
      </c>
      <c r="O9" s="79">
        <f aca="true" t="shared" si="8" ref="O9:O38">+I9+M9+N9</f>
        <v>0</v>
      </c>
      <c r="P9" s="72"/>
      <c r="Q9" s="79">
        <f aca="true" t="shared" si="9" ref="Q9:Q38">-H9*P9</f>
        <v>0</v>
      </c>
      <c r="R9" s="79">
        <f aca="true" t="shared" si="10" ref="R9:R38">IF(O9=0,0,K9+Q9)</f>
        <v>0</v>
      </c>
      <c r="S9" s="101">
        <f aca="true" t="shared" si="11" ref="S9:S38">+O9+R9</f>
        <v>0</v>
      </c>
      <c r="T9" s="79">
        <f aca="true" t="shared" si="12" ref="T9:T38">IF(AND($M$5&lt;B9,J9&lt;$T$5+1),E9,0)</f>
        <v>0</v>
      </c>
      <c r="U9" s="79">
        <f aca="true" t="shared" si="13" ref="U9:U38">IF(AND($M$5&lt;C9,C9&lt;$T$5+1),-E9,0)</f>
        <v>0</v>
      </c>
      <c r="V9" s="79">
        <f aca="true" t="shared" si="14" ref="V9:V38">+O9+T9+U9</f>
        <v>0</v>
      </c>
      <c r="W9" s="72"/>
      <c r="X9" s="79">
        <f aca="true" t="shared" si="15" ref="X9:X38">-H9*W9</f>
        <v>0</v>
      </c>
      <c r="Y9" s="79">
        <f aca="true" t="shared" si="16" ref="Y9:Y38">IF(V9=0,0,R9+X9)</f>
        <v>0</v>
      </c>
      <c r="Z9" s="126">
        <f aca="true" t="shared" si="17" ref="Z9:Z38">+V9+Y9</f>
        <v>0</v>
      </c>
      <c r="AA9" s="154" t="str">
        <f aca="true" t="shared" si="18" ref="AA9:AA38">IF(J9+P9+W9&lt;((D9*12)+1),"OK","ERROR")</f>
        <v>OK</v>
      </c>
    </row>
    <row r="10" spans="1:27" ht="15" customHeight="1">
      <c r="A10" s="115"/>
      <c r="B10" s="98" t="s">
        <v>59</v>
      </c>
      <c r="C10" s="135"/>
      <c r="D10" s="72">
        <v>40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40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40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40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40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40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40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40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40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40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40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40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40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40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40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40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40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40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40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40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40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40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40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40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40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40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40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40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40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1837811.64</v>
      </c>
      <c r="J40" s="79"/>
      <c r="K40" s="80">
        <f>SUM(K8:K38)</f>
        <v>-367562.328</v>
      </c>
      <c r="L40" s="104">
        <f>SUM(L8:L38)</f>
        <v>1470249.312</v>
      </c>
      <c r="M40" s="80">
        <f>SUM(M8:M38)</f>
        <v>0</v>
      </c>
      <c r="N40" s="80">
        <f>SUM(N8:N38)</f>
        <v>0</v>
      </c>
      <c r="O40" s="80">
        <f aca="true" t="shared" si="19" ref="O40:U40">SUM(O8:O38)</f>
        <v>1837811.64</v>
      </c>
      <c r="P40" s="79"/>
      <c r="Q40" s="80">
        <f t="shared" si="19"/>
        <v>-45945.291</v>
      </c>
      <c r="R40" s="80">
        <f t="shared" si="19"/>
        <v>-413507.61899999995</v>
      </c>
      <c r="S40" s="104">
        <f t="shared" si="19"/>
        <v>1424304.021</v>
      </c>
      <c r="T40" s="80">
        <f t="shared" si="19"/>
        <v>0</v>
      </c>
      <c r="U40" s="80">
        <f t="shared" si="19"/>
        <v>0</v>
      </c>
      <c r="V40" s="80">
        <f>SUM(V8:V38)</f>
        <v>1837811.64</v>
      </c>
      <c r="W40" s="79"/>
      <c r="X40" s="80">
        <f>SUM(X8:X38)</f>
        <v>-45945.291</v>
      </c>
      <c r="Y40" s="80">
        <f>SUM(Y8:Y38)</f>
        <v>-459452.9099999999</v>
      </c>
      <c r="Z40" s="128">
        <f>SUM(Z8:Z38)</f>
        <v>1378358.73</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4" r:id="rId1"/>
</worksheet>
</file>

<file path=xl/worksheets/sheet9.xml><?xml version="1.0" encoding="utf-8"?>
<worksheet xmlns="http://schemas.openxmlformats.org/spreadsheetml/2006/main" xmlns:r="http://schemas.openxmlformats.org/officeDocument/2006/relationships">
  <sheetPr>
    <pageSetUpPr fitToPage="1"/>
  </sheetPr>
  <dimension ref="A1:AH148"/>
  <sheetViews>
    <sheetView zoomScale="75" zoomScaleNormal="75" workbookViewId="0" topLeftCell="A1">
      <selection activeCell="A1" sqref="A1"/>
    </sheetView>
  </sheetViews>
  <sheetFormatPr defaultColWidth="9.140625" defaultRowHeight="12.75"/>
  <cols>
    <col min="1" max="1" width="24.7109375" style="60" customWidth="1"/>
    <col min="2" max="3" width="10.7109375" style="60" customWidth="1"/>
    <col min="4" max="4" width="9.7109375" style="60" customWidth="1"/>
    <col min="5" max="9" width="12.7109375" style="60" customWidth="1"/>
    <col min="10" max="10" width="10.7109375" style="60" customWidth="1"/>
    <col min="11" max="15" width="12.7109375" style="60" customWidth="1"/>
    <col min="16" max="16" width="8.7109375" style="60" customWidth="1"/>
    <col min="17" max="22" width="12.7109375" style="60" customWidth="1"/>
    <col min="23" max="23" width="8.7109375" style="60" customWidth="1"/>
    <col min="24" max="26" width="12.7109375" style="60" customWidth="1"/>
    <col min="27" max="31" width="9.140625" style="60" customWidth="1"/>
    <col min="32" max="16384" width="9.140625" style="58" customWidth="1"/>
  </cols>
  <sheetData>
    <row r="1" spans="1:31" s="86" customFormat="1" ht="18.75" customHeight="1">
      <c r="A1" s="74" t="s">
        <v>42</v>
      </c>
      <c r="B1" s="74"/>
      <c r="C1" s="74"/>
      <c r="D1" s="84"/>
      <c r="E1" s="84"/>
      <c r="F1" s="84"/>
      <c r="G1" s="84"/>
      <c r="H1" s="84"/>
      <c r="I1" s="84"/>
      <c r="J1" s="84"/>
      <c r="K1" s="84"/>
      <c r="L1" s="84"/>
      <c r="M1" s="85"/>
      <c r="N1" s="85"/>
      <c r="O1" s="85"/>
      <c r="P1" s="85"/>
      <c r="Q1" s="85"/>
      <c r="R1" s="85"/>
      <c r="S1" s="85"/>
      <c r="T1" s="85"/>
      <c r="U1" s="85"/>
      <c r="V1" s="85"/>
      <c r="W1" s="85"/>
      <c r="X1" s="85"/>
      <c r="Y1" s="85"/>
      <c r="Z1" s="85"/>
      <c r="AA1" s="85"/>
      <c r="AB1" s="85"/>
      <c r="AC1" s="85"/>
      <c r="AD1" s="85"/>
      <c r="AE1" s="85"/>
    </row>
    <row r="2" spans="1:31" s="86" customFormat="1" ht="18.75" customHeight="1">
      <c r="A2" s="74" t="s">
        <v>69</v>
      </c>
      <c r="B2" s="74"/>
      <c r="C2" s="74"/>
      <c r="D2" s="84"/>
      <c r="E2" s="84"/>
      <c r="F2" s="84"/>
      <c r="G2" s="84"/>
      <c r="H2" s="84"/>
      <c r="I2" s="84"/>
      <c r="J2" s="84"/>
      <c r="K2" s="84"/>
      <c r="L2" s="84"/>
      <c r="M2" s="84"/>
      <c r="N2" s="84"/>
      <c r="O2" s="84"/>
      <c r="P2" s="84"/>
      <c r="Q2" s="84"/>
      <c r="R2" s="84"/>
      <c r="S2" s="84"/>
      <c r="T2" s="84"/>
      <c r="U2" s="85"/>
      <c r="V2" s="85"/>
      <c r="W2" s="85"/>
      <c r="X2" s="85"/>
      <c r="Y2" s="85"/>
      <c r="Z2" s="85"/>
      <c r="AA2" s="85"/>
      <c r="AB2" s="85"/>
      <c r="AC2" s="87"/>
      <c r="AD2" s="85"/>
      <c r="AE2" s="85"/>
    </row>
    <row r="3" spans="1:31" s="86" customFormat="1" ht="18.75" customHeight="1">
      <c r="A3" s="77" t="s">
        <v>35</v>
      </c>
      <c r="B3" s="77"/>
      <c r="C3" s="77"/>
      <c r="D3" s="84"/>
      <c r="E3" s="84"/>
      <c r="F3" s="88" t="s">
        <v>58</v>
      </c>
      <c r="G3" s="88"/>
      <c r="H3" s="89"/>
      <c r="I3" s="89"/>
      <c r="J3" s="84"/>
      <c r="K3" s="84"/>
      <c r="L3" s="84"/>
      <c r="M3" s="84"/>
      <c r="N3" s="84"/>
      <c r="O3" s="84"/>
      <c r="P3" s="84"/>
      <c r="Q3" s="84"/>
      <c r="R3" s="84"/>
      <c r="S3" s="84"/>
      <c r="T3" s="84"/>
      <c r="U3" s="84"/>
      <c r="V3" s="84"/>
      <c r="W3" s="84"/>
      <c r="X3" s="84"/>
      <c r="Y3" s="84"/>
      <c r="Z3" s="84"/>
      <c r="AA3" s="85"/>
      <c r="AB3" s="85"/>
      <c r="AC3" s="85"/>
      <c r="AD3" s="85"/>
      <c r="AE3" s="85"/>
    </row>
    <row r="4" spans="1:31" ht="13.5" thickBot="1">
      <c r="A4" s="59"/>
      <c r="B4" s="59"/>
      <c r="C4" s="59"/>
      <c r="D4" s="59"/>
      <c r="E4" s="59"/>
      <c r="F4" s="59"/>
      <c r="G4" s="59"/>
      <c r="H4" s="59"/>
      <c r="I4" s="59"/>
      <c r="J4" s="63"/>
      <c r="K4" s="63"/>
      <c r="L4" s="63"/>
      <c r="M4" s="59"/>
      <c r="N4" s="59"/>
      <c r="O4" s="59"/>
      <c r="P4" s="59"/>
      <c r="Q4" s="59"/>
      <c r="R4" s="59"/>
      <c r="S4" s="59"/>
      <c r="T4" s="59"/>
      <c r="U4" s="59"/>
      <c r="V4" s="59"/>
      <c r="W4" s="75"/>
      <c r="X4" s="59"/>
      <c r="Y4" s="59"/>
      <c r="Z4" s="59"/>
      <c r="AD4" s="62"/>
      <c r="AE4" s="62"/>
    </row>
    <row r="5" spans="1:27" ht="12.75">
      <c r="A5" s="110"/>
      <c r="B5" s="111" t="s">
        <v>48</v>
      </c>
      <c r="C5" s="112" t="s">
        <v>39</v>
      </c>
      <c r="D5" s="112" t="s">
        <v>41</v>
      </c>
      <c r="E5" s="112"/>
      <c r="F5" s="112" t="s">
        <v>54</v>
      </c>
      <c r="G5" s="112" t="s">
        <v>94</v>
      </c>
      <c r="H5" s="113" t="s">
        <v>50</v>
      </c>
      <c r="I5" s="109">
        <v>39448</v>
      </c>
      <c r="J5" s="105"/>
      <c r="K5" s="105"/>
      <c r="L5" s="107"/>
      <c r="M5" s="108">
        <v>39813</v>
      </c>
      <c r="N5" s="105"/>
      <c r="O5" s="106"/>
      <c r="P5" s="105"/>
      <c r="Q5" s="106"/>
      <c r="R5" s="105"/>
      <c r="S5" s="107"/>
      <c r="T5" s="108">
        <v>40178</v>
      </c>
      <c r="U5" s="105"/>
      <c r="V5" s="106"/>
      <c r="W5" s="105"/>
      <c r="X5" s="106"/>
      <c r="Y5" s="105"/>
      <c r="Z5" s="123"/>
      <c r="AA5" s="152"/>
    </row>
    <row r="6" spans="1:27" ht="12" customHeight="1" thickBot="1">
      <c r="A6" s="130" t="s">
        <v>38</v>
      </c>
      <c r="B6" s="70" t="s">
        <v>52</v>
      </c>
      <c r="C6" s="82" t="s">
        <v>57</v>
      </c>
      <c r="D6" s="82" t="s">
        <v>45</v>
      </c>
      <c r="E6" s="82" t="s">
        <v>28</v>
      </c>
      <c r="F6" s="82" t="s">
        <v>44</v>
      </c>
      <c r="G6" s="82" t="s">
        <v>51</v>
      </c>
      <c r="H6" s="94" t="s">
        <v>51</v>
      </c>
      <c r="I6" s="70" t="s">
        <v>28</v>
      </c>
      <c r="J6" s="70" t="s">
        <v>53</v>
      </c>
      <c r="K6" s="83" t="s">
        <v>46</v>
      </c>
      <c r="L6" s="95" t="s">
        <v>47</v>
      </c>
      <c r="M6" s="70" t="s">
        <v>55</v>
      </c>
      <c r="N6" s="70" t="s">
        <v>57</v>
      </c>
      <c r="O6" s="70" t="s">
        <v>28</v>
      </c>
      <c r="P6" s="70" t="s">
        <v>60</v>
      </c>
      <c r="Q6" s="70" t="s">
        <v>51</v>
      </c>
      <c r="R6" s="70" t="s">
        <v>46</v>
      </c>
      <c r="S6" s="94" t="s">
        <v>47</v>
      </c>
      <c r="T6" s="70" t="s">
        <v>55</v>
      </c>
      <c r="U6" s="70" t="s">
        <v>56</v>
      </c>
      <c r="V6" s="70" t="s">
        <v>28</v>
      </c>
      <c r="W6" s="70" t="s">
        <v>61</v>
      </c>
      <c r="X6" s="70" t="s">
        <v>51</v>
      </c>
      <c r="Y6" s="70" t="s">
        <v>46</v>
      </c>
      <c r="Z6" s="124" t="s">
        <v>47</v>
      </c>
      <c r="AA6" s="153"/>
    </row>
    <row r="7" spans="1:27" ht="15" customHeight="1">
      <c r="A7" s="114"/>
      <c r="B7" s="59"/>
      <c r="H7" s="93"/>
      <c r="I7" s="59"/>
      <c r="J7" s="59"/>
      <c r="K7" s="59"/>
      <c r="L7" s="96"/>
      <c r="M7" s="59"/>
      <c r="N7" s="59"/>
      <c r="O7" s="59"/>
      <c r="P7" s="59"/>
      <c r="Q7" s="59"/>
      <c r="R7" s="59"/>
      <c r="S7" s="96"/>
      <c r="T7" s="59"/>
      <c r="U7" s="59"/>
      <c r="V7" s="59"/>
      <c r="W7" s="59"/>
      <c r="X7" s="59"/>
      <c r="Y7" s="59"/>
      <c r="Z7" s="125"/>
      <c r="AA7" s="153"/>
    </row>
    <row r="8" spans="1:27" ht="15" customHeight="1">
      <c r="A8" s="115" t="s">
        <v>280</v>
      </c>
      <c r="B8" s="98">
        <v>33786</v>
      </c>
      <c r="C8" s="135"/>
      <c r="D8" s="72">
        <v>40</v>
      </c>
      <c r="E8" s="137">
        <v>93028</v>
      </c>
      <c r="F8" s="81">
        <v>0</v>
      </c>
      <c r="G8" s="79">
        <f>+E8-F8</f>
        <v>93028</v>
      </c>
      <c r="H8" s="101">
        <f>+(E8-F8)/(D8*12)</f>
        <v>193.80833333333334</v>
      </c>
      <c r="I8" s="79">
        <f>IF(B8&lt;$I$5,E8,0)</f>
        <v>93028</v>
      </c>
      <c r="J8" s="76">
        <f>IF(B8&gt;$I$5,0,IF(($I$5-B8)/30.4375&gt;(D8*12),(D8*12),($I$5-B8)/30.4375))</f>
        <v>186.02053388090349</v>
      </c>
      <c r="K8" s="79">
        <f>IF(H8*J8&gt;I8,-I8,-H8*J8)</f>
        <v>-36052.32963723477</v>
      </c>
      <c r="L8" s="101">
        <f>+I8+K8</f>
        <v>56975.67036276523</v>
      </c>
      <c r="M8" s="79">
        <f>IF(AND($I$5&lt;B8,B8&lt;$M$5+1),E8,0)</f>
        <v>0</v>
      </c>
      <c r="N8" s="79">
        <f>IF(AND($I$5&lt;C8,C8&lt;$M$5+1),-E8,0)</f>
        <v>0</v>
      </c>
      <c r="O8" s="79">
        <f>+I8+M8+N8</f>
        <v>93028</v>
      </c>
      <c r="P8" s="72">
        <v>12</v>
      </c>
      <c r="Q8" s="79">
        <f>-H8*P8</f>
        <v>-2325.7</v>
      </c>
      <c r="R8" s="79">
        <f>IF(O8=0,0,K8+Q8)</f>
        <v>-38378.029637234766</v>
      </c>
      <c r="S8" s="101">
        <f>+O8+R8</f>
        <v>54649.970362765234</v>
      </c>
      <c r="T8" s="79">
        <f>IF(AND($M$5&lt;B8,J8&lt;$T$5+1),E8,0)</f>
        <v>0</v>
      </c>
      <c r="U8" s="79">
        <f>IF(AND($M$5&lt;C8,C8&lt;$T$5+1),-E8,0)</f>
        <v>0</v>
      </c>
      <c r="V8" s="79">
        <f>+O8+T8+U8</f>
        <v>93028</v>
      </c>
      <c r="W8" s="72">
        <v>12</v>
      </c>
      <c r="X8" s="79">
        <f>-H8*W8</f>
        <v>-2325.7</v>
      </c>
      <c r="Y8" s="79">
        <f>IF(V8=0,0,R8+X8)</f>
        <v>-40703.72963723476</v>
      </c>
      <c r="Z8" s="126">
        <f>+V8+Y8</f>
        <v>52324.27036276524</v>
      </c>
      <c r="AA8" s="154" t="str">
        <f>IF(J8+P8+W8&lt;((D8*12)+1),"OK","ERROR")</f>
        <v>OK</v>
      </c>
    </row>
    <row r="9" spans="1:27" ht="15" customHeight="1">
      <c r="A9" s="115" t="s">
        <v>281</v>
      </c>
      <c r="B9" s="98">
        <v>38534</v>
      </c>
      <c r="C9" s="135"/>
      <c r="D9" s="72">
        <v>40</v>
      </c>
      <c r="E9" s="137">
        <v>296521</v>
      </c>
      <c r="F9" s="81">
        <v>0</v>
      </c>
      <c r="G9" s="79">
        <f aca="true" t="shared" si="0" ref="G9:G38">+E9-F9</f>
        <v>296521</v>
      </c>
      <c r="H9" s="101">
        <f aca="true" t="shared" si="1" ref="H9:H38">+(E9-F9)/(D9*12)</f>
        <v>617.7520833333333</v>
      </c>
      <c r="I9" s="79">
        <f aca="true" t="shared" si="2" ref="I9:I38">IF(B9&lt;$I$5,E9,0)</f>
        <v>296521</v>
      </c>
      <c r="J9" s="76">
        <f aca="true" t="shared" si="3" ref="J9:J38">IF(B9&gt;$I$5,0,IF(($I$5-B9)/30.4375&gt;(D9*12),(D9*12),($I$5-B9)/30.4375))</f>
        <v>30.028747433264886</v>
      </c>
      <c r="K9" s="79">
        <f aca="true" t="shared" si="4" ref="K9:K38">IF(H9*J9&gt;I9,-I9,-H9*J9)</f>
        <v>-18550.32128678987</v>
      </c>
      <c r="L9" s="101">
        <f aca="true" t="shared" si="5" ref="L9:L38">+I9+K9</f>
        <v>277970.67871321016</v>
      </c>
      <c r="M9" s="79">
        <f aca="true" t="shared" si="6" ref="M9:M38">IF(AND($I$5&lt;B9,B9&lt;$M$5+1),E9,0)</f>
        <v>0</v>
      </c>
      <c r="N9" s="79">
        <f aca="true" t="shared" si="7" ref="N9:N38">IF(AND($I$5&lt;C9,C9&lt;$M$5+1),-E9,0)</f>
        <v>0</v>
      </c>
      <c r="O9" s="79">
        <f aca="true" t="shared" si="8" ref="O9:O38">+I9+M9+N9</f>
        <v>296521</v>
      </c>
      <c r="P9" s="72">
        <v>12</v>
      </c>
      <c r="Q9" s="79">
        <f aca="true" t="shared" si="9" ref="Q9:Q38">-H9*P9</f>
        <v>-7413.025</v>
      </c>
      <c r="R9" s="79">
        <f aca="true" t="shared" si="10" ref="R9:R38">IF(O9=0,0,K9+Q9)</f>
        <v>-25963.34628678987</v>
      </c>
      <c r="S9" s="101">
        <f aca="true" t="shared" si="11" ref="S9:S38">+O9+R9</f>
        <v>270557.65371321014</v>
      </c>
      <c r="T9" s="79">
        <f aca="true" t="shared" si="12" ref="T9:T38">IF(AND($M$5&lt;B9,J9&lt;$T$5+1),E9,0)</f>
        <v>0</v>
      </c>
      <c r="U9" s="79">
        <f aca="true" t="shared" si="13" ref="U9:U38">IF(AND($M$5&lt;C9,C9&lt;$T$5+1),-E9,0)</f>
        <v>0</v>
      </c>
      <c r="V9" s="79">
        <f aca="true" t="shared" si="14" ref="V9:V38">+O9+T9+U9</f>
        <v>296521</v>
      </c>
      <c r="W9" s="72">
        <v>12</v>
      </c>
      <c r="X9" s="79">
        <f aca="true" t="shared" si="15" ref="X9:X38">-H9*W9</f>
        <v>-7413.025</v>
      </c>
      <c r="Y9" s="79">
        <f aca="true" t="shared" si="16" ref="Y9:Y38">IF(V9=0,0,R9+X9)</f>
        <v>-33376.37128678987</v>
      </c>
      <c r="Z9" s="126">
        <f aca="true" t="shared" si="17" ref="Z9:Z38">+V9+Y9</f>
        <v>263144.6287132101</v>
      </c>
      <c r="AA9" s="154" t="str">
        <f aca="true" t="shared" si="18" ref="AA9:AA38">IF(J9+P9+W9&lt;((D9*12)+1),"OK","ERROR")</f>
        <v>OK</v>
      </c>
    </row>
    <row r="10" spans="1:27" ht="15" customHeight="1">
      <c r="A10" s="115"/>
      <c r="B10" s="98" t="s">
        <v>59</v>
      </c>
      <c r="C10" s="135"/>
      <c r="D10" s="72">
        <v>30</v>
      </c>
      <c r="E10" s="137"/>
      <c r="F10" s="81">
        <v>0</v>
      </c>
      <c r="G10" s="79">
        <f t="shared" si="0"/>
        <v>0</v>
      </c>
      <c r="H10" s="101">
        <f t="shared" si="1"/>
        <v>0</v>
      </c>
      <c r="I10" s="79">
        <f t="shared" si="2"/>
        <v>0</v>
      </c>
      <c r="J10" s="76">
        <f t="shared" si="3"/>
        <v>0</v>
      </c>
      <c r="K10" s="79">
        <f t="shared" si="4"/>
        <v>0</v>
      </c>
      <c r="L10" s="101">
        <f t="shared" si="5"/>
        <v>0</v>
      </c>
      <c r="M10" s="79">
        <f t="shared" si="6"/>
        <v>0</v>
      </c>
      <c r="N10" s="79">
        <f t="shared" si="7"/>
        <v>0</v>
      </c>
      <c r="O10" s="79">
        <f t="shared" si="8"/>
        <v>0</v>
      </c>
      <c r="P10" s="72"/>
      <c r="Q10" s="79">
        <f t="shared" si="9"/>
        <v>0</v>
      </c>
      <c r="R10" s="79">
        <f t="shared" si="10"/>
        <v>0</v>
      </c>
      <c r="S10" s="101">
        <f t="shared" si="11"/>
        <v>0</v>
      </c>
      <c r="T10" s="79">
        <f t="shared" si="12"/>
        <v>0</v>
      </c>
      <c r="U10" s="79">
        <f t="shared" si="13"/>
        <v>0</v>
      </c>
      <c r="V10" s="79">
        <f t="shared" si="14"/>
        <v>0</v>
      </c>
      <c r="W10" s="72"/>
      <c r="X10" s="79">
        <f t="shared" si="15"/>
        <v>0</v>
      </c>
      <c r="Y10" s="79">
        <f t="shared" si="16"/>
        <v>0</v>
      </c>
      <c r="Z10" s="126">
        <f t="shared" si="17"/>
        <v>0</v>
      </c>
      <c r="AA10" s="154" t="str">
        <f t="shared" si="18"/>
        <v>OK</v>
      </c>
    </row>
    <row r="11" spans="1:31" s="66" customFormat="1" ht="13.5" customHeight="1">
      <c r="A11" s="115"/>
      <c r="B11" s="98" t="s">
        <v>59</v>
      </c>
      <c r="C11" s="135" t="s">
        <v>59</v>
      </c>
      <c r="D11" s="72">
        <v>30</v>
      </c>
      <c r="E11" s="137"/>
      <c r="F11" s="81">
        <v>0</v>
      </c>
      <c r="G11" s="79">
        <f t="shared" si="0"/>
        <v>0</v>
      </c>
      <c r="H11" s="101">
        <f t="shared" si="1"/>
        <v>0</v>
      </c>
      <c r="I11" s="79">
        <f t="shared" si="2"/>
        <v>0</v>
      </c>
      <c r="J11" s="76">
        <f t="shared" si="3"/>
        <v>0</v>
      </c>
      <c r="K11" s="79">
        <f t="shared" si="4"/>
        <v>0</v>
      </c>
      <c r="L11" s="101">
        <f t="shared" si="5"/>
        <v>0</v>
      </c>
      <c r="M11" s="79">
        <f t="shared" si="6"/>
        <v>0</v>
      </c>
      <c r="N11" s="79">
        <f t="shared" si="7"/>
        <v>0</v>
      </c>
      <c r="O11" s="79">
        <f t="shared" si="8"/>
        <v>0</v>
      </c>
      <c r="P11" s="72"/>
      <c r="Q11" s="79">
        <f t="shared" si="9"/>
        <v>0</v>
      </c>
      <c r="R11" s="79">
        <f t="shared" si="10"/>
        <v>0</v>
      </c>
      <c r="S11" s="101">
        <f t="shared" si="11"/>
        <v>0</v>
      </c>
      <c r="T11" s="79">
        <f t="shared" si="12"/>
        <v>0</v>
      </c>
      <c r="U11" s="79">
        <f t="shared" si="13"/>
        <v>0</v>
      </c>
      <c r="V11" s="79">
        <f t="shared" si="14"/>
        <v>0</v>
      </c>
      <c r="W11" s="72"/>
      <c r="X11" s="79">
        <f t="shared" si="15"/>
        <v>0</v>
      </c>
      <c r="Y11" s="79">
        <f t="shared" si="16"/>
        <v>0</v>
      </c>
      <c r="Z11" s="126">
        <f t="shared" si="17"/>
        <v>0</v>
      </c>
      <c r="AA11" s="154" t="str">
        <f t="shared" si="18"/>
        <v>OK</v>
      </c>
      <c r="AB11" s="60"/>
      <c r="AC11" s="60"/>
      <c r="AD11" s="60"/>
      <c r="AE11" s="60"/>
    </row>
    <row r="12" spans="1:31" s="66" customFormat="1" ht="13.5" customHeight="1">
      <c r="A12" s="115"/>
      <c r="B12" s="156" t="s">
        <v>59</v>
      </c>
      <c r="C12" s="135" t="s">
        <v>59</v>
      </c>
      <c r="D12" s="72">
        <v>30</v>
      </c>
      <c r="E12" s="137"/>
      <c r="F12" s="81">
        <v>0</v>
      </c>
      <c r="G12" s="79">
        <f t="shared" si="0"/>
        <v>0</v>
      </c>
      <c r="H12" s="101">
        <f t="shared" si="1"/>
        <v>0</v>
      </c>
      <c r="I12" s="79">
        <f t="shared" si="2"/>
        <v>0</v>
      </c>
      <c r="J12" s="76">
        <f t="shared" si="3"/>
        <v>0</v>
      </c>
      <c r="K12" s="79">
        <f t="shared" si="4"/>
        <v>0</v>
      </c>
      <c r="L12" s="101">
        <f t="shared" si="5"/>
        <v>0</v>
      </c>
      <c r="M12" s="79">
        <f t="shared" si="6"/>
        <v>0</v>
      </c>
      <c r="N12" s="79">
        <f t="shared" si="7"/>
        <v>0</v>
      </c>
      <c r="O12" s="79">
        <f t="shared" si="8"/>
        <v>0</v>
      </c>
      <c r="P12" s="72"/>
      <c r="Q12" s="79">
        <f t="shared" si="9"/>
        <v>0</v>
      </c>
      <c r="R12" s="79">
        <f t="shared" si="10"/>
        <v>0</v>
      </c>
      <c r="S12" s="101">
        <f t="shared" si="11"/>
        <v>0</v>
      </c>
      <c r="T12" s="79">
        <f t="shared" si="12"/>
        <v>0</v>
      </c>
      <c r="U12" s="79">
        <f t="shared" si="13"/>
        <v>0</v>
      </c>
      <c r="V12" s="79">
        <f t="shared" si="14"/>
        <v>0</v>
      </c>
      <c r="W12" s="72"/>
      <c r="X12" s="79">
        <f t="shared" si="15"/>
        <v>0</v>
      </c>
      <c r="Y12" s="79">
        <f t="shared" si="16"/>
        <v>0</v>
      </c>
      <c r="Z12" s="126">
        <f t="shared" si="17"/>
        <v>0</v>
      </c>
      <c r="AA12" s="154" t="str">
        <f t="shared" si="18"/>
        <v>OK</v>
      </c>
      <c r="AB12" s="60"/>
      <c r="AC12" s="64"/>
      <c r="AD12" s="60"/>
      <c r="AE12" s="64"/>
    </row>
    <row r="13" spans="1:34" ht="12.75" customHeight="1">
      <c r="A13" s="116"/>
      <c r="B13" s="156" t="s">
        <v>59</v>
      </c>
      <c r="C13" s="99"/>
      <c r="D13" s="72">
        <v>30</v>
      </c>
      <c r="E13" s="137"/>
      <c r="F13" s="81">
        <v>0</v>
      </c>
      <c r="G13" s="79">
        <f t="shared" si="0"/>
        <v>0</v>
      </c>
      <c r="H13" s="101">
        <f t="shared" si="1"/>
        <v>0</v>
      </c>
      <c r="I13" s="79">
        <f t="shared" si="2"/>
        <v>0</v>
      </c>
      <c r="J13" s="76">
        <f t="shared" si="3"/>
        <v>0</v>
      </c>
      <c r="K13" s="79">
        <f t="shared" si="4"/>
        <v>0</v>
      </c>
      <c r="L13" s="101">
        <f t="shared" si="5"/>
        <v>0</v>
      </c>
      <c r="M13" s="79">
        <f t="shared" si="6"/>
        <v>0</v>
      </c>
      <c r="N13" s="79">
        <f t="shared" si="7"/>
        <v>0</v>
      </c>
      <c r="O13" s="79">
        <f t="shared" si="8"/>
        <v>0</v>
      </c>
      <c r="P13" s="72"/>
      <c r="Q13" s="79">
        <f t="shared" si="9"/>
        <v>0</v>
      </c>
      <c r="R13" s="79">
        <f t="shared" si="10"/>
        <v>0</v>
      </c>
      <c r="S13" s="101">
        <f t="shared" si="11"/>
        <v>0</v>
      </c>
      <c r="T13" s="79">
        <f t="shared" si="12"/>
        <v>0</v>
      </c>
      <c r="U13" s="79">
        <f t="shared" si="13"/>
        <v>0</v>
      </c>
      <c r="V13" s="79">
        <f t="shared" si="14"/>
        <v>0</v>
      </c>
      <c r="W13" s="72"/>
      <c r="X13" s="79">
        <f t="shared" si="15"/>
        <v>0</v>
      </c>
      <c r="Y13" s="79">
        <f t="shared" si="16"/>
        <v>0</v>
      </c>
      <c r="Z13" s="126">
        <f t="shared" si="17"/>
        <v>0</v>
      </c>
      <c r="AA13" s="154" t="str">
        <f t="shared" si="18"/>
        <v>OK</v>
      </c>
      <c r="AF13" s="5"/>
      <c r="AG13" s="5"/>
      <c r="AH13" s="5"/>
    </row>
    <row r="14" spans="1:34" ht="12.75" customHeight="1">
      <c r="A14" s="116"/>
      <c r="B14" s="135" t="s">
        <v>59</v>
      </c>
      <c r="C14" s="99"/>
      <c r="D14" s="72">
        <v>30</v>
      </c>
      <c r="E14" s="137"/>
      <c r="F14" s="81">
        <v>0</v>
      </c>
      <c r="G14" s="79">
        <f t="shared" si="0"/>
        <v>0</v>
      </c>
      <c r="H14" s="101">
        <f t="shared" si="1"/>
        <v>0</v>
      </c>
      <c r="I14" s="79">
        <f t="shared" si="2"/>
        <v>0</v>
      </c>
      <c r="J14" s="76">
        <f t="shared" si="3"/>
        <v>0</v>
      </c>
      <c r="K14" s="79">
        <f t="shared" si="4"/>
        <v>0</v>
      </c>
      <c r="L14" s="101">
        <f t="shared" si="5"/>
        <v>0</v>
      </c>
      <c r="M14" s="79">
        <f t="shared" si="6"/>
        <v>0</v>
      </c>
      <c r="N14" s="79">
        <f t="shared" si="7"/>
        <v>0</v>
      </c>
      <c r="O14" s="79">
        <f t="shared" si="8"/>
        <v>0</v>
      </c>
      <c r="P14" s="72"/>
      <c r="Q14" s="79">
        <f t="shared" si="9"/>
        <v>0</v>
      </c>
      <c r="R14" s="79">
        <f t="shared" si="10"/>
        <v>0</v>
      </c>
      <c r="S14" s="101">
        <f t="shared" si="11"/>
        <v>0</v>
      </c>
      <c r="T14" s="79">
        <f t="shared" si="12"/>
        <v>0</v>
      </c>
      <c r="U14" s="79">
        <f t="shared" si="13"/>
        <v>0</v>
      </c>
      <c r="V14" s="79">
        <f t="shared" si="14"/>
        <v>0</v>
      </c>
      <c r="W14" s="72"/>
      <c r="X14" s="79">
        <f t="shared" si="15"/>
        <v>0</v>
      </c>
      <c r="Y14" s="79">
        <f t="shared" si="16"/>
        <v>0</v>
      </c>
      <c r="Z14" s="126">
        <f t="shared" si="17"/>
        <v>0</v>
      </c>
      <c r="AA14" s="154" t="str">
        <f t="shared" si="18"/>
        <v>OK</v>
      </c>
      <c r="AF14" s="5"/>
      <c r="AG14" s="5"/>
      <c r="AH14" s="5"/>
    </row>
    <row r="15" spans="1:34" ht="13.5" customHeight="1">
      <c r="A15" s="116"/>
      <c r="B15" s="135" t="s">
        <v>59</v>
      </c>
      <c r="C15" s="99"/>
      <c r="D15" s="72">
        <v>30</v>
      </c>
      <c r="E15" s="137"/>
      <c r="F15" s="81">
        <v>0</v>
      </c>
      <c r="G15" s="79">
        <f t="shared" si="0"/>
        <v>0</v>
      </c>
      <c r="H15" s="101">
        <f t="shared" si="1"/>
        <v>0</v>
      </c>
      <c r="I15" s="79">
        <f t="shared" si="2"/>
        <v>0</v>
      </c>
      <c r="J15" s="76">
        <f t="shared" si="3"/>
        <v>0</v>
      </c>
      <c r="K15" s="79">
        <f t="shared" si="4"/>
        <v>0</v>
      </c>
      <c r="L15" s="101">
        <f t="shared" si="5"/>
        <v>0</v>
      </c>
      <c r="M15" s="79">
        <f t="shared" si="6"/>
        <v>0</v>
      </c>
      <c r="N15" s="79">
        <f t="shared" si="7"/>
        <v>0</v>
      </c>
      <c r="O15" s="79">
        <f t="shared" si="8"/>
        <v>0</v>
      </c>
      <c r="P15" s="72"/>
      <c r="Q15" s="79">
        <f t="shared" si="9"/>
        <v>0</v>
      </c>
      <c r="R15" s="79">
        <f t="shared" si="10"/>
        <v>0</v>
      </c>
      <c r="S15" s="101">
        <f t="shared" si="11"/>
        <v>0</v>
      </c>
      <c r="T15" s="79">
        <f t="shared" si="12"/>
        <v>0</v>
      </c>
      <c r="U15" s="79">
        <f t="shared" si="13"/>
        <v>0</v>
      </c>
      <c r="V15" s="79">
        <f t="shared" si="14"/>
        <v>0</v>
      </c>
      <c r="W15" s="72"/>
      <c r="X15" s="79">
        <f t="shared" si="15"/>
        <v>0</v>
      </c>
      <c r="Y15" s="79">
        <f t="shared" si="16"/>
        <v>0</v>
      </c>
      <c r="Z15" s="126">
        <f t="shared" si="17"/>
        <v>0</v>
      </c>
      <c r="AA15" s="154" t="str">
        <f t="shared" si="18"/>
        <v>OK</v>
      </c>
      <c r="AF15" s="5"/>
      <c r="AG15" s="5"/>
      <c r="AH15" s="5"/>
    </row>
    <row r="16" spans="1:34" ht="13.5" customHeight="1">
      <c r="A16" s="116"/>
      <c r="B16" s="98" t="s">
        <v>59</v>
      </c>
      <c r="C16" s="99"/>
      <c r="D16" s="72">
        <v>30</v>
      </c>
      <c r="E16" s="81"/>
      <c r="F16" s="81">
        <v>0</v>
      </c>
      <c r="G16" s="79">
        <f t="shared" si="0"/>
        <v>0</v>
      </c>
      <c r="H16" s="101">
        <f t="shared" si="1"/>
        <v>0</v>
      </c>
      <c r="I16" s="79">
        <f t="shared" si="2"/>
        <v>0</v>
      </c>
      <c r="J16" s="76">
        <f t="shared" si="3"/>
        <v>0</v>
      </c>
      <c r="K16" s="79">
        <f t="shared" si="4"/>
        <v>0</v>
      </c>
      <c r="L16" s="101">
        <f t="shared" si="5"/>
        <v>0</v>
      </c>
      <c r="M16" s="79">
        <f t="shared" si="6"/>
        <v>0</v>
      </c>
      <c r="N16" s="79">
        <f t="shared" si="7"/>
        <v>0</v>
      </c>
      <c r="O16" s="79">
        <f t="shared" si="8"/>
        <v>0</v>
      </c>
      <c r="P16" s="72"/>
      <c r="Q16" s="79">
        <f t="shared" si="9"/>
        <v>0</v>
      </c>
      <c r="R16" s="79">
        <f t="shared" si="10"/>
        <v>0</v>
      </c>
      <c r="S16" s="101">
        <f t="shared" si="11"/>
        <v>0</v>
      </c>
      <c r="T16" s="79">
        <f t="shared" si="12"/>
        <v>0</v>
      </c>
      <c r="U16" s="79">
        <f t="shared" si="13"/>
        <v>0</v>
      </c>
      <c r="V16" s="79">
        <f t="shared" si="14"/>
        <v>0</v>
      </c>
      <c r="W16" s="72"/>
      <c r="X16" s="79">
        <f t="shared" si="15"/>
        <v>0</v>
      </c>
      <c r="Y16" s="79">
        <f t="shared" si="16"/>
        <v>0</v>
      </c>
      <c r="Z16" s="126">
        <f t="shared" si="17"/>
        <v>0</v>
      </c>
      <c r="AA16" s="154" t="str">
        <f t="shared" si="18"/>
        <v>OK</v>
      </c>
      <c r="AF16" s="5"/>
      <c r="AG16" s="5"/>
      <c r="AH16" s="5"/>
    </row>
    <row r="17" spans="1:34" ht="13.5" customHeight="1">
      <c r="A17" s="116"/>
      <c r="B17" s="98" t="s">
        <v>59</v>
      </c>
      <c r="C17" s="99"/>
      <c r="D17" s="72">
        <v>30</v>
      </c>
      <c r="E17" s="81"/>
      <c r="F17" s="81">
        <v>0</v>
      </c>
      <c r="G17" s="79">
        <f t="shared" si="0"/>
        <v>0</v>
      </c>
      <c r="H17" s="101">
        <f t="shared" si="1"/>
        <v>0</v>
      </c>
      <c r="I17" s="79">
        <f t="shared" si="2"/>
        <v>0</v>
      </c>
      <c r="J17" s="76">
        <f t="shared" si="3"/>
        <v>0</v>
      </c>
      <c r="K17" s="79">
        <f t="shared" si="4"/>
        <v>0</v>
      </c>
      <c r="L17" s="101">
        <f t="shared" si="5"/>
        <v>0</v>
      </c>
      <c r="M17" s="79">
        <f t="shared" si="6"/>
        <v>0</v>
      </c>
      <c r="N17" s="79">
        <f t="shared" si="7"/>
        <v>0</v>
      </c>
      <c r="O17" s="79">
        <f t="shared" si="8"/>
        <v>0</v>
      </c>
      <c r="P17" s="72"/>
      <c r="Q17" s="79">
        <f t="shared" si="9"/>
        <v>0</v>
      </c>
      <c r="R17" s="79">
        <f t="shared" si="10"/>
        <v>0</v>
      </c>
      <c r="S17" s="101">
        <f t="shared" si="11"/>
        <v>0</v>
      </c>
      <c r="T17" s="79">
        <f t="shared" si="12"/>
        <v>0</v>
      </c>
      <c r="U17" s="79">
        <f t="shared" si="13"/>
        <v>0</v>
      </c>
      <c r="V17" s="79">
        <f t="shared" si="14"/>
        <v>0</v>
      </c>
      <c r="W17" s="72"/>
      <c r="X17" s="79">
        <f t="shared" si="15"/>
        <v>0</v>
      </c>
      <c r="Y17" s="79">
        <f t="shared" si="16"/>
        <v>0</v>
      </c>
      <c r="Z17" s="126">
        <f t="shared" si="17"/>
        <v>0</v>
      </c>
      <c r="AA17" s="154" t="str">
        <f t="shared" si="18"/>
        <v>OK</v>
      </c>
      <c r="AF17" s="5"/>
      <c r="AG17" s="5"/>
      <c r="AH17" s="5"/>
    </row>
    <row r="18" spans="1:34" ht="13.5" customHeight="1">
      <c r="A18" s="116"/>
      <c r="B18" s="98" t="s">
        <v>59</v>
      </c>
      <c r="C18" s="99"/>
      <c r="D18" s="72">
        <v>30</v>
      </c>
      <c r="E18" s="81"/>
      <c r="F18" s="81">
        <v>0</v>
      </c>
      <c r="G18" s="79">
        <f t="shared" si="0"/>
        <v>0</v>
      </c>
      <c r="H18" s="101">
        <f t="shared" si="1"/>
        <v>0</v>
      </c>
      <c r="I18" s="79">
        <f t="shared" si="2"/>
        <v>0</v>
      </c>
      <c r="J18" s="76">
        <f t="shared" si="3"/>
        <v>0</v>
      </c>
      <c r="K18" s="79">
        <f t="shared" si="4"/>
        <v>0</v>
      </c>
      <c r="L18" s="101">
        <f t="shared" si="5"/>
        <v>0</v>
      </c>
      <c r="M18" s="79">
        <f t="shared" si="6"/>
        <v>0</v>
      </c>
      <c r="N18" s="79">
        <f t="shared" si="7"/>
        <v>0</v>
      </c>
      <c r="O18" s="79">
        <f t="shared" si="8"/>
        <v>0</v>
      </c>
      <c r="P18" s="72"/>
      <c r="Q18" s="79">
        <f t="shared" si="9"/>
        <v>0</v>
      </c>
      <c r="R18" s="79">
        <f t="shared" si="10"/>
        <v>0</v>
      </c>
      <c r="S18" s="101">
        <f t="shared" si="11"/>
        <v>0</v>
      </c>
      <c r="T18" s="79">
        <f t="shared" si="12"/>
        <v>0</v>
      </c>
      <c r="U18" s="79">
        <f t="shared" si="13"/>
        <v>0</v>
      </c>
      <c r="V18" s="79">
        <f t="shared" si="14"/>
        <v>0</v>
      </c>
      <c r="W18" s="72"/>
      <c r="X18" s="79">
        <f t="shared" si="15"/>
        <v>0</v>
      </c>
      <c r="Y18" s="79">
        <f t="shared" si="16"/>
        <v>0</v>
      </c>
      <c r="Z18" s="126">
        <f t="shared" si="17"/>
        <v>0</v>
      </c>
      <c r="AA18" s="154" t="str">
        <f t="shared" si="18"/>
        <v>OK</v>
      </c>
      <c r="AF18" s="5"/>
      <c r="AG18" s="5"/>
      <c r="AH18" s="5"/>
    </row>
    <row r="19" spans="1:34" ht="13.5" customHeight="1">
      <c r="A19" s="116"/>
      <c r="B19" s="98" t="s">
        <v>59</v>
      </c>
      <c r="C19" s="99"/>
      <c r="D19" s="72">
        <v>30</v>
      </c>
      <c r="E19" s="81"/>
      <c r="F19" s="81">
        <v>0</v>
      </c>
      <c r="G19" s="79">
        <f t="shared" si="0"/>
        <v>0</v>
      </c>
      <c r="H19" s="101">
        <f t="shared" si="1"/>
        <v>0</v>
      </c>
      <c r="I19" s="79">
        <f t="shared" si="2"/>
        <v>0</v>
      </c>
      <c r="J19" s="76">
        <f t="shared" si="3"/>
        <v>0</v>
      </c>
      <c r="K19" s="79">
        <f t="shared" si="4"/>
        <v>0</v>
      </c>
      <c r="L19" s="101">
        <f t="shared" si="5"/>
        <v>0</v>
      </c>
      <c r="M19" s="79">
        <f t="shared" si="6"/>
        <v>0</v>
      </c>
      <c r="N19" s="79">
        <f t="shared" si="7"/>
        <v>0</v>
      </c>
      <c r="O19" s="79">
        <f t="shared" si="8"/>
        <v>0</v>
      </c>
      <c r="P19" s="72"/>
      <c r="Q19" s="79">
        <f t="shared" si="9"/>
        <v>0</v>
      </c>
      <c r="R19" s="79">
        <f t="shared" si="10"/>
        <v>0</v>
      </c>
      <c r="S19" s="101">
        <f t="shared" si="11"/>
        <v>0</v>
      </c>
      <c r="T19" s="79">
        <f t="shared" si="12"/>
        <v>0</v>
      </c>
      <c r="U19" s="79">
        <f t="shared" si="13"/>
        <v>0</v>
      </c>
      <c r="V19" s="79">
        <f t="shared" si="14"/>
        <v>0</v>
      </c>
      <c r="W19" s="72"/>
      <c r="X19" s="79">
        <f t="shared" si="15"/>
        <v>0</v>
      </c>
      <c r="Y19" s="79">
        <f t="shared" si="16"/>
        <v>0</v>
      </c>
      <c r="Z19" s="126">
        <f t="shared" si="17"/>
        <v>0</v>
      </c>
      <c r="AA19" s="154" t="str">
        <f t="shared" si="18"/>
        <v>OK</v>
      </c>
      <c r="AF19" s="5"/>
      <c r="AG19" s="5"/>
      <c r="AH19" s="5"/>
    </row>
    <row r="20" spans="1:34" ht="13.5" customHeight="1">
      <c r="A20" s="117"/>
      <c r="B20" s="98" t="s">
        <v>59</v>
      </c>
      <c r="C20" s="100"/>
      <c r="D20" s="72">
        <v>30</v>
      </c>
      <c r="E20" s="81"/>
      <c r="F20" s="81">
        <v>0</v>
      </c>
      <c r="G20" s="79">
        <f t="shared" si="0"/>
        <v>0</v>
      </c>
      <c r="H20" s="101">
        <f t="shared" si="1"/>
        <v>0</v>
      </c>
      <c r="I20" s="79">
        <f t="shared" si="2"/>
        <v>0</v>
      </c>
      <c r="J20" s="76">
        <f t="shared" si="3"/>
        <v>0</v>
      </c>
      <c r="K20" s="79">
        <f t="shared" si="4"/>
        <v>0</v>
      </c>
      <c r="L20" s="101">
        <f t="shared" si="5"/>
        <v>0</v>
      </c>
      <c r="M20" s="79">
        <f t="shared" si="6"/>
        <v>0</v>
      </c>
      <c r="N20" s="79">
        <f t="shared" si="7"/>
        <v>0</v>
      </c>
      <c r="O20" s="79">
        <f t="shared" si="8"/>
        <v>0</v>
      </c>
      <c r="P20" s="72"/>
      <c r="Q20" s="79">
        <f t="shared" si="9"/>
        <v>0</v>
      </c>
      <c r="R20" s="79">
        <f t="shared" si="10"/>
        <v>0</v>
      </c>
      <c r="S20" s="101">
        <f t="shared" si="11"/>
        <v>0</v>
      </c>
      <c r="T20" s="79">
        <f t="shared" si="12"/>
        <v>0</v>
      </c>
      <c r="U20" s="79">
        <f t="shared" si="13"/>
        <v>0</v>
      </c>
      <c r="V20" s="79">
        <f t="shared" si="14"/>
        <v>0</v>
      </c>
      <c r="W20" s="72"/>
      <c r="X20" s="79">
        <f t="shared" si="15"/>
        <v>0</v>
      </c>
      <c r="Y20" s="79">
        <f t="shared" si="16"/>
        <v>0</v>
      </c>
      <c r="Z20" s="126">
        <f t="shared" si="17"/>
        <v>0</v>
      </c>
      <c r="AA20" s="154" t="str">
        <f t="shared" si="18"/>
        <v>OK</v>
      </c>
      <c r="AF20" s="5"/>
      <c r="AG20" s="5"/>
      <c r="AH20" s="5"/>
    </row>
    <row r="21" spans="1:34" ht="13.5" customHeight="1">
      <c r="A21" s="116"/>
      <c r="B21" s="98" t="s">
        <v>59</v>
      </c>
      <c r="C21" s="99"/>
      <c r="D21" s="72">
        <v>30</v>
      </c>
      <c r="E21" s="81"/>
      <c r="F21" s="81">
        <v>0</v>
      </c>
      <c r="G21" s="79">
        <f t="shared" si="0"/>
        <v>0</v>
      </c>
      <c r="H21" s="101">
        <f t="shared" si="1"/>
        <v>0</v>
      </c>
      <c r="I21" s="79">
        <f t="shared" si="2"/>
        <v>0</v>
      </c>
      <c r="J21" s="76">
        <f t="shared" si="3"/>
        <v>0</v>
      </c>
      <c r="K21" s="79">
        <f t="shared" si="4"/>
        <v>0</v>
      </c>
      <c r="L21" s="101">
        <f t="shared" si="5"/>
        <v>0</v>
      </c>
      <c r="M21" s="79">
        <f t="shared" si="6"/>
        <v>0</v>
      </c>
      <c r="N21" s="79">
        <f t="shared" si="7"/>
        <v>0</v>
      </c>
      <c r="O21" s="79">
        <f t="shared" si="8"/>
        <v>0</v>
      </c>
      <c r="P21" s="72"/>
      <c r="Q21" s="79">
        <f t="shared" si="9"/>
        <v>0</v>
      </c>
      <c r="R21" s="79">
        <f t="shared" si="10"/>
        <v>0</v>
      </c>
      <c r="S21" s="101">
        <f t="shared" si="11"/>
        <v>0</v>
      </c>
      <c r="T21" s="79">
        <f t="shared" si="12"/>
        <v>0</v>
      </c>
      <c r="U21" s="79">
        <f t="shared" si="13"/>
        <v>0</v>
      </c>
      <c r="V21" s="79">
        <f t="shared" si="14"/>
        <v>0</v>
      </c>
      <c r="W21" s="72"/>
      <c r="X21" s="79">
        <f t="shared" si="15"/>
        <v>0</v>
      </c>
      <c r="Y21" s="79">
        <f t="shared" si="16"/>
        <v>0</v>
      </c>
      <c r="Z21" s="126">
        <f t="shared" si="17"/>
        <v>0</v>
      </c>
      <c r="AA21" s="154" t="str">
        <f t="shared" si="18"/>
        <v>OK</v>
      </c>
      <c r="AF21" s="5"/>
      <c r="AG21" s="5"/>
      <c r="AH21" s="5"/>
    </row>
    <row r="22" spans="1:34" ht="13.5" customHeight="1">
      <c r="A22" s="117"/>
      <c r="B22" s="98" t="s">
        <v>59</v>
      </c>
      <c r="C22" s="100"/>
      <c r="D22" s="72">
        <v>30</v>
      </c>
      <c r="E22" s="81"/>
      <c r="F22" s="81">
        <v>0</v>
      </c>
      <c r="G22" s="79">
        <f t="shared" si="0"/>
        <v>0</v>
      </c>
      <c r="H22" s="101">
        <f t="shared" si="1"/>
        <v>0</v>
      </c>
      <c r="I22" s="79">
        <f t="shared" si="2"/>
        <v>0</v>
      </c>
      <c r="J22" s="76">
        <f t="shared" si="3"/>
        <v>0</v>
      </c>
      <c r="K22" s="79">
        <f t="shared" si="4"/>
        <v>0</v>
      </c>
      <c r="L22" s="101">
        <f t="shared" si="5"/>
        <v>0</v>
      </c>
      <c r="M22" s="79">
        <f t="shared" si="6"/>
        <v>0</v>
      </c>
      <c r="N22" s="79">
        <f t="shared" si="7"/>
        <v>0</v>
      </c>
      <c r="O22" s="79">
        <f t="shared" si="8"/>
        <v>0</v>
      </c>
      <c r="P22" s="72"/>
      <c r="Q22" s="79">
        <f t="shared" si="9"/>
        <v>0</v>
      </c>
      <c r="R22" s="79">
        <f t="shared" si="10"/>
        <v>0</v>
      </c>
      <c r="S22" s="101">
        <f t="shared" si="11"/>
        <v>0</v>
      </c>
      <c r="T22" s="79">
        <f t="shared" si="12"/>
        <v>0</v>
      </c>
      <c r="U22" s="79">
        <f t="shared" si="13"/>
        <v>0</v>
      </c>
      <c r="V22" s="79">
        <f t="shared" si="14"/>
        <v>0</v>
      </c>
      <c r="W22" s="72"/>
      <c r="X22" s="79">
        <f t="shared" si="15"/>
        <v>0</v>
      </c>
      <c r="Y22" s="79">
        <f t="shared" si="16"/>
        <v>0</v>
      </c>
      <c r="Z22" s="126">
        <f t="shared" si="17"/>
        <v>0</v>
      </c>
      <c r="AA22" s="154" t="str">
        <f t="shared" si="18"/>
        <v>OK</v>
      </c>
      <c r="AF22" s="5"/>
      <c r="AG22" s="5"/>
      <c r="AH22" s="5"/>
    </row>
    <row r="23" spans="1:34" ht="13.5" customHeight="1">
      <c r="A23" s="117"/>
      <c r="B23" s="98" t="s">
        <v>59</v>
      </c>
      <c r="C23" s="100"/>
      <c r="D23" s="72">
        <v>30</v>
      </c>
      <c r="E23" s="81"/>
      <c r="F23" s="81">
        <v>0</v>
      </c>
      <c r="G23" s="79">
        <f t="shared" si="0"/>
        <v>0</v>
      </c>
      <c r="H23" s="101">
        <f t="shared" si="1"/>
        <v>0</v>
      </c>
      <c r="I23" s="79">
        <f t="shared" si="2"/>
        <v>0</v>
      </c>
      <c r="J23" s="76">
        <f t="shared" si="3"/>
        <v>0</v>
      </c>
      <c r="K23" s="79">
        <f t="shared" si="4"/>
        <v>0</v>
      </c>
      <c r="L23" s="101">
        <f t="shared" si="5"/>
        <v>0</v>
      </c>
      <c r="M23" s="79">
        <f t="shared" si="6"/>
        <v>0</v>
      </c>
      <c r="N23" s="79">
        <f t="shared" si="7"/>
        <v>0</v>
      </c>
      <c r="O23" s="79">
        <f t="shared" si="8"/>
        <v>0</v>
      </c>
      <c r="P23" s="72"/>
      <c r="Q23" s="79">
        <f t="shared" si="9"/>
        <v>0</v>
      </c>
      <c r="R23" s="79">
        <f t="shared" si="10"/>
        <v>0</v>
      </c>
      <c r="S23" s="101">
        <f t="shared" si="11"/>
        <v>0</v>
      </c>
      <c r="T23" s="79">
        <f t="shared" si="12"/>
        <v>0</v>
      </c>
      <c r="U23" s="79">
        <f t="shared" si="13"/>
        <v>0</v>
      </c>
      <c r="V23" s="79">
        <f t="shared" si="14"/>
        <v>0</v>
      </c>
      <c r="W23" s="72"/>
      <c r="X23" s="79">
        <f t="shared" si="15"/>
        <v>0</v>
      </c>
      <c r="Y23" s="79">
        <f t="shared" si="16"/>
        <v>0</v>
      </c>
      <c r="Z23" s="126">
        <f t="shared" si="17"/>
        <v>0</v>
      </c>
      <c r="AA23" s="154" t="str">
        <f t="shared" si="18"/>
        <v>OK</v>
      </c>
      <c r="AF23" s="5"/>
      <c r="AG23" s="5"/>
      <c r="AH23" s="5"/>
    </row>
    <row r="24" spans="1:27" ht="13.5" customHeight="1">
      <c r="A24" s="117"/>
      <c r="B24" s="98" t="s">
        <v>59</v>
      </c>
      <c r="C24" s="100"/>
      <c r="D24" s="72">
        <v>30</v>
      </c>
      <c r="E24" s="81"/>
      <c r="F24" s="81">
        <v>0</v>
      </c>
      <c r="G24" s="79">
        <f t="shared" si="0"/>
        <v>0</v>
      </c>
      <c r="H24" s="101">
        <f t="shared" si="1"/>
        <v>0</v>
      </c>
      <c r="I24" s="79">
        <f t="shared" si="2"/>
        <v>0</v>
      </c>
      <c r="J24" s="76">
        <f t="shared" si="3"/>
        <v>0</v>
      </c>
      <c r="K24" s="79">
        <f t="shared" si="4"/>
        <v>0</v>
      </c>
      <c r="L24" s="101">
        <f t="shared" si="5"/>
        <v>0</v>
      </c>
      <c r="M24" s="79">
        <f t="shared" si="6"/>
        <v>0</v>
      </c>
      <c r="N24" s="79">
        <f t="shared" si="7"/>
        <v>0</v>
      </c>
      <c r="O24" s="79">
        <f t="shared" si="8"/>
        <v>0</v>
      </c>
      <c r="P24" s="72"/>
      <c r="Q24" s="79">
        <f t="shared" si="9"/>
        <v>0</v>
      </c>
      <c r="R24" s="79">
        <f t="shared" si="10"/>
        <v>0</v>
      </c>
      <c r="S24" s="101">
        <f t="shared" si="11"/>
        <v>0</v>
      </c>
      <c r="T24" s="79">
        <f t="shared" si="12"/>
        <v>0</v>
      </c>
      <c r="U24" s="79">
        <f t="shared" si="13"/>
        <v>0</v>
      </c>
      <c r="V24" s="79">
        <f t="shared" si="14"/>
        <v>0</v>
      </c>
      <c r="W24" s="72"/>
      <c r="X24" s="79">
        <f t="shared" si="15"/>
        <v>0</v>
      </c>
      <c r="Y24" s="79">
        <f t="shared" si="16"/>
        <v>0</v>
      </c>
      <c r="Z24" s="126">
        <f t="shared" si="17"/>
        <v>0</v>
      </c>
      <c r="AA24" s="154" t="str">
        <f t="shared" si="18"/>
        <v>OK</v>
      </c>
    </row>
    <row r="25" spans="1:27" ht="13.5" customHeight="1">
      <c r="A25" s="116"/>
      <c r="B25" s="98" t="s">
        <v>59</v>
      </c>
      <c r="C25" s="99"/>
      <c r="D25" s="72">
        <v>30</v>
      </c>
      <c r="E25" s="81"/>
      <c r="F25" s="81">
        <v>0</v>
      </c>
      <c r="G25" s="79">
        <f t="shared" si="0"/>
        <v>0</v>
      </c>
      <c r="H25" s="101">
        <f t="shared" si="1"/>
        <v>0</v>
      </c>
      <c r="I25" s="79">
        <f t="shared" si="2"/>
        <v>0</v>
      </c>
      <c r="J25" s="76">
        <f t="shared" si="3"/>
        <v>0</v>
      </c>
      <c r="K25" s="79">
        <f t="shared" si="4"/>
        <v>0</v>
      </c>
      <c r="L25" s="101">
        <f t="shared" si="5"/>
        <v>0</v>
      </c>
      <c r="M25" s="79">
        <f t="shared" si="6"/>
        <v>0</v>
      </c>
      <c r="N25" s="79">
        <f t="shared" si="7"/>
        <v>0</v>
      </c>
      <c r="O25" s="79">
        <f t="shared" si="8"/>
        <v>0</v>
      </c>
      <c r="P25" s="72"/>
      <c r="Q25" s="79">
        <f t="shared" si="9"/>
        <v>0</v>
      </c>
      <c r="R25" s="79">
        <f t="shared" si="10"/>
        <v>0</v>
      </c>
      <c r="S25" s="101">
        <f t="shared" si="11"/>
        <v>0</v>
      </c>
      <c r="T25" s="79">
        <f t="shared" si="12"/>
        <v>0</v>
      </c>
      <c r="U25" s="79">
        <f t="shared" si="13"/>
        <v>0</v>
      </c>
      <c r="V25" s="79">
        <f t="shared" si="14"/>
        <v>0</v>
      </c>
      <c r="W25" s="72"/>
      <c r="X25" s="79">
        <f t="shared" si="15"/>
        <v>0</v>
      </c>
      <c r="Y25" s="79">
        <f t="shared" si="16"/>
        <v>0</v>
      </c>
      <c r="Z25" s="126">
        <f t="shared" si="17"/>
        <v>0</v>
      </c>
      <c r="AA25" s="154" t="str">
        <f t="shared" si="18"/>
        <v>OK</v>
      </c>
    </row>
    <row r="26" spans="1:27" ht="13.5" customHeight="1">
      <c r="A26" s="115"/>
      <c r="B26" s="98" t="s">
        <v>59</v>
      </c>
      <c r="C26" s="73"/>
      <c r="D26" s="72">
        <v>30</v>
      </c>
      <c r="E26" s="81"/>
      <c r="F26" s="81">
        <v>0</v>
      </c>
      <c r="G26" s="79">
        <f t="shared" si="0"/>
        <v>0</v>
      </c>
      <c r="H26" s="101">
        <f t="shared" si="1"/>
        <v>0</v>
      </c>
      <c r="I26" s="79">
        <f t="shared" si="2"/>
        <v>0</v>
      </c>
      <c r="J26" s="76">
        <f t="shared" si="3"/>
        <v>0</v>
      </c>
      <c r="K26" s="79">
        <f t="shared" si="4"/>
        <v>0</v>
      </c>
      <c r="L26" s="101">
        <f t="shared" si="5"/>
        <v>0</v>
      </c>
      <c r="M26" s="79">
        <f t="shared" si="6"/>
        <v>0</v>
      </c>
      <c r="N26" s="79">
        <f t="shared" si="7"/>
        <v>0</v>
      </c>
      <c r="O26" s="79">
        <f t="shared" si="8"/>
        <v>0</v>
      </c>
      <c r="P26" s="72"/>
      <c r="Q26" s="79">
        <f t="shared" si="9"/>
        <v>0</v>
      </c>
      <c r="R26" s="79">
        <f t="shared" si="10"/>
        <v>0</v>
      </c>
      <c r="S26" s="101">
        <f t="shared" si="11"/>
        <v>0</v>
      </c>
      <c r="T26" s="79">
        <f t="shared" si="12"/>
        <v>0</v>
      </c>
      <c r="U26" s="79">
        <f t="shared" si="13"/>
        <v>0</v>
      </c>
      <c r="V26" s="79">
        <f t="shared" si="14"/>
        <v>0</v>
      </c>
      <c r="W26" s="72"/>
      <c r="X26" s="79">
        <f t="shared" si="15"/>
        <v>0</v>
      </c>
      <c r="Y26" s="79">
        <f t="shared" si="16"/>
        <v>0</v>
      </c>
      <c r="Z26" s="126">
        <f t="shared" si="17"/>
        <v>0</v>
      </c>
      <c r="AA26" s="154" t="str">
        <f t="shared" si="18"/>
        <v>OK</v>
      </c>
    </row>
    <row r="27" spans="1:27" ht="13.5" customHeight="1">
      <c r="A27" s="115"/>
      <c r="B27" s="98" t="s">
        <v>59</v>
      </c>
      <c r="C27" s="73"/>
      <c r="D27" s="72">
        <v>30</v>
      </c>
      <c r="E27" s="81"/>
      <c r="F27" s="81">
        <v>0</v>
      </c>
      <c r="G27" s="79">
        <f t="shared" si="0"/>
        <v>0</v>
      </c>
      <c r="H27" s="101">
        <f t="shared" si="1"/>
        <v>0</v>
      </c>
      <c r="I27" s="79">
        <f t="shared" si="2"/>
        <v>0</v>
      </c>
      <c r="J27" s="76">
        <f t="shared" si="3"/>
        <v>0</v>
      </c>
      <c r="K27" s="79">
        <f t="shared" si="4"/>
        <v>0</v>
      </c>
      <c r="L27" s="101">
        <f t="shared" si="5"/>
        <v>0</v>
      </c>
      <c r="M27" s="79">
        <f t="shared" si="6"/>
        <v>0</v>
      </c>
      <c r="N27" s="79">
        <f t="shared" si="7"/>
        <v>0</v>
      </c>
      <c r="O27" s="79">
        <f t="shared" si="8"/>
        <v>0</v>
      </c>
      <c r="P27" s="72"/>
      <c r="Q27" s="79">
        <f t="shared" si="9"/>
        <v>0</v>
      </c>
      <c r="R27" s="79">
        <f t="shared" si="10"/>
        <v>0</v>
      </c>
      <c r="S27" s="101">
        <f t="shared" si="11"/>
        <v>0</v>
      </c>
      <c r="T27" s="79">
        <f t="shared" si="12"/>
        <v>0</v>
      </c>
      <c r="U27" s="79">
        <f t="shared" si="13"/>
        <v>0</v>
      </c>
      <c r="V27" s="79">
        <f t="shared" si="14"/>
        <v>0</v>
      </c>
      <c r="W27" s="72"/>
      <c r="X27" s="79">
        <f t="shared" si="15"/>
        <v>0</v>
      </c>
      <c r="Y27" s="79">
        <f t="shared" si="16"/>
        <v>0</v>
      </c>
      <c r="Z27" s="126">
        <f t="shared" si="17"/>
        <v>0</v>
      </c>
      <c r="AA27" s="154" t="str">
        <f t="shared" si="18"/>
        <v>OK</v>
      </c>
    </row>
    <row r="28" spans="1:27" ht="13.5" customHeight="1">
      <c r="A28" s="117"/>
      <c r="B28" s="98" t="s">
        <v>59</v>
      </c>
      <c r="C28" s="100"/>
      <c r="D28" s="72">
        <v>30</v>
      </c>
      <c r="E28" s="81"/>
      <c r="F28" s="81">
        <v>0</v>
      </c>
      <c r="G28" s="79">
        <f t="shared" si="0"/>
        <v>0</v>
      </c>
      <c r="H28" s="101">
        <f t="shared" si="1"/>
        <v>0</v>
      </c>
      <c r="I28" s="79">
        <f t="shared" si="2"/>
        <v>0</v>
      </c>
      <c r="J28" s="76">
        <f t="shared" si="3"/>
        <v>0</v>
      </c>
      <c r="K28" s="79">
        <f t="shared" si="4"/>
        <v>0</v>
      </c>
      <c r="L28" s="101">
        <f t="shared" si="5"/>
        <v>0</v>
      </c>
      <c r="M28" s="79">
        <f t="shared" si="6"/>
        <v>0</v>
      </c>
      <c r="N28" s="79">
        <f t="shared" si="7"/>
        <v>0</v>
      </c>
      <c r="O28" s="79">
        <f t="shared" si="8"/>
        <v>0</v>
      </c>
      <c r="P28" s="72"/>
      <c r="Q28" s="79">
        <f t="shared" si="9"/>
        <v>0</v>
      </c>
      <c r="R28" s="79">
        <f t="shared" si="10"/>
        <v>0</v>
      </c>
      <c r="S28" s="101">
        <f t="shared" si="11"/>
        <v>0</v>
      </c>
      <c r="T28" s="79">
        <f t="shared" si="12"/>
        <v>0</v>
      </c>
      <c r="U28" s="79">
        <f t="shared" si="13"/>
        <v>0</v>
      </c>
      <c r="V28" s="79">
        <f t="shared" si="14"/>
        <v>0</v>
      </c>
      <c r="W28" s="72"/>
      <c r="X28" s="79">
        <f t="shared" si="15"/>
        <v>0</v>
      </c>
      <c r="Y28" s="79">
        <f t="shared" si="16"/>
        <v>0</v>
      </c>
      <c r="Z28" s="126">
        <f t="shared" si="17"/>
        <v>0</v>
      </c>
      <c r="AA28" s="154" t="str">
        <f t="shared" si="18"/>
        <v>OK</v>
      </c>
    </row>
    <row r="29" spans="1:27" ht="13.5" customHeight="1">
      <c r="A29" s="117"/>
      <c r="B29" s="98" t="s">
        <v>59</v>
      </c>
      <c r="C29" s="100"/>
      <c r="D29" s="72">
        <v>30</v>
      </c>
      <c r="E29" s="81"/>
      <c r="F29" s="81">
        <v>0</v>
      </c>
      <c r="G29" s="79">
        <f t="shared" si="0"/>
        <v>0</v>
      </c>
      <c r="H29" s="101">
        <f t="shared" si="1"/>
        <v>0</v>
      </c>
      <c r="I29" s="79">
        <f t="shared" si="2"/>
        <v>0</v>
      </c>
      <c r="J29" s="76">
        <f t="shared" si="3"/>
        <v>0</v>
      </c>
      <c r="K29" s="79">
        <f t="shared" si="4"/>
        <v>0</v>
      </c>
      <c r="L29" s="101">
        <f t="shared" si="5"/>
        <v>0</v>
      </c>
      <c r="M29" s="79">
        <f t="shared" si="6"/>
        <v>0</v>
      </c>
      <c r="N29" s="79">
        <f t="shared" si="7"/>
        <v>0</v>
      </c>
      <c r="O29" s="79">
        <f t="shared" si="8"/>
        <v>0</v>
      </c>
      <c r="P29" s="72"/>
      <c r="Q29" s="79">
        <f t="shared" si="9"/>
        <v>0</v>
      </c>
      <c r="R29" s="79">
        <f t="shared" si="10"/>
        <v>0</v>
      </c>
      <c r="S29" s="101">
        <f t="shared" si="11"/>
        <v>0</v>
      </c>
      <c r="T29" s="79">
        <f t="shared" si="12"/>
        <v>0</v>
      </c>
      <c r="U29" s="79">
        <f t="shared" si="13"/>
        <v>0</v>
      </c>
      <c r="V29" s="79">
        <f t="shared" si="14"/>
        <v>0</v>
      </c>
      <c r="W29" s="72"/>
      <c r="X29" s="79">
        <f t="shared" si="15"/>
        <v>0</v>
      </c>
      <c r="Y29" s="79">
        <f t="shared" si="16"/>
        <v>0</v>
      </c>
      <c r="Z29" s="126">
        <f t="shared" si="17"/>
        <v>0</v>
      </c>
      <c r="AA29" s="154" t="str">
        <f t="shared" si="18"/>
        <v>OK</v>
      </c>
    </row>
    <row r="30" spans="1:27" ht="13.5" customHeight="1">
      <c r="A30" s="117"/>
      <c r="B30" s="98" t="s">
        <v>59</v>
      </c>
      <c r="C30" s="100"/>
      <c r="D30" s="72">
        <v>30</v>
      </c>
      <c r="E30" s="81"/>
      <c r="F30" s="81">
        <v>0</v>
      </c>
      <c r="G30" s="79">
        <f t="shared" si="0"/>
        <v>0</v>
      </c>
      <c r="H30" s="101">
        <f t="shared" si="1"/>
        <v>0</v>
      </c>
      <c r="I30" s="79">
        <f t="shared" si="2"/>
        <v>0</v>
      </c>
      <c r="J30" s="76">
        <f t="shared" si="3"/>
        <v>0</v>
      </c>
      <c r="K30" s="79">
        <f t="shared" si="4"/>
        <v>0</v>
      </c>
      <c r="L30" s="101">
        <f t="shared" si="5"/>
        <v>0</v>
      </c>
      <c r="M30" s="79">
        <f t="shared" si="6"/>
        <v>0</v>
      </c>
      <c r="N30" s="79">
        <f t="shared" si="7"/>
        <v>0</v>
      </c>
      <c r="O30" s="79">
        <f t="shared" si="8"/>
        <v>0</v>
      </c>
      <c r="P30" s="72"/>
      <c r="Q30" s="79">
        <f t="shared" si="9"/>
        <v>0</v>
      </c>
      <c r="R30" s="79">
        <f t="shared" si="10"/>
        <v>0</v>
      </c>
      <c r="S30" s="101">
        <f t="shared" si="11"/>
        <v>0</v>
      </c>
      <c r="T30" s="79">
        <f t="shared" si="12"/>
        <v>0</v>
      </c>
      <c r="U30" s="79">
        <f t="shared" si="13"/>
        <v>0</v>
      </c>
      <c r="V30" s="79">
        <f t="shared" si="14"/>
        <v>0</v>
      </c>
      <c r="W30" s="72"/>
      <c r="X30" s="79">
        <f t="shared" si="15"/>
        <v>0</v>
      </c>
      <c r="Y30" s="79">
        <f t="shared" si="16"/>
        <v>0</v>
      </c>
      <c r="Z30" s="126">
        <f t="shared" si="17"/>
        <v>0</v>
      </c>
      <c r="AA30" s="154" t="str">
        <f t="shared" si="18"/>
        <v>OK</v>
      </c>
    </row>
    <row r="31" spans="1:27" ht="13.5" customHeight="1">
      <c r="A31" s="117"/>
      <c r="B31" s="98" t="s">
        <v>59</v>
      </c>
      <c r="C31" s="100"/>
      <c r="D31" s="72">
        <v>30</v>
      </c>
      <c r="E31" s="81"/>
      <c r="F31" s="81">
        <v>0</v>
      </c>
      <c r="G31" s="79">
        <f t="shared" si="0"/>
        <v>0</v>
      </c>
      <c r="H31" s="101">
        <f t="shared" si="1"/>
        <v>0</v>
      </c>
      <c r="I31" s="79">
        <f t="shared" si="2"/>
        <v>0</v>
      </c>
      <c r="J31" s="76">
        <f t="shared" si="3"/>
        <v>0</v>
      </c>
      <c r="K31" s="79">
        <f t="shared" si="4"/>
        <v>0</v>
      </c>
      <c r="L31" s="101">
        <f t="shared" si="5"/>
        <v>0</v>
      </c>
      <c r="M31" s="79">
        <f t="shared" si="6"/>
        <v>0</v>
      </c>
      <c r="N31" s="79">
        <f t="shared" si="7"/>
        <v>0</v>
      </c>
      <c r="O31" s="79">
        <f t="shared" si="8"/>
        <v>0</v>
      </c>
      <c r="P31" s="72"/>
      <c r="Q31" s="79">
        <f t="shared" si="9"/>
        <v>0</v>
      </c>
      <c r="R31" s="79">
        <f t="shared" si="10"/>
        <v>0</v>
      </c>
      <c r="S31" s="101">
        <f t="shared" si="11"/>
        <v>0</v>
      </c>
      <c r="T31" s="79">
        <f t="shared" si="12"/>
        <v>0</v>
      </c>
      <c r="U31" s="79">
        <f t="shared" si="13"/>
        <v>0</v>
      </c>
      <c r="V31" s="79">
        <f t="shared" si="14"/>
        <v>0</v>
      </c>
      <c r="W31" s="72"/>
      <c r="X31" s="79">
        <f t="shared" si="15"/>
        <v>0</v>
      </c>
      <c r="Y31" s="79">
        <f t="shared" si="16"/>
        <v>0</v>
      </c>
      <c r="Z31" s="126">
        <f t="shared" si="17"/>
        <v>0</v>
      </c>
      <c r="AA31" s="154" t="str">
        <f t="shared" si="18"/>
        <v>OK</v>
      </c>
    </row>
    <row r="32" spans="1:27" ht="12" customHeight="1">
      <c r="A32" s="117"/>
      <c r="B32" s="98" t="s">
        <v>59</v>
      </c>
      <c r="C32" s="100"/>
      <c r="D32" s="72">
        <v>30</v>
      </c>
      <c r="E32" s="81"/>
      <c r="F32" s="81">
        <v>0</v>
      </c>
      <c r="G32" s="79">
        <f t="shared" si="0"/>
        <v>0</v>
      </c>
      <c r="H32" s="101">
        <f t="shared" si="1"/>
        <v>0</v>
      </c>
      <c r="I32" s="79">
        <f t="shared" si="2"/>
        <v>0</v>
      </c>
      <c r="J32" s="76">
        <f t="shared" si="3"/>
        <v>0</v>
      </c>
      <c r="K32" s="79">
        <f t="shared" si="4"/>
        <v>0</v>
      </c>
      <c r="L32" s="101">
        <f t="shared" si="5"/>
        <v>0</v>
      </c>
      <c r="M32" s="79">
        <f t="shared" si="6"/>
        <v>0</v>
      </c>
      <c r="N32" s="79">
        <f t="shared" si="7"/>
        <v>0</v>
      </c>
      <c r="O32" s="79">
        <f t="shared" si="8"/>
        <v>0</v>
      </c>
      <c r="P32" s="72"/>
      <c r="Q32" s="79">
        <f t="shared" si="9"/>
        <v>0</v>
      </c>
      <c r="R32" s="79">
        <f t="shared" si="10"/>
        <v>0</v>
      </c>
      <c r="S32" s="101">
        <f t="shared" si="11"/>
        <v>0</v>
      </c>
      <c r="T32" s="79">
        <f t="shared" si="12"/>
        <v>0</v>
      </c>
      <c r="U32" s="79">
        <f t="shared" si="13"/>
        <v>0</v>
      </c>
      <c r="V32" s="79">
        <f t="shared" si="14"/>
        <v>0</v>
      </c>
      <c r="W32" s="72"/>
      <c r="X32" s="79">
        <f t="shared" si="15"/>
        <v>0</v>
      </c>
      <c r="Y32" s="79">
        <f t="shared" si="16"/>
        <v>0</v>
      </c>
      <c r="Z32" s="126">
        <f t="shared" si="17"/>
        <v>0</v>
      </c>
      <c r="AA32" s="154" t="str">
        <f t="shared" si="18"/>
        <v>OK</v>
      </c>
    </row>
    <row r="33" spans="1:27" ht="12" customHeight="1">
      <c r="A33" s="117"/>
      <c r="B33" s="98" t="s">
        <v>59</v>
      </c>
      <c r="C33" s="100"/>
      <c r="D33" s="72">
        <v>30</v>
      </c>
      <c r="E33" s="81"/>
      <c r="F33" s="81">
        <v>0</v>
      </c>
      <c r="G33" s="79">
        <f t="shared" si="0"/>
        <v>0</v>
      </c>
      <c r="H33" s="101">
        <f t="shared" si="1"/>
        <v>0</v>
      </c>
      <c r="I33" s="79">
        <f t="shared" si="2"/>
        <v>0</v>
      </c>
      <c r="J33" s="76">
        <f t="shared" si="3"/>
        <v>0</v>
      </c>
      <c r="K33" s="79">
        <f t="shared" si="4"/>
        <v>0</v>
      </c>
      <c r="L33" s="101">
        <f t="shared" si="5"/>
        <v>0</v>
      </c>
      <c r="M33" s="79">
        <f t="shared" si="6"/>
        <v>0</v>
      </c>
      <c r="N33" s="79">
        <f t="shared" si="7"/>
        <v>0</v>
      </c>
      <c r="O33" s="79">
        <f t="shared" si="8"/>
        <v>0</v>
      </c>
      <c r="P33" s="72"/>
      <c r="Q33" s="79">
        <f t="shared" si="9"/>
        <v>0</v>
      </c>
      <c r="R33" s="79">
        <f t="shared" si="10"/>
        <v>0</v>
      </c>
      <c r="S33" s="101">
        <f t="shared" si="11"/>
        <v>0</v>
      </c>
      <c r="T33" s="79">
        <f t="shared" si="12"/>
        <v>0</v>
      </c>
      <c r="U33" s="79">
        <f t="shared" si="13"/>
        <v>0</v>
      </c>
      <c r="V33" s="79">
        <f t="shared" si="14"/>
        <v>0</v>
      </c>
      <c r="W33" s="72"/>
      <c r="X33" s="79">
        <f t="shared" si="15"/>
        <v>0</v>
      </c>
      <c r="Y33" s="79">
        <f t="shared" si="16"/>
        <v>0</v>
      </c>
      <c r="Z33" s="126">
        <f t="shared" si="17"/>
        <v>0</v>
      </c>
      <c r="AA33" s="154" t="str">
        <f t="shared" si="18"/>
        <v>OK</v>
      </c>
    </row>
    <row r="34" spans="1:27" ht="12" customHeight="1">
      <c r="A34" s="117"/>
      <c r="B34" s="98" t="s">
        <v>59</v>
      </c>
      <c r="C34" s="100"/>
      <c r="D34" s="72">
        <v>30</v>
      </c>
      <c r="E34" s="81"/>
      <c r="F34" s="81">
        <v>0</v>
      </c>
      <c r="G34" s="79">
        <f t="shared" si="0"/>
        <v>0</v>
      </c>
      <c r="H34" s="101">
        <f t="shared" si="1"/>
        <v>0</v>
      </c>
      <c r="I34" s="79">
        <f t="shared" si="2"/>
        <v>0</v>
      </c>
      <c r="J34" s="76">
        <f t="shared" si="3"/>
        <v>0</v>
      </c>
      <c r="K34" s="79">
        <f t="shared" si="4"/>
        <v>0</v>
      </c>
      <c r="L34" s="101">
        <f t="shared" si="5"/>
        <v>0</v>
      </c>
      <c r="M34" s="79">
        <f t="shared" si="6"/>
        <v>0</v>
      </c>
      <c r="N34" s="79">
        <f t="shared" si="7"/>
        <v>0</v>
      </c>
      <c r="O34" s="79">
        <f t="shared" si="8"/>
        <v>0</v>
      </c>
      <c r="P34" s="72"/>
      <c r="Q34" s="79">
        <f t="shared" si="9"/>
        <v>0</v>
      </c>
      <c r="R34" s="79">
        <f t="shared" si="10"/>
        <v>0</v>
      </c>
      <c r="S34" s="101">
        <f t="shared" si="11"/>
        <v>0</v>
      </c>
      <c r="T34" s="79">
        <f t="shared" si="12"/>
        <v>0</v>
      </c>
      <c r="U34" s="79">
        <f t="shared" si="13"/>
        <v>0</v>
      </c>
      <c r="V34" s="79">
        <f t="shared" si="14"/>
        <v>0</v>
      </c>
      <c r="W34" s="72"/>
      <c r="X34" s="79">
        <f t="shared" si="15"/>
        <v>0</v>
      </c>
      <c r="Y34" s="79">
        <f t="shared" si="16"/>
        <v>0</v>
      </c>
      <c r="Z34" s="126">
        <f t="shared" si="17"/>
        <v>0</v>
      </c>
      <c r="AA34" s="154" t="str">
        <f t="shared" si="18"/>
        <v>OK</v>
      </c>
    </row>
    <row r="35" spans="1:27" ht="12" customHeight="1">
      <c r="A35" s="117"/>
      <c r="B35" s="98" t="s">
        <v>59</v>
      </c>
      <c r="C35" s="100"/>
      <c r="D35" s="72">
        <v>30</v>
      </c>
      <c r="E35" s="81"/>
      <c r="F35" s="81">
        <v>0</v>
      </c>
      <c r="G35" s="79">
        <f t="shared" si="0"/>
        <v>0</v>
      </c>
      <c r="H35" s="101">
        <f t="shared" si="1"/>
        <v>0</v>
      </c>
      <c r="I35" s="79">
        <f t="shared" si="2"/>
        <v>0</v>
      </c>
      <c r="J35" s="76">
        <f t="shared" si="3"/>
        <v>0</v>
      </c>
      <c r="K35" s="79">
        <f t="shared" si="4"/>
        <v>0</v>
      </c>
      <c r="L35" s="101">
        <f t="shared" si="5"/>
        <v>0</v>
      </c>
      <c r="M35" s="79">
        <f t="shared" si="6"/>
        <v>0</v>
      </c>
      <c r="N35" s="79">
        <f t="shared" si="7"/>
        <v>0</v>
      </c>
      <c r="O35" s="79">
        <f t="shared" si="8"/>
        <v>0</v>
      </c>
      <c r="P35" s="72"/>
      <c r="Q35" s="79">
        <f t="shared" si="9"/>
        <v>0</v>
      </c>
      <c r="R35" s="79">
        <f t="shared" si="10"/>
        <v>0</v>
      </c>
      <c r="S35" s="101">
        <f t="shared" si="11"/>
        <v>0</v>
      </c>
      <c r="T35" s="79">
        <f t="shared" si="12"/>
        <v>0</v>
      </c>
      <c r="U35" s="79">
        <f t="shared" si="13"/>
        <v>0</v>
      </c>
      <c r="V35" s="79">
        <f t="shared" si="14"/>
        <v>0</v>
      </c>
      <c r="W35" s="72"/>
      <c r="X35" s="79">
        <f t="shared" si="15"/>
        <v>0</v>
      </c>
      <c r="Y35" s="79">
        <f t="shared" si="16"/>
        <v>0</v>
      </c>
      <c r="Z35" s="126">
        <f t="shared" si="17"/>
        <v>0</v>
      </c>
      <c r="AA35" s="154" t="str">
        <f t="shared" si="18"/>
        <v>OK</v>
      </c>
    </row>
    <row r="36" spans="1:27" ht="12.75">
      <c r="A36" s="117"/>
      <c r="B36" s="98" t="s">
        <v>59</v>
      </c>
      <c r="C36" s="100"/>
      <c r="D36" s="72">
        <v>30</v>
      </c>
      <c r="E36" s="81"/>
      <c r="F36" s="81">
        <v>0</v>
      </c>
      <c r="G36" s="79">
        <f t="shared" si="0"/>
        <v>0</v>
      </c>
      <c r="H36" s="101">
        <f t="shared" si="1"/>
        <v>0</v>
      </c>
      <c r="I36" s="79">
        <f t="shared" si="2"/>
        <v>0</v>
      </c>
      <c r="J36" s="76">
        <f t="shared" si="3"/>
        <v>0</v>
      </c>
      <c r="K36" s="79">
        <f t="shared" si="4"/>
        <v>0</v>
      </c>
      <c r="L36" s="101">
        <f t="shared" si="5"/>
        <v>0</v>
      </c>
      <c r="M36" s="79">
        <f t="shared" si="6"/>
        <v>0</v>
      </c>
      <c r="N36" s="79">
        <f t="shared" si="7"/>
        <v>0</v>
      </c>
      <c r="O36" s="79">
        <f t="shared" si="8"/>
        <v>0</v>
      </c>
      <c r="P36" s="72"/>
      <c r="Q36" s="79">
        <f t="shared" si="9"/>
        <v>0</v>
      </c>
      <c r="R36" s="79">
        <f t="shared" si="10"/>
        <v>0</v>
      </c>
      <c r="S36" s="101">
        <f t="shared" si="11"/>
        <v>0</v>
      </c>
      <c r="T36" s="79">
        <f t="shared" si="12"/>
        <v>0</v>
      </c>
      <c r="U36" s="79">
        <f t="shared" si="13"/>
        <v>0</v>
      </c>
      <c r="V36" s="79">
        <f t="shared" si="14"/>
        <v>0</v>
      </c>
      <c r="W36" s="72"/>
      <c r="X36" s="79">
        <f t="shared" si="15"/>
        <v>0</v>
      </c>
      <c r="Y36" s="79">
        <f t="shared" si="16"/>
        <v>0</v>
      </c>
      <c r="Z36" s="126">
        <f t="shared" si="17"/>
        <v>0</v>
      </c>
      <c r="AA36" s="154" t="str">
        <f t="shared" si="18"/>
        <v>OK</v>
      </c>
    </row>
    <row r="37" spans="1:27" ht="12.75">
      <c r="A37" s="117"/>
      <c r="B37" s="98" t="s">
        <v>59</v>
      </c>
      <c r="C37" s="100"/>
      <c r="D37" s="72">
        <v>30</v>
      </c>
      <c r="E37" s="81"/>
      <c r="F37" s="81">
        <v>0</v>
      </c>
      <c r="G37" s="79">
        <f t="shared" si="0"/>
        <v>0</v>
      </c>
      <c r="H37" s="101">
        <f t="shared" si="1"/>
        <v>0</v>
      </c>
      <c r="I37" s="79">
        <f t="shared" si="2"/>
        <v>0</v>
      </c>
      <c r="J37" s="76">
        <f t="shared" si="3"/>
        <v>0</v>
      </c>
      <c r="K37" s="79">
        <f t="shared" si="4"/>
        <v>0</v>
      </c>
      <c r="L37" s="101">
        <f t="shared" si="5"/>
        <v>0</v>
      </c>
      <c r="M37" s="79">
        <f t="shared" si="6"/>
        <v>0</v>
      </c>
      <c r="N37" s="79">
        <f t="shared" si="7"/>
        <v>0</v>
      </c>
      <c r="O37" s="79">
        <f t="shared" si="8"/>
        <v>0</v>
      </c>
      <c r="P37" s="72"/>
      <c r="Q37" s="79">
        <f t="shared" si="9"/>
        <v>0</v>
      </c>
      <c r="R37" s="79">
        <f t="shared" si="10"/>
        <v>0</v>
      </c>
      <c r="S37" s="101">
        <f t="shared" si="11"/>
        <v>0</v>
      </c>
      <c r="T37" s="79">
        <f t="shared" si="12"/>
        <v>0</v>
      </c>
      <c r="U37" s="79">
        <f t="shared" si="13"/>
        <v>0</v>
      </c>
      <c r="V37" s="79">
        <f t="shared" si="14"/>
        <v>0</v>
      </c>
      <c r="W37" s="72"/>
      <c r="X37" s="79">
        <f t="shared" si="15"/>
        <v>0</v>
      </c>
      <c r="Y37" s="79">
        <f t="shared" si="16"/>
        <v>0</v>
      </c>
      <c r="Z37" s="126">
        <f t="shared" si="17"/>
        <v>0</v>
      </c>
      <c r="AA37" s="154" t="str">
        <f t="shared" si="18"/>
        <v>OK</v>
      </c>
    </row>
    <row r="38" spans="1:27" ht="12.75">
      <c r="A38" s="117"/>
      <c r="B38" s="98" t="s">
        <v>59</v>
      </c>
      <c r="C38" s="100"/>
      <c r="D38" s="72">
        <v>30</v>
      </c>
      <c r="E38" s="81"/>
      <c r="F38" s="81">
        <v>0</v>
      </c>
      <c r="G38" s="79">
        <f t="shared" si="0"/>
        <v>0</v>
      </c>
      <c r="H38" s="101">
        <f t="shared" si="1"/>
        <v>0</v>
      </c>
      <c r="I38" s="102">
        <f t="shared" si="2"/>
        <v>0</v>
      </c>
      <c r="J38" s="76">
        <f t="shared" si="3"/>
        <v>0</v>
      </c>
      <c r="K38" s="92">
        <f t="shared" si="4"/>
        <v>0</v>
      </c>
      <c r="L38" s="103">
        <f t="shared" si="5"/>
        <v>0</v>
      </c>
      <c r="M38" s="102">
        <f t="shared" si="6"/>
        <v>0</v>
      </c>
      <c r="N38" s="92">
        <f t="shared" si="7"/>
        <v>0</v>
      </c>
      <c r="O38" s="92">
        <f t="shared" si="8"/>
        <v>0</v>
      </c>
      <c r="P38" s="72"/>
      <c r="Q38" s="92">
        <f t="shared" si="9"/>
        <v>0</v>
      </c>
      <c r="R38" s="92">
        <f t="shared" si="10"/>
        <v>0</v>
      </c>
      <c r="S38" s="103">
        <f t="shared" si="11"/>
        <v>0</v>
      </c>
      <c r="T38" s="102">
        <f t="shared" si="12"/>
        <v>0</v>
      </c>
      <c r="U38" s="92">
        <f t="shared" si="13"/>
        <v>0</v>
      </c>
      <c r="V38" s="92">
        <f t="shared" si="14"/>
        <v>0</v>
      </c>
      <c r="W38" s="72"/>
      <c r="X38" s="92">
        <f t="shared" si="15"/>
        <v>0</v>
      </c>
      <c r="Y38" s="92">
        <f t="shared" si="16"/>
        <v>0</v>
      </c>
      <c r="Z38" s="127">
        <f t="shared" si="17"/>
        <v>0</v>
      </c>
      <c r="AA38" s="154" t="str">
        <f t="shared" si="18"/>
        <v>OK</v>
      </c>
    </row>
    <row r="39" spans="1:27" ht="12.75">
      <c r="A39" s="114"/>
      <c r="D39" s="69"/>
      <c r="E39" s="69"/>
      <c r="F39" s="78"/>
      <c r="G39" s="78"/>
      <c r="H39" s="97"/>
      <c r="I39" s="79"/>
      <c r="J39" s="79"/>
      <c r="K39" s="79"/>
      <c r="L39" s="101"/>
      <c r="M39" s="79"/>
      <c r="N39" s="79"/>
      <c r="O39" s="79"/>
      <c r="P39" s="79"/>
      <c r="Q39" s="79"/>
      <c r="R39" s="79"/>
      <c r="S39" s="101"/>
      <c r="T39" s="79"/>
      <c r="U39" s="79"/>
      <c r="V39" s="79"/>
      <c r="W39" s="79"/>
      <c r="X39" s="79"/>
      <c r="Y39" s="79"/>
      <c r="Z39" s="126"/>
      <c r="AA39" s="153"/>
    </row>
    <row r="40" spans="1:27" ht="13.5" thickBot="1">
      <c r="A40" s="118" t="s">
        <v>62</v>
      </c>
      <c r="B40" s="61"/>
      <c r="C40" s="61"/>
      <c r="D40" s="69"/>
      <c r="E40" s="69"/>
      <c r="F40" s="78"/>
      <c r="G40" s="78"/>
      <c r="H40" s="97"/>
      <c r="I40" s="80">
        <f>SUM(I8:I38)</f>
        <v>389549</v>
      </c>
      <c r="J40" s="79"/>
      <c r="K40" s="80">
        <f>SUM(K8:K38)</f>
        <v>-54602.65092402464</v>
      </c>
      <c r="L40" s="104">
        <f>SUM(L8:L38)</f>
        <v>334946.34907597536</v>
      </c>
      <c r="M40" s="80">
        <f>SUM(M8:M38)</f>
        <v>0</v>
      </c>
      <c r="N40" s="80">
        <f>SUM(N8:N38)</f>
        <v>0</v>
      </c>
      <c r="O40" s="80">
        <f aca="true" t="shared" si="19" ref="O40:U40">SUM(O8:O38)</f>
        <v>389549</v>
      </c>
      <c r="P40" s="79"/>
      <c r="Q40" s="80">
        <f t="shared" si="19"/>
        <v>-9738.724999999999</v>
      </c>
      <c r="R40" s="80">
        <f t="shared" si="19"/>
        <v>-64341.375924024636</v>
      </c>
      <c r="S40" s="104">
        <f t="shared" si="19"/>
        <v>325207.6240759754</v>
      </c>
      <c r="T40" s="80">
        <f t="shared" si="19"/>
        <v>0</v>
      </c>
      <c r="U40" s="80">
        <f t="shared" si="19"/>
        <v>0</v>
      </c>
      <c r="V40" s="80">
        <f>SUM(V8:V38)</f>
        <v>389549</v>
      </c>
      <c r="W40" s="79"/>
      <c r="X40" s="80">
        <f>SUM(X8:X38)</f>
        <v>-9738.724999999999</v>
      </c>
      <c r="Y40" s="80">
        <f>SUM(Y8:Y38)</f>
        <v>-74080.10092402463</v>
      </c>
      <c r="Z40" s="128">
        <f>SUM(Z8:Z38)</f>
        <v>315468.89907597535</v>
      </c>
      <c r="AA40" s="153"/>
    </row>
    <row r="41" spans="1:27" ht="14.25" thickBot="1" thickTop="1">
      <c r="A41" s="122"/>
      <c r="B41" s="119"/>
      <c r="C41" s="119"/>
      <c r="D41" s="120"/>
      <c r="E41" s="120"/>
      <c r="F41" s="121"/>
      <c r="G41" s="121"/>
      <c r="H41" s="90"/>
      <c r="I41" s="90"/>
      <c r="J41" s="90"/>
      <c r="K41" s="90"/>
      <c r="L41" s="90"/>
      <c r="M41" s="91"/>
      <c r="N41" s="91"/>
      <c r="O41" s="91"/>
      <c r="P41" s="91"/>
      <c r="Q41" s="91"/>
      <c r="R41" s="91"/>
      <c r="S41" s="91"/>
      <c r="T41" s="91"/>
      <c r="U41" s="91"/>
      <c r="V41" s="91"/>
      <c r="W41" s="91"/>
      <c r="X41" s="91"/>
      <c r="Y41" s="91"/>
      <c r="Z41" s="129"/>
      <c r="AA41" s="155"/>
    </row>
    <row r="42" spans="4:26" ht="12.75">
      <c r="D42" s="69"/>
      <c r="E42" s="69"/>
      <c r="F42" s="78"/>
      <c r="G42" s="78"/>
      <c r="H42" s="79"/>
      <c r="I42" s="79"/>
      <c r="J42" s="79"/>
      <c r="K42" s="79"/>
      <c r="L42" s="79"/>
      <c r="M42" s="59"/>
      <c r="N42" s="59"/>
      <c r="O42" s="59"/>
      <c r="P42" s="59"/>
      <c r="Q42" s="59"/>
      <c r="R42" s="59"/>
      <c r="S42" s="59"/>
      <c r="T42" s="59"/>
      <c r="U42" s="59"/>
      <c r="V42" s="59"/>
      <c r="W42" s="59"/>
      <c r="X42" s="59"/>
      <c r="Y42" s="59"/>
      <c r="Z42" s="59"/>
    </row>
    <row r="43" spans="4:26" ht="12.75">
      <c r="D43" s="69"/>
      <c r="E43" s="69"/>
      <c r="F43" s="78"/>
      <c r="G43" s="78"/>
      <c r="H43" s="79"/>
      <c r="I43" s="79"/>
      <c r="J43" s="79"/>
      <c r="K43" s="79"/>
      <c r="L43" s="79"/>
      <c r="M43" s="59"/>
      <c r="N43" s="59"/>
      <c r="O43" s="59"/>
      <c r="P43" s="59"/>
      <c r="Q43" s="59"/>
      <c r="R43" s="59"/>
      <c r="S43" s="59"/>
      <c r="T43" s="59"/>
      <c r="U43" s="59"/>
      <c r="V43" s="59"/>
      <c r="W43" s="59"/>
      <c r="X43" s="59"/>
      <c r="Y43" s="59"/>
      <c r="Z43" s="59"/>
    </row>
    <row r="44" spans="4:26" ht="12.75">
      <c r="D44" s="69"/>
      <c r="E44" s="69"/>
      <c r="F44" s="78"/>
      <c r="G44" s="78"/>
      <c r="H44" s="79"/>
      <c r="I44" s="79"/>
      <c r="J44" s="79"/>
      <c r="K44" s="79"/>
      <c r="L44" s="79"/>
      <c r="M44" s="59"/>
      <c r="N44" s="59"/>
      <c r="O44" s="59"/>
      <c r="P44" s="59"/>
      <c r="Q44" s="59"/>
      <c r="R44" s="59"/>
      <c r="S44" s="59"/>
      <c r="T44" s="59"/>
      <c r="U44" s="59"/>
      <c r="V44" s="59"/>
      <c r="W44" s="59"/>
      <c r="X44" s="59"/>
      <c r="Y44" s="59"/>
      <c r="Z44" s="59"/>
    </row>
    <row r="45" spans="4:26" ht="12.75">
      <c r="D45" s="69"/>
      <c r="E45" s="69"/>
      <c r="F45" s="78"/>
      <c r="G45" s="78"/>
      <c r="H45" s="79"/>
      <c r="I45" s="79"/>
      <c r="J45" s="79"/>
      <c r="K45" s="79"/>
      <c r="L45" s="79"/>
      <c r="M45" s="59"/>
      <c r="N45" s="59"/>
      <c r="O45" s="59"/>
      <c r="P45" s="59"/>
      <c r="Q45" s="59"/>
      <c r="R45" s="59"/>
      <c r="S45" s="59"/>
      <c r="T45" s="59"/>
      <c r="U45" s="59"/>
      <c r="V45" s="59"/>
      <c r="W45" s="59"/>
      <c r="X45" s="59"/>
      <c r="Y45" s="59"/>
      <c r="Z45" s="59"/>
    </row>
    <row r="46" spans="4:26" ht="12.75">
      <c r="D46" s="69"/>
      <c r="E46" s="69"/>
      <c r="F46" s="78"/>
      <c r="G46" s="78"/>
      <c r="H46" s="79"/>
      <c r="I46" s="79"/>
      <c r="J46" s="79"/>
      <c r="K46" s="79"/>
      <c r="L46" s="79"/>
      <c r="M46" s="59"/>
      <c r="N46" s="59"/>
      <c r="O46" s="59"/>
      <c r="P46" s="59"/>
      <c r="Q46" s="59"/>
      <c r="R46" s="59"/>
      <c r="S46" s="59"/>
      <c r="T46" s="59"/>
      <c r="U46" s="59"/>
      <c r="V46" s="59"/>
      <c r="W46" s="59"/>
      <c r="X46" s="59"/>
      <c r="Y46" s="59"/>
      <c r="Z46" s="59"/>
    </row>
    <row r="47" spans="4:12" ht="12.75">
      <c r="D47" s="69"/>
      <c r="E47" s="69"/>
      <c r="F47" s="78"/>
      <c r="G47" s="78"/>
      <c r="H47" s="78"/>
      <c r="I47" s="78"/>
      <c r="J47" s="78"/>
      <c r="K47" s="78"/>
      <c r="L47" s="78"/>
    </row>
    <row r="48" spans="4:12" ht="12.75">
      <c r="D48" s="69"/>
      <c r="E48" s="69"/>
      <c r="F48" s="78"/>
      <c r="G48" s="78"/>
      <c r="H48" s="78"/>
      <c r="I48" s="78"/>
      <c r="J48" s="78"/>
      <c r="K48" s="78"/>
      <c r="L48" s="78"/>
    </row>
    <row r="49" spans="4:12" ht="12.75">
      <c r="D49" s="69"/>
      <c r="E49" s="69"/>
      <c r="F49" s="78"/>
      <c r="G49" s="78"/>
      <c r="H49" s="78"/>
      <c r="I49" s="78"/>
      <c r="J49" s="78"/>
      <c r="K49" s="78"/>
      <c r="L49" s="78"/>
    </row>
    <row r="50" spans="4:12" ht="12.75">
      <c r="D50" s="69"/>
      <c r="E50" s="69"/>
      <c r="F50" s="78"/>
      <c r="G50" s="78"/>
      <c r="H50" s="78"/>
      <c r="I50" s="78"/>
      <c r="J50" s="78"/>
      <c r="K50" s="78"/>
      <c r="L50" s="78"/>
    </row>
    <row r="51" spans="4:12" ht="12.75">
      <c r="D51" s="69"/>
      <c r="E51" s="69"/>
      <c r="F51" s="78"/>
      <c r="G51" s="78"/>
      <c r="H51" s="78"/>
      <c r="I51" s="78"/>
      <c r="J51" s="78"/>
      <c r="K51" s="78"/>
      <c r="L51" s="78"/>
    </row>
    <row r="52" spans="4:12" ht="12.75">
      <c r="D52" s="69"/>
      <c r="E52" s="69"/>
      <c r="F52" s="78"/>
      <c r="G52" s="78"/>
      <c r="H52" s="78"/>
      <c r="I52" s="78"/>
      <c r="J52" s="78"/>
      <c r="K52" s="78"/>
      <c r="L52" s="78"/>
    </row>
    <row r="53" spans="4:12" ht="12.75">
      <c r="D53" s="69"/>
      <c r="E53" s="69"/>
      <c r="F53" s="78"/>
      <c r="G53" s="78"/>
      <c r="H53" s="78"/>
      <c r="I53" s="78"/>
      <c r="J53" s="78"/>
      <c r="K53" s="78"/>
      <c r="L53" s="78"/>
    </row>
    <row r="54" spans="4:12" ht="12.75">
      <c r="D54" s="69"/>
      <c r="E54" s="69"/>
      <c r="F54" s="78"/>
      <c r="G54" s="78"/>
      <c r="H54" s="78"/>
      <c r="I54" s="78"/>
      <c r="J54" s="78"/>
      <c r="K54" s="78"/>
      <c r="L54" s="78"/>
    </row>
    <row r="55" spans="4:12" ht="12.75">
      <c r="D55" s="69"/>
      <c r="E55" s="69"/>
      <c r="F55" s="78"/>
      <c r="G55" s="78"/>
      <c r="H55" s="78"/>
      <c r="I55" s="78"/>
      <c r="J55" s="78"/>
      <c r="K55" s="78"/>
      <c r="L55" s="78"/>
    </row>
    <row r="56" spans="4:12" ht="12.75">
      <c r="D56" s="69"/>
      <c r="E56" s="69"/>
      <c r="F56" s="78"/>
      <c r="G56" s="78"/>
      <c r="H56" s="78"/>
      <c r="I56" s="78"/>
      <c r="J56" s="78"/>
      <c r="K56" s="78"/>
      <c r="L56" s="78"/>
    </row>
    <row r="57" spans="4:12" ht="12.75">
      <c r="D57" s="69"/>
      <c r="E57" s="69"/>
      <c r="F57" s="78"/>
      <c r="G57" s="78"/>
      <c r="H57" s="78"/>
      <c r="I57" s="78"/>
      <c r="J57" s="78"/>
      <c r="K57" s="78"/>
      <c r="L57" s="78"/>
    </row>
    <row r="58" spans="4:12" ht="12.75">
      <c r="D58" s="69"/>
      <c r="E58" s="69"/>
      <c r="F58" s="78"/>
      <c r="G58" s="78"/>
      <c r="H58" s="78"/>
      <c r="I58" s="78"/>
      <c r="J58" s="78"/>
      <c r="K58" s="78"/>
      <c r="L58" s="78"/>
    </row>
    <row r="59" spans="4:12" ht="12.75">
      <c r="D59" s="69"/>
      <c r="E59" s="69"/>
      <c r="F59" s="78"/>
      <c r="G59" s="78"/>
      <c r="H59" s="78"/>
      <c r="I59" s="78"/>
      <c r="J59" s="78"/>
      <c r="K59" s="78"/>
      <c r="L59" s="78"/>
    </row>
    <row r="60" spans="4:12" ht="12.75">
      <c r="D60" s="69"/>
      <c r="E60" s="69"/>
      <c r="F60" s="78"/>
      <c r="G60" s="78"/>
      <c r="H60" s="78"/>
      <c r="I60" s="78"/>
      <c r="J60" s="78"/>
      <c r="K60" s="78"/>
      <c r="L60" s="78"/>
    </row>
    <row r="61" spans="4:12" ht="12.75">
      <c r="D61" s="69"/>
      <c r="E61" s="69"/>
      <c r="F61" s="78"/>
      <c r="G61" s="78"/>
      <c r="H61" s="78"/>
      <c r="I61" s="78"/>
      <c r="J61" s="78"/>
      <c r="K61" s="78"/>
      <c r="L61" s="78"/>
    </row>
    <row r="62" spans="4:12" ht="12.75">
      <c r="D62" s="69"/>
      <c r="E62" s="69"/>
      <c r="F62" s="78"/>
      <c r="G62" s="78"/>
      <c r="H62" s="78"/>
      <c r="I62" s="78"/>
      <c r="J62" s="78"/>
      <c r="K62" s="78"/>
      <c r="L62" s="78"/>
    </row>
    <row r="63" spans="4:12" ht="12.75">
      <c r="D63" s="69"/>
      <c r="E63" s="69"/>
      <c r="F63" s="78"/>
      <c r="G63" s="78"/>
      <c r="H63" s="78"/>
      <c r="I63" s="78"/>
      <c r="J63" s="78"/>
      <c r="K63" s="78"/>
      <c r="L63" s="78"/>
    </row>
    <row r="64" spans="4:12" ht="12.75">
      <c r="D64" s="69"/>
      <c r="E64" s="69"/>
      <c r="F64" s="78"/>
      <c r="G64" s="78"/>
      <c r="H64" s="78"/>
      <c r="I64" s="78"/>
      <c r="J64" s="78"/>
      <c r="K64" s="78"/>
      <c r="L64" s="78"/>
    </row>
    <row r="65" spans="4:12" ht="12.75">
      <c r="D65" s="69"/>
      <c r="E65" s="69"/>
      <c r="F65" s="78"/>
      <c r="G65" s="78"/>
      <c r="H65" s="78"/>
      <c r="I65" s="78"/>
      <c r="J65" s="78"/>
      <c r="K65" s="78"/>
      <c r="L65" s="78"/>
    </row>
    <row r="66" spans="4:12" ht="12.75">
      <c r="D66" s="69"/>
      <c r="E66" s="69"/>
      <c r="F66" s="78"/>
      <c r="G66" s="78"/>
      <c r="H66" s="78"/>
      <c r="I66" s="78"/>
      <c r="J66" s="78"/>
      <c r="K66" s="78"/>
      <c r="L66" s="78"/>
    </row>
    <row r="67" spans="4:12" ht="12.75">
      <c r="D67" s="69"/>
      <c r="E67" s="69"/>
      <c r="F67" s="78"/>
      <c r="G67" s="78"/>
      <c r="H67" s="78"/>
      <c r="I67" s="78"/>
      <c r="J67" s="78"/>
      <c r="K67" s="78"/>
      <c r="L67" s="78"/>
    </row>
    <row r="68" spans="4:12" ht="12.75">
      <c r="D68" s="69"/>
      <c r="E68" s="69"/>
      <c r="F68" s="78"/>
      <c r="G68" s="78"/>
      <c r="H68" s="78"/>
      <c r="I68" s="78"/>
      <c r="J68" s="78"/>
      <c r="K68" s="78"/>
      <c r="L68" s="78"/>
    </row>
    <row r="69" spans="4:12" ht="12.75">
      <c r="D69" s="78"/>
      <c r="E69" s="78"/>
      <c r="F69" s="78"/>
      <c r="G69" s="78"/>
      <c r="H69" s="78"/>
      <c r="I69" s="78"/>
      <c r="J69" s="78"/>
      <c r="K69" s="78"/>
      <c r="L69" s="78"/>
    </row>
    <row r="70" spans="4:12" ht="12.75">
      <c r="D70" s="78"/>
      <c r="E70" s="78"/>
      <c r="F70" s="78"/>
      <c r="G70" s="78"/>
      <c r="H70" s="78"/>
      <c r="I70" s="78"/>
      <c r="J70" s="78"/>
      <c r="K70" s="78"/>
      <c r="L70" s="78"/>
    </row>
    <row r="71" spans="4:12" ht="12.75">
      <c r="D71" s="78"/>
      <c r="E71" s="78"/>
      <c r="F71" s="78"/>
      <c r="G71" s="78"/>
      <c r="H71" s="78"/>
      <c r="I71" s="78"/>
      <c r="J71" s="78"/>
      <c r="K71" s="78"/>
      <c r="L71" s="78"/>
    </row>
    <row r="72" spans="4:12" ht="12.75">
      <c r="D72" s="78"/>
      <c r="E72" s="78"/>
      <c r="F72" s="78"/>
      <c r="G72" s="78"/>
      <c r="H72" s="78"/>
      <c r="I72" s="78"/>
      <c r="J72" s="78"/>
      <c r="K72" s="78"/>
      <c r="L72" s="78"/>
    </row>
    <row r="73" spans="4:12" ht="12.75">
      <c r="D73" s="78"/>
      <c r="E73" s="78"/>
      <c r="F73" s="78"/>
      <c r="G73" s="78"/>
      <c r="H73" s="78"/>
      <c r="I73" s="78"/>
      <c r="J73" s="78"/>
      <c r="K73" s="78"/>
      <c r="L73" s="78"/>
    </row>
    <row r="74" spans="4:12" ht="12.75">
      <c r="D74" s="78"/>
      <c r="E74" s="78"/>
      <c r="F74" s="78"/>
      <c r="G74" s="78"/>
      <c r="H74" s="78"/>
      <c r="I74" s="78"/>
      <c r="J74" s="78"/>
      <c r="K74" s="78"/>
      <c r="L74" s="78"/>
    </row>
    <row r="75" spans="4:12" ht="12.75">
      <c r="D75" s="78"/>
      <c r="E75" s="78"/>
      <c r="F75" s="78"/>
      <c r="G75" s="78"/>
      <c r="H75" s="78"/>
      <c r="I75" s="78"/>
      <c r="J75" s="78"/>
      <c r="K75" s="78"/>
      <c r="L75" s="78"/>
    </row>
    <row r="76" spans="4:12" ht="12.75">
      <c r="D76" s="78"/>
      <c r="E76" s="78"/>
      <c r="F76" s="78"/>
      <c r="G76" s="78"/>
      <c r="H76" s="78"/>
      <c r="I76" s="78"/>
      <c r="J76" s="78"/>
      <c r="K76" s="78"/>
      <c r="L76" s="78"/>
    </row>
    <row r="77" spans="4:12" ht="12.75">
      <c r="D77" s="78"/>
      <c r="E77" s="78"/>
      <c r="F77" s="78"/>
      <c r="G77" s="78"/>
      <c r="H77" s="78"/>
      <c r="I77" s="78"/>
      <c r="J77" s="78"/>
      <c r="K77" s="78"/>
      <c r="L77" s="78"/>
    </row>
    <row r="78" spans="4:12" ht="12.75">
      <c r="D78" s="78"/>
      <c r="E78" s="78"/>
      <c r="F78" s="78"/>
      <c r="G78" s="78"/>
      <c r="H78" s="78"/>
      <c r="I78" s="78"/>
      <c r="J78" s="78"/>
      <c r="K78" s="78"/>
      <c r="L78" s="78"/>
    </row>
    <row r="79" spans="4:12" ht="12.75">
      <c r="D79" s="78"/>
      <c r="E79" s="78"/>
      <c r="F79" s="78"/>
      <c r="G79" s="78"/>
      <c r="H79" s="78"/>
      <c r="I79" s="78"/>
      <c r="J79" s="78"/>
      <c r="K79" s="78"/>
      <c r="L79" s="78"/>
    </row>
    <row r="80" spans="4:12" ht="12.75">
      <c r="D80" s="78"/>
      <c r="E80" s="78"/>
      <c r="F80" s="78"/>
      <c r="G80" s="78"/>
      <c r="H80" s="78"/>
      <c r="I80" s="78"/>
      <c r="J80" s="78"/>
      <c r="K80" s="78"/>
      <c r="L80" s="78"/>
    </row>
    <row r="81" spans="4:12" ht="12.75">
      <c r="D81" s="78"/>
      <c r="E81" s="78"/>
      <c r="F81" s="78"/>
      <c r="G81" s="78"/>
      <c r="H81" s="78"/>
      <c r="I81" s="78"/>
      <c r="J81" s="78"/>
      <c r="K81" s="78"/>
      <c r="L81" s="78"/>
    </row>
    <row r="82" spans="4:12" ht="12.75">
      <c r="D82" s="78"/>
      <c r="E82" s="78"/>
      <c r="F82" s="78"/>
      <c r="G82" s="78"/>
      <c r="H82" s="78"/>
      <c r="I82" s="78"/>
      <c r="J82" s="78"/>
      <c r="K82" s="78"/>
      <c r="L82" s="78"/>
    </row>
    <row r="83" spans="4:12" ht="12.75">
      <c r="D83" s="78"/>
      <c r="E83" s="78"/>
      <c r="F83" s="78"/>
      <c r="G83" s="78"/>
      <c r="H83" s="78"/>
      <c r="I83" s="78"/>
      <c r="J83" s="78"/>
      <c r="K83" s="78"/>
      <c r="L83" s="78"/>
    </row>
    <row r="84" spans="4:12" ht="12.75">
      <c r="D84" s="78"/>
      <c r="E84" s="78"/>
      <c r="F84" s="78"/>
      <c r="G84" s="78"/>
      <c r="H84" s="78"/>
      <c r="I84" s="78"/>
      <c r="J84" s="78"/>
      <c r="K84" s="78"/>
      <c r="L84" s="78"/>
    </row>
    <row r="85" spans="4:12" ht="12.75">
      <c r="D85" s="78"/>
      <c r="E85" s="78"/>
      <c r="F85" s="78"/>
      <c r="G85" s="78"/>
      <c r="H85" s="78"/>
      <c r="I85" s="78"/>
      <c r="J85" s="78"/>
      <c r="K85" s="78"/>
      <c r="L85" s="78"/>
    </row>
    <row r="86" spans="4:12" ht="12.75">
      <c r="D86" s="78"/>
      <c r="E86" s="78"/>
      <c r="F86" s="78"/>
      <c r="G86" s="78"/>
      <c r="H86" s="78"/>
      <c r="I86" s="78"/>
      <c r="J86" s="78"/>
      <c r="K86" s="78"/>
      <c r="L86" s="78"/>
    </row>
    <row r="87" spans="4:12" ht="12.75">
      <c r="D87" s="78"/>
      <c r="E87" s="78"/>
      <c r="F87" s="78"/>
      <c r="G87" s="78"/>
      <c r="H87" s="78"/>
      <c r="I87" s="78"/>
      <c r="J87" s="78"/>
      <c r="K87" s="78"/>
      <c r="L87" s="78"/>
    </row>
    <row r="88" spans="4:12" ht="12.75">
      <c r="D88" s="78"/>
      <c r="E88" s="78"/>
      <c r="F88" s="78"/>
      <c r="G88" s="78"/>
      <c r="H88" s="78"/>
      <c r="I88" s="78"/>
      <c r="J88" s="78"/>
      <c r="K88" s="78"/>
      <c r="L88" s="78"/>
    </row>
    <row r="89" spans="4:12" ht="12.75">
      <c r="D89" s="78"/>
      <c r="E89" s="78"/>
      <c r="F89" s="78"/>
      <c r="G89" s="78"/>
      <c r="H89" s="78"/>
      <c r="I89" s="78"/>
      <c r="J89" s="78"/>
      <c r="K89" s="78"/>
      <c r="L89" s="78"/>
    </row>
    <row r="90" spans="4:12" ht="12.75">
      <c r="D90" s="78"/>
      <c r="E90" s="78"/>
      <c r="F90" s="78"/>
      <c r="G90" s="78"/>
      <c r="H90" s="78"/>
      <c r="I90" s="78"/>
      <c r="J90" s="78"/>
      <c r="K90" s="78"/>
      <c r="L90" s="78"/>
    </row>
    <row r="91" spans="4:12" ht="12.75">
      <c r="D91" s="78"/>
      <c r="E91" s="78"/>
      <c r="F91" s="78"/>
      <c r="G91" s="78"/>
      <c r="H91" s="78"/>
      <c r="I91" s="78"/>
      <c r="J91" s="78"/>
      <c r="K91" s="78"/>
      <c r="L91" s="78"/>
    </row>
    <row r="92" spans="4:12" ht="12.75">
      <c r="D92" s="78"/>
      <c r="E92" s="78"/>
      <c r="F92" s="78"/>
      <c r="G92" s="78"/>
      <c r="H92" s="78"/>
      <c r="I92" s="78"/>
      <c r="J92" s="78"/>
      <c r="K92" s="78"/>
      <c r="L92" s="78"/>
    </row>
    <row r="93" spans="4:12" ht="12.75">
      <c r="D93" s="78"/>
      <c r="E93" s="78"/>
      <c r="F93" s="78"/>
      <c r="G93" s="78"/>
      <c r="H93" s="78"/>
      <c r="I93" s="78"/>
      <c r="J93" s="78"/>
      <c r="K93" s="78"/>
      <c r="L93" s="78"/>
    </row>
    <row r="94" spans="4:12" ht="12.75">
      <c r="D94" s="78"/>
      <c r="E94" s="78"/>
      <c r="F94" s="78"/>
      <c r="G94" s="78"/>
      <c r="H94" s="78"/>
      <c r="I94" s="78"/>
      <c r="J94" s="78"/>
      <c r="K94" s="78"/>
      <c r="L94" s="78"/>
    </row>
    <row r="95" spans="4:12" ht="12.75">
      <c r="D95" s="78"/>
      <c r="E95" s="78"/>
      <c r="F95" s="78"/>
      <c r="G95" s="78"/>
      <c r="H95" s="78"/>
      <c r="I95" s="78"/>
      <c r="J95" s="78"/>
      <c r="K95" s="78"/>
      <c r="L95" s="78"/>
    </row>
    <row r="96" spans="4:12" ht="12.75">
      <c r="D96" s="78"/>
      <c r="E96" s="78"/>
      <c r="F96" s="78"/>
      <c r="G96" s="78"/>
      <c r="H96" s="78"/>
      <c r="I96" s="78"/>
      <c r="J96" s="78"/>
      <c r="K96" s="78"/>
      <c r="L96" s="78"/>
    </row>
    <row r="97" spans="4:12" ht="12.75">
      <c r="D97" s="78"/>
      <c r="E97" s="78"/>
      <c r="F97" s="78"/>
      <c r="G97" s="78"/>
      <c r="H97" s="78"/>
      <c r="I97" s="78"/>
      <c r="J97" s="78"/>
      <c r="K97" s="78"/>
      <c r="L97" s="78"/>
    </row>
    <row r="98" spans="4:12" ht="12.75">
      <c r="D98" s="78"/>
      <c r="E98" s="78"/>
      <c r="F98" s="78"/>
      <c r="G98" s="78"/>
      <c r="H98" s="78"/>
      <c r="I98" s="78"/>
      <c r="J98" s="78"/>
      <c r="K98" s="78"/>
      <c r="L98" s="78"/>
    </row>
    <row r="99" spans="4:12" ht="12.75">
      <c r="D99" s="78"/>
      <c r="E99" s="78"/>
      <c r="F99" s="78"/>
      <c r="G99" s="78"/>
      <c r="H99" s="78"/>
      <c r="I99" s="78"/>
      <c r="J99" s="78"/>
      <c r="K99" s="78"/>
      <c r="L99" s="78"/>
    </row>
    <row r="100" spans="4:12" ht="12.75">
      <c r="D100" s="78"/>
      <c r="E100" s="78"/>
      <c r="F100" s="78"/>
      <c r="G100" s="78"/>
      <c r="H100" s="78"/>
      <c r="I100" s="78"/>
      <c r="J100" s="78"/>
      <c r="K100" s="78"/>
      <c r="L100" s="78"/>
    </row>
    <row r="101" spans="4:12" ht="12.75">
      <c r="D101" s="78"/>
      <c r="E101" s="78"/>
      <c r="F101" s="78"/>
      <c r="G101" s="78"/>
      <c r="H101" s="78"/>
      <c r="I101" s="78"/>
      <c r="J101" s="78"/>
      <c r="K101" s="78"/>
      <c r="L101" s="78"/>
    </row>
    <row r="102" spans="4:12" ht="12.75">
      <c r="D102" s="78"/>
      <c r="E102" s="78"/>
      <c r="F102" s="78"/>
      <c r="G102" s="78"/>
      <c r="H102" s="78"/>
      <c r="I102" s="78"/>
      <c r="J102" s="78"/>
      <c r="K102" s="78"/>
      <c r="L102" s="78"/>
    </row>
    <row r="103" spans="4:12" ht="12.75">
      <c r="D103" s="78"/>
      <c r="E103" s="78"/>
      <c r="F103" s="78"/>
      <c r="G103" s="78"/>
      <c r="H103" s="78"/>
      <c r="I103" s="78"/>
      <c r="J103" s="78"/>
      <c r="K103" s="78"/>
      <c r="L103" s="78"/>
    </row>
    <row r="104" spans="4:12" ht="12.75">
      <c r="D104" s="78"/>
      <c r="E104" s="78"/>
      <c r="F104" s="78"/>
      <c r="G104" s="78"/>
      <c r="H104" s="78"/>
      <c r="I104" s="78"/>
      <c r="J104" s="78"/>
      <c r="K104" s="78"/>
      <c r="L104" s="78"/>
    </row>
    <row r="105" spans="4:12" ht="12.75">
      <c r="D105" s="78"/>
      <c r="E105" s="78"/>
      <c r="F105" s="78"/>
      <c r="G105" s="78"/>
      <c r="H105" s="78"/>
      <c r="I105" s="78"/>
      <c r="J105" s="78"/>
      <c r="K105" s="78"/>
      <c r="L105" s="78"/>
    </row>
    <row r="106" spans="4:12" ht="12.75">
      <c r="D106" s="78"/>
      <c r="E106" s="78"/>
      <c r="F106" s="78"/>
      <c r="G106" s="78"/>
      <c r="H106" s="78"/>
      <c r="I106" s="78"/>
      <c r="J106" s="78"/>
      <c r="K106" s="78"/>
      <c r="L106" s="78"/>
    </row>
    <row r="107" spans="4:12" ht="12.75">
      <c r="D107" s="78"/>
      <c r="E107" s="78"/>
      <c r="F107" s="78"/>
      <c r="G107" s="78"/>
      <c r="H107" s="78"/>
      <c r="I107" s="78"/>
      <c r="J107" s="78"/>
      <c r="K107" s="78"/>
      <c r="L107" s="78"/>
    </row>
    <row r="108" spans="4:12" ht="12.75">
      <c r="D108" s="78"/>
      <c r="E108" s="78"/>
      <c r="F108" s="78"/>
      <c r="G108" s="78"/>
      <c r="H108" s="78"/>
      <c r="I108" s="78"/>
      <c r="J108" s="78"/>
      <c r="K108" s="78"/>
      <c r="L108" s="78"/>
    </row>
    <row r="109" spans="4:12" ht="12.75">
      <c r="D109" s="78"/>
      <c r="E109" s="78"/>
      <c r="F109" s="78"/>
      <c r="G109" s="78"/>
      <c r="H109" s="78"/>
      <c r="I109" s="78"/>
      <c r="J109" s="78"/>
      <c r="K109" s="78"/>
      <c r="L109" s="78"/>
    </row>
    <row r="110" spans="4:12" ht="12.75">
      <c r="D110" s="78"/>
      <c r="E110" s="78"/>
      <c r="F110" s="78"/>
      <c r="G110" s="78"/>
      <c r="H110" s="78"/>
      <c r="I110" s="78"/>
      <c r="J110" s="78"/>
      <c r="K110" s="78"/>
      <c r="L110" s="78"/>
    </row>
    <row r="111" spans="4:12" ht="12.75">
      <c r="D111" s="78"/>
      <c r="E111" s="78"/>
      <c r="F111" s="78"/>
      <c r="G111" s="78"/>
      <c r="H111" s="78"/>
      <c r="I111" s="78"/>
      <c r="J111" s="78"/>
      <c r="K111" s="78"/>
      <c r="L111" s="78"/>
    </row>
    <row r="112" spans="4:12" ht="12.75">
      <c r="D112" s="78"/>
      <c r="E112" s="78"/>
      <c r="F112" s="78"/>
      <c r="G112" s="78"/>
      <c r="H112" s="78"/>
      <c r="I112" s="78"/>
      <c r="J112" s="78"/>
      <c r="K112" s="78"/>
      <c r="L112" s="78"/>
    </row>
    <row r="113" spans="4:12" ht="12.75">
      <c r="D113" s="78"/>
      <c r="E113" s="78"/>
      <c r="F113" s="78"/>
      <c r="G113" s="78"/>
      <c r="H113" s="78"/>
      <c r="I113" s="78"/>
      <c r="J113" s="78"/>
      <c r="K113" s="78"/>
      <c r="L113" s="78"/>
    </row>
    <row r="114" spans="4:12" ht="12.75">
      <c r="D114" s="78"/>
      <c r="E114" s="78"/>
      <c r="F114" s="78"/>
      <c r="G114" s="78"/>
      <c r="H114" s="78"/>
      <c r="I114" s="78"/>
      <c r="J114" s="78"/>
      <c r="K114" s="78"/>
      <c r="L114" s="78"/>
    </row>
    <row r="115" spans="4:12" ht="12.75">
      <c r="D115" s="78"/>
      <c r="E115" s="78"/>
      <c r="F115" s="78"/>
      <c r="G115" s="78"/>
      <c r="H115" s="78"/>
      <c r="I115" s="78"/>
      <c r="J115" s="78"/>
      <c r="K115" s="78"/>
      <c r="L115" s="78"/>
    </row>
    <row r="116" spans="4:12" ht="12.75">
      <c r="D116" s="78"/>
      <c r="E116" s="78"/>
      <c r="F116" s="78"/>
      <c r="G116" s="78"/>
      <c r="H116" s="78"/>
      <c r="I116" s="78"/>
      <c r="J116" s="78"/>
      <c r="K116" s="78"/>
      <c r="L116" s="78"/>
    </row>
    <row r="117" spans="4:12" ht="12.75">
      <c r="D117" s="78"/>
      <c r="E117" s="78"/>
      <c r="F117" s="78"/>
      <c r="G117" s="78"/>
      <c r="H117" s="78"/>
      <c r="I117" s="78"/>
      <c r="J117" s="78"/>
      <c r="K117" s="78"/>
      <c r="L117" s="78"/>
    </row>
    <row r="118" spans="4:12" ht="12.75">
      <c r="D118" s="78"/>
      <c r="E118" s="78"/>
      <c r="F118" s="78"/>
      <c r="G118" s="78"/>
      <c r="H118" s="78"/>
      <c r="I118" s="78"/>
      <c r="J118" s="78"/>
      <c r="K118" s="78"/>
      <c r="L118" s="78"/>
    </row>
    <row r="119" spans="4:12" ht="12.75">
      <c r="D119" s="78"/>
      <c r="E119" s="78"/>
      <c r="F119" s="78"/>
      <c r="G119" s="78"/>
      <c r="H119" s="78"/>
      <c r="I119" s="78"/>
      <c r="J119" s="78"/>
      <c r="K119" s="78"/>
      <c r="L119" s="78"/>
    </row>
    <row r="120" spans="4:12" ht="12.75">
      <c r="D120" s="78"/>
      <c r="E120" s="78"/>
      <c r="F120" s="78"/>
      <c r="G120" s="78"/>
      <c r="H120" s="78"/>
      <c r="I120" s="78"/>
      <c r="J120" s="78"/>
      <c r="K120" s="78"/>
      <c r="L120" s="78"/>
    </row>
    <row r="121" spans="4:12" ht="12.75">
      <c r="D121" s="78"/>
      <c r="E121" s="78"/>
      <c r="F121" s="78"/>
      <c r="G121" s="78"/>
      <c r="H121" s="78"/>
      <c r="I121" s="78"/>
      <c r="J121" s="78"/>
      <c r="K121" s="78"/>
      <c r="L121" s="78"/>
    </row>
    <row r="122" spans="4:12" ht="12.75">
      <c r="D122" s="78"/>
      <c r="E122" s="78"/>
      <c r="F122" s="78"/>
      <c r="G122" s="78"/>
      <c r="H122" s="78"/>
      <c r="I122" s="78"/>
      <c r="J122" s="78"/>
      <c r="K122" s="78"/>
      <c r="L122" s="78"/>
    </row>
    <row r="123" spans="4:12" ht="12.75">
      <c r="D123" s="78"/>
      <c r="E123" s="78"/>
      <c r="F123" s="78"/>
      <c r="G123" s="78"/>
      <c r="H123" s="78"/>
      <c r="I123" s="78"/>
      <c r="J123" s="78"/>
      <c r="K123" s="78"/>
      <c r="L123" s="78"/>
    </row>
    <row r="124" spans="4:12" ht="12.75">
      <c r="D124" s="78"/>
      <c r="E124" s="78"/>
      <c r="F124" s="78"/>
      <c r="G124" s="78"/>
      <c r="H124" s="78"/>
      <c r="I124" s="78"/>
      <c r="J124" s="78"/>
      <c r="K124" s="78"/>
      <c r="L124" s="78"/>
    </row>
    <row r="125" spans="4:12" ht="12.75">
      <c r="D125" s="78"/>
      <c r="E125" s="78"/>
      <c r="F125" s="78"/>
      <c r="G125" s="78"/>
      <c r="H125" s="78"/>
      <c r="I125" s="78"/>
      <c r="J125" s="78"/>
      <c r="K125" s="78"/>
      <c r="L125" s="78"/>
    </row>
    <row r="126" spans="4:12" ht="12.75">
      <c r="D126" s="78"/>
      <c r="E126" s="78"/>
      <c r="F126" s="78"/>
      <c r="G126" s="78"/>
      <c r="H126" s="78"/>
      <c r="I126" s="78"/>
      <c r="J126" s="78"/>
      <c r="K126" s="78"/>
      <c r="L126" s="78"/>
    </row>
    <row r="127" spans="4:12" ht="12.75">
      <c r="D127" s="78"/>
      <c r="E127" s="78"/>
      <c r="F127" s="78"/>
      <c r="G127" s="78"/>
      <c r="H127" s="78"/>
      <c r="I127" s="78"/>
      <c r="J127" s="78"/>
      <c r="K127" s="78"/>
      <c r="L127" s="78"/>
    </row>
    <row r="128" spans="4:12" ht="12.75">
      <c r="D128" s="78"/>
      <c r="E128" s="78"/>
      <c r="F128" s="78"/>
      <c r="G128" s="78"/>
      <c r="H128" s="78"/>
      <c r="I128" s="78"/>
      <c r="J128" s="78"/>
      <c r="K128" s="78"/>
      <c r="L128" s="78"/>
    </row>
    <row r="129" spans="4:12" ht="12.75">
      <c r="D129" s="78"/>
      <c r="E129" s="78"/>
      <c r="F129" s="78"/>
      <c r="G129" s="78"/>
      <c r="H129" s="78"/>
      <c r="I129" s="78"/>
      <c r="J129" s="78"/>
      <c r="K129" s="78"/>
      <c r="L129" s="78"/>
    </row>
    <row r="130" spans="4:12" ht="12.75">
      <c r="D130" s="78"/>
      <c r="E130" s="78"/>
      <c r="F130" s="78"/>
      <c r="G130" s="78"/>
      <c r="H130" s="78"/>
      <c r="I130" s="78"/>
      <c r="J130" s="78"/>
      <c r="K130" s="78"/>
      <c r="L130" s="78"/>
    </row>
    <row r="131" spans="4:12" ht="12.75">
      <c r="D131" s="78"/>
      <c r="E131" s="78"/>
      <c r="F131" s="78"/>
      <c r="G131" s="78"/>
      <c r="H131" s="78"/>
      <c r="I131" s="78"/>
      <c r="J131" s="78"/>
      <c r="K131" s="78"/>
      <c r="L131" s="78"/>
    </row>
    <row r="132" spans="4:12" ht="12.75">
      <c r="D132" s="78"/>
      <c r="E132" s="78"/>
      <c r="F132" s="78"/>
      <c r="G132" s="78"/>
      <c r="H132" s="78"/>
      <c r="I132" s="78"/>
      <c r="J132" s="78"/>
      <c r="K132" s="78"/>
      <c r="L132" s="78"/>
    </row>
    <row r="133" spans="4:12" ht="12.75">
      <c r="D133" s="78"/>
      <c r="E133" s="78"/>
      <c r="F133" s="78"/>
      <c r="G133" s="78"/>
      <c r="H133" s="78"/>
      <c r="I133" s="78"/>
      <c r="J133" s="78"/>
      <c r="K133" s="78"/>
      <c r="L133" s="78"/>
    </row>
    <row r="134" spans="4:12" ht="12.75">
      <c r="D134" s="78"/>
      <c r="E134" s="78"/>
      <c r="F134" s="78"/>
      <c r="G134" s="78"/>
      <c r="H134" s="78"/>
      <c r="I134" s="78"/>
      <c r="J134" s="78"/>
      <c r="K134" s="78"/>
      <c r="L134" s="78"/>
    </row>
    <row r="135" spans="4:12" ht="12.75">
      <c r="D135" s="78"/>
      <c r="E135" s="78"/>
      <c r="F135" s="78"/>
      <c r="G135" s="78"/>
      <c r="H135" s="78"/>
      <c r="I135" s="78"/>
      <c r="J135" s="78"/>
      <c r="K135" s="78"/>
      <c r="L135" s="78"/>
    </row>
    <row r="136" spans="4:12" ht="12.75">
      <c r="D136" s="78"/>
      <c r="E136" s="78"/>
      <c r="F136" s="78"/>
      <c r="G136" s="78"/>
      <c r="H136" s="78"/>
      <c r="I136" s="78"/>
      <c r="J136" s="78"/>
      <c r="K136" s="78"/>
      <c r="L136" s="78"/>
    </row>
    <row r="137" spans="4:12" ht="12.75">
      <c r="D137" s="78"/>
      <c r="E137" s="78"/>
      <c r="F137" s="78"/>
      <c r="G137" s="78"/>
      <c r="H137" s="78"/>
      <c r="I137" s="78"/>
      <c r="J137" s="78"/>
      <c r="K137" s="78"/>
      <c r="L137" s="78"/>
    </row>
    <row r="138" spans="4:12" ht="12.75">
      <c r="D138" s="78"/>
      <c r="E138" s="78"/>
      <c r="F138" s="78"/>
      <c r="G138" s="78"/>
      <c r="H138" s="78"/>
      <c r="I138" s="78"/>
      <c r="J138" s="78"/>
      <c r="K138" s="78"/>
      <c r="L138" s="78"/>
    </row>
    <row r="139" spans="4:12" ht="12.75">
      <c r="D139" s="78"/>
      <c r="E139" s="78"/>
      <c r="F139" s="78"/>
      <c r="G139" s="78"/>
      <c r="H139" s="78"/>
      <c r="I139" s="78"/>
      <c r="J139" s="78"/>
      <c r="K139" s="78"/>
      <c r="L139" s="78"/>
    </row>
    <row r="140" spans="4:12" ht="12.75">
      <c r="D140" s="78"/>
      <c r="E140" s="78"/>
      <c r="F140" s="78"/>
      <c r="G140" s="78"/>
      <c r="H140" s="78"/>
      <c r="I140" s="78"/>
      <c r="J140" s="78"/>
      <c r="K140" s="78"/>
      <c r="L140" s="78"/>
    </row>
    <row r="141" spans="4:12" ht="12.75">
      <c r="D141" s="78"/>
      <c r="E141" s="78"/>
      <c r="F141" s="78"/>
      <c r="G141" s="78"/>
      <c r="H141" s="78"/>
      <c r="I141" s="78"/>
      <c r="J141" s="78"/>
      <c r="K141" s="78"/>
      <c r="L141" s="78"/>
    </row>
    <row r="142" spans="4:12" ht="12.75">
      <c r="D142" s="78"/>
      <c r="E142" s="78"/>
      <c r="F142" s="78"/>
      <c r="G142" s="78"/>
      <c r="H142" s="78"/>
      <c r="I142" s="78"/>
      <c r="J142" s="78"/>
      <c r="K142" s="78"/>
      <c r="L142" s="78"/>
    </row>
    <row r="143" spans="4:12" ht="12.75">
      <c r="D143" s="78"/>
      <c r="E143" s="78"/>
      <c r="F143" s="78"/>
      <c r="G143" s="78"/>
      <c r="H143" s="78"/>
      <c r="I143" s="78"/>
      <c r="J143" s="78"/>
      <c r="K143" s="78"/>
      <c r="L143" s="78"/>
    </row>
    <row r="144" spans="4:12" ht="12.75">
      <c r="D144" s="78"/>
      <c r="E144" s="78"/>
      <c r="F144" s="78"/>
      <c r="G144" s="78"/>
      <c r="H144" s="78"/>
      <c r="I144" s="78"/>
      <c r="J144" s="78"/>
      <c r="K144" s="78"/>
      <c r="L144" s="78"/>
    </row>
    <row r="145" spans="4:12" ht="12.75">
      <c r="D145" s="78"/>
      <c r="E145" s="78"/>
      <c r="F145" s="78"/>
      <c r="G145" s="78"/>
      <c r="H145" s="78"/>
      <c r="I145" s="78"/>
      <c r="J145" s="78"/>
      <c r="K145" s="78"/>
      <c r="L145" s="78"/>
    </row>
    <row r="146" spans="4:12" ht="12.75">
      <c r="D146" s="78"/>
      <c r="E146" s="78"/>
      <c r="F146" s="78"/>
      <c r="G146" s="78"/>
      <c r="H146" s="78"/>
      <c r="I146" s="78"/>
      <c r="J146" s="78"/>
      <c r="K146" s="78"/>
      <c r="L146" s="78"/>
    </row>
    <row r="147" spans="4:12" ht="12.75">
      <c r="D147" s="78"/>
      <c r="E147" s="78"/>
      <c r="F147" s="78"/>
      <c r="G147" s="78"/>
      <c r="H147" s="78"/>
      <c r="I147" s="78"/>
      <c r="J147" s="78"/>
      <c r="K147" s="78"/>
      <c r="L147" s="78"/>
    </row>
    <row r="148" spans="4:12" ht="12.75">
      <c r="D148" s="78"/>
      <c r="E148" s="78"/>
      <c r="F148" s="78"/>
      <c r="G148" s="78"/>
      <c r="H148" s="78"/>
      <c r="I148" s="78"/>
      <c r="J148" s="78"/>
      <c r="K148" s="78"/>
      <c r="L148" s="78"/>
    </row>
  </sheetData>
  <printOptions horizontalCentered="1"/>
  <pageMargins left="0.25" right="0.25" top="0.5" bottom="0.5" header="0.5" footer="0.5"/>
  <pageSetup fitToHeight="1" fitToWidth="1" horizontalDpi="600" verticalDpi="600" orientation="landscape" paperSize="5"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of Manitoba</dc:creator>
  <cp:keywords/>
  <dc:description/>
  <cp:lastModifiedBy>Michel St. Amant</cp:lastModifiedBy>
  <cp:lastPrinted>2010-01-12T18:35:48Z</cp:lastPrinted>
  <dcterms:created xsi:type="dcterms:W3CDTF">2000-09-07T21:04:22Z</dcterms:created>
  <dcterms:modified xsi:type="dcterms:W3CDTF">2010-01-12T18:50:29Z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display_urn:schemas-microsoft-com:office:office#Edit">
    <vt:lpwstr>Rabsch, David (FIN)</vt:lpwstr>
  </property>
  <property fmtid="{D5CDD505-2E9C-101B-9397-08002B2CF9AE}" pid="5" name="Ord">
    <vt:lpwstr>2300.00000000000</vt:lpwstr>
  </property>
  <property fmtid="{D5CDD505-2E9C-101B-9397-08002B2CF9AE}" pid="6" name="TemplateU">
    <vt:lpwstr/>
  </property>
  <property fmtid="{D5CDD505-2E9C-101B-9397-08002B2CF9AE}" pid="7" name="PublishingRollupIma">
    <vt:lpwstr/>
  </property>
  <property fmtid="{D5CDD505-2E9C-101B-9397-08002B2CF9AE}" pid="8" name="Audien">
    <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PublishingContactPictu">
    <vt:lpwstr/>
  </property>
  <property fmtid="{D5CDD505-2E9C-101B-9397-08002B2CF9AE}" pid="13" name="PublishingVariationGroup">
    <vt:lpwstr/>
  </property>
  <property fmtid="{D5CDD505-2E9C-101B-9397-08002B2CF9AE}" pid="14" name="display_urn:schemas-microsoft-com:office:office#Auth">
    <vt:lpwstr>Edmonds, Stephanie (IMR)</vt:lpwstr>
  </property>
  <property fmtid="{D5CDD505-2E9C-101B-9397-08002B2CF9AE}" pid="15" name="PublishingContactNa">
    <vt:lpwstr/>
  </property>
  <property fmtid="{D5CDD505-2E9C-101B-9397-08002B2CF9AE}" pid="16" name="PublishingVariationRelationshipLinkField">
    <vt:lpwstr/>
  </property>
  <property fmtid="{D5CDD505-2E9C-101B-9397-08002B2CF9AE}" pid="17" name="PublishingContactEma">
    <vt:lpwstr/>
  </property>
  <property fmtid="{D5CDD505-2E9C-101B-9397-08002B2CF9AE}" pid="18" name="_SourceU">
    <vt:lpwstr/>
  </property>
  <property fmtid="{D5CDD505-2E9C-101B-9397-08002B2CF9AE}" pid="19" name="_SharedFileInd">
    <vt:lpwstr/>
  </property>
  <property fmtid="{D5CDD505-2E9C-101B-9397-08002B2CF9AE}" pid="20" name="Commen">
    <vt:lpwstr/>
  </property>
  <property fmtid="{D5CDD505-2E9C-101B-9397-08002B2CF9AE}" pid="21" name="PublishingPageLayo">
    <vt:lpwstr/>
  </property>
  <property fmtid="{D5CDD505-2E9C-101B-9397-08002B2CF9AE}" pid="22" name="xd_Signatu">
    <vt:lpwstr/>
  </property>
  <property fmtid="{D5CDD505-2E9C-101B-9397-08002B2CF9AE}" pid="23" name="display_u">
    <vt:lpwstr>Edmonds, Stephanie (IMR)</vt:lpwstr>
  </property>
</Properties>
</file>